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embeddings/oleObject1.bin" ContentType="application/vnd.openxmlformats-officedocument.oleObject"/>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harts/chart7.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24226"/>
  <mc:AlternateContent xmlns:mc="http://schemas.openxmlformats.org/markup-compatibility/2006">
    <mc:Choice Requires="x15">
      <x15ac:absPath xmlns:x15ac="http://schemas.microsoft.com/office/spreadsheetml/2010/11/ac" url="C:\Users\willi\Nextcloud\Documents\Projects\nixieclock\nixie-clock-ice\KiCad\nixieAccurateClock\"/>
    </mc:Choice>
  </mc:AlternateContent>
  <xr:revisionPtr revIDLastSave="0" documentId="13_ncr:1_{0AFB5769-5647-4141-9343-772E081D9EA6}" xr6:coauthVersionLast="47" xr6:coauthVersionMax="47" xr10:uidLastSave="{00000000-0000-0000-0000-000000000000}"/>
  <workbookProtection workbookAlgorithmName="SHA-512" workbookHashValue="gc34FGggw3Ir8zQVSgaZChUqrVvVKYZwhSXpduqtPUD6nQuIaEe42JJKFmE/OmtpkzYp1ZfCj82eR88ZFlGbkQ==" workbookSaltValue="MvI2n84VClkXRpVOZBZk3g==" workbookSpinCount="100000" lockStructure="1"/>
  <bookViews>
    <workbookView xWindow="-96" yWindow="-96" windowWidth="23232" windowHeight="12432" xr2:uid="{00000000-000D-0000-FFFF-FFFF00000000}"/>
  </bookViews>
  <sheets>
    <sheet name="Design Converter" sheetId="1" r:id="rId1"/>
    <sheet name="Variable_Management" sheetId="2" state="hidden" r:id="rId2"/>
    <sheet name="Eff_vs_IOUT" sheetId="4" state="hidden" r:id="rId3"/>
    <sheet name="Loop_Modeling" sheetId="5" state="hidden" r:id="rId4"/>
    <sheet name="Constants" sheetId="3" state="hidden" r:id="rId5"/>
    <sheet name="Plot_Management_Eff" sheetId="6" state="hidden" r:id="rId6"/>
    <sheet name="Plot_Management_Sch" sheetId="7" state="hidden" r:id="rId7"/>
    <sheet name="Lists" sheetId="8" state="hidden" r:id="rId8"/>
    <sheet name="Licenses" sheetId="10" r:id="rId9"/>
    <sheet name="Sheet1" sheetId="9" state="hidden" r:id="rId10"/>
  </sheets>
  <externalReferences>
    <externalReference r:id="rId11"/>
  </externalReferences>
  <definedNames>
    <definedName name="Acs">Constants!$B$30</definedName>
    <definedName name="Adc">Loop_Modeling!$B$35</definedName>
    <definedName name="Adc_ea">Loop_Modeling!$B$61</definedName>
    <definedName name="ADC_VINmin">Variable_Management!$B$189</definedName>
    <definedName name="CCOMP">Variable_Management!$B$230</definedName>
    <definedName name="CComp_calc">Variable_Management!$B$229</definedName>
    <definedName name="CHF">Variable_Management!$B$232</definedName>
    <definedName name="Comp_calc">Variable_Management!$B$229</definedName>
    <definedName name="CondMode">OFFSET(Lists!$B$9,0,0,COUNTIF(Lists!$B$9:$B$11,"?CM*"),1)</definedName>
    <definedName name="Cout">Variable_Management!$B$155</definedName>
    <definedName name="Cout_min">Variable_Management!$B$153</definedName>
    <definedName name="D_limit_max">Constants!$B$18</definedName>
    <definedName name="D_limit_min">Constants!$B$16</definedName>
    <definedName name="D_limit_nom">Constants!$B$17</definedName>
    <definedName name="Dc_CCM_VIN_max">Variable_Management!$B$50</definedName>
    <definedName name="Dc_CCM_VIN_min">Variable_Management!$B$42</definedName>
    <definedName name="Dc_CCM_VIN_nom">Variable_Management!$B$46</definedName>
    <definedName name="Dc_DCM_VIN_nom">Variable_Management!$B$62</definedName>
    <definedName name="Dc_max_IC">Variable_Management!$B$21</definedName>
    <definedName name="Dc_max_ideal">Variable_Management!$A$20</definedName>
    <definedName name="Dc_Mode">Variable_Management!$B$36</definedName>
    <definedName name="Dc_Mode_Loop">Loop_Modeling!$B$14</definedName>
    <definedName name="Dc_rip_max">Variable_Management!$B$79</definedName>
    <definedName name="Dc_VIN_max">Variable_Management!$B$31</definedName>
    <definedName name="Dc_VIN_min">Variable_Management!$B$23</definedName>
    <definedName name="Dc_VIN_nom">Variable_Management!$B$27</definedName>
    <definedName name="display_SCH">INDIRECT(Plot_Management_Sch!$A$1)</definedName>
    <definedName name="EFF_est">Variable_Management!$B$17</definedName>
    <definedName name="Eff_vs_IOUT">Plot_Management_Eff!$C$3</definedName>
    <definedName name="fcross">Variable_Management!$B$213</definedName>
    <definedName name="fcross_est">Variable_Management!$B$212</definedName>
    <definedName name="FIR_BYPASSED">'[1]Digital Filter'!$T$84</definedName>
    <definedName name="fp_ea_est">Variable_Management!$B$223</definedName>
    <definedName name="Fsw">Variable_Management!$B$10</definedName>
    <definedName name="fz_ea_est">Variable_Management!$B$221</definedName>
    <definedName name="fz_rhp">Variable_Management!$B$198</definedName>
    <definedName name="Gcomp">Constants!$B$29</definedName>
    <definedName name="Gea_mid_calc">Variable_Management!$B$217</definedName>
    <definedName name="gfs">Variable_Management!$B$249</definedName>
    <definedName name="gm_ea">Constants!$B$34</definedName>
    <definedName name="Gplant_fc_dB">Loop_Modeling!$AD$7</definedName>
    <definedName name="IIN_33">Variable_Management!$B$81</definedName>
    <definedName name="IL_avg_VIN_max">Variable_Management!$B$33</definedName>
    <definedName name="IL_avg_VIN_min">Variable_Management!$B$25</definedName>
    <definedName name="IL_avg_VIN_nom">Variable_Management!$B$29</definedName>
    <definedName name="IL_pk">Variable_Management!$B$142</definedName>
    <definedName name="IL_pk_max">Variable_Management!$B$143</definedName>
    <definedName name="ILp_VINmax">Variable_Management!$B$119</definedName>
    <definedName name="ILp_VINmin">Variable_Management!$B$113</definedName>
    <definedName name="ILp_VINnom">Variable_Management!$B$116</definedName>
    <definedName name="ILrip">Variable_Management!$B$71</definedName>
    <definedName name="ILrip_VINmax">Variable_Management!$B$118</definedName>
    <definedName name="ILrip_VINmin">Variable_Management!$B$112</definedName>
    <definedName name="ILrip_VINnom">Variable_Management!$B$115</definedName>
    <definedName name="IOUT">Variable_Management!$B$14</definedName>
    <definedName name="Ipk_margin">Variable_Management!$B$122</definedName>
    <definedName name="Ipk_selected">Variable_Management!$B$123</definedName>
    <definedName name="IQ">Constants!$B$48</definedName>
    <definedName name="IRMS_COUT">Variable_Management!$B$154</definedName>
    <definedName name="Isl">Constants!$B$25</definedName>
    <definedName name="Iss">Constants!$B$37</definedName>
    <definedName name="Kslope">Variable_Management!$B$130</definedName>
    <definedName name="L_DCM">Variable_Management!$B$89</definedName>
    <definedName name="Lm">Variable_Management!$B$84</definedName>
    <definedName name="Lopt">Variable_Management!$B$76</definedName>
    <definedName name="Lopt_2">Variable_Management!$B$82</definedName>
    <definedName name="POUT">Variable_Management!$B$16</definedName>
    <definedName name="_xlnm.Print_Area" localSheetId="0">'Design Converter'!$A$1:$Z$100</definedName>
    <definedName name="Q">Loop_Modeling!$B$49</definedName>
    <definedName name="Q_VINmin">Variable_Management!$B$206</definedName>
    <definedName name="Qg_tot">Variable_Management!$B$244</definedName>
    <definedName name="Qgd">Variable_Management!$B$245</definedName>
    <definedName name="Qgs">Variable_Management!$B$246</definedName>
    <definedName name="Qrr">Variable_Management!$B$239</definedName>
    <definedName name="R_cs">Variable_Management!$B$138</definedName>
    <definedName name="R_sl">Variable_Management!$B$139</definedName>
    <definedName name="RCOMP">Variable_Management!$B$228</definedName>
    <definedName name="Rcomp_calc">Variable_Management!$B$227</definedName>
    <definedName name="Rcs_max">Variable_Management!$B$127</definedName>
    <definedName name="Rcs_w_sl">Variable_Management!$B$131</definedName>
    <definedName name="Rcs_wo_sl">Variable_Management!$B$128</definedName>
    <definedName name="Rdcr">Variable_Management!$B$85</definedName>
    <definedName name="RDS_on">Variable_Management!$B$243</definedName>
    <definedName name="Resr">Variable_Management!$B$156</definedName>
    <definedName name="RFBB">Variable_Management!$B$184</definedName>
    <definedName name="RFBB_calc">Variable_Management!$B$183</definedName>
    <definedName name="RFBT">Variable_Management!$B$182</definedName>
    <definedName name="Rgate">Variable_Management!$B$247</definedName>
    <definedName name="ROUT">Variable_Management!$B$15</definedName>
    <definedName name="Rsl_int">Constants!$B$26</definedName>
    <definedName name="Rsl_max">Constants!$B$28</definedName>
    <definedName name="RT">Variable_Management!$B$11</definedName>
    <definedName name="Ruvlo_bottom_calc">Variable_Management!$B$173</definedName>
    <definedName name="Ruvlo_top">Variable_Management!$B$172</definedName>
    <definedName name="Ruvlo_top_calc">Variable_Management!$B$171</definedName>
    <definedName name="SCH_1">Plot_Management_Sch!$B$2</definedName>
    <definedName name="SCH_2">Plot_Management_Sch!$B$4</definedName>
    <definedName name="Se_VINmin">Variable_Management!$B$202</definedName>
    <definedName name="Sn_VINmin">Variable_Management!$B$203</definedName>
    <definedName name="tf_sw">Variable_Management!$B$256</definedName>
    <definedName name="tr_sw">Variable_Management!$B$255</definedName>
    <definedName name="tss">Variable_Management!$B$162</definedName>
    <definedName name="UV_fall">Constants!$B$41</definedName>
    <definedName name="UV_I_hyst">Constants!$B$42</definedName>
    <definedName name="UV_rise">Constants!$B$40</definedName>
    <definedName name="Vcc">Constants!$B$45</definedName>
    <definedName name="Vcl">Constants!$B$27</definedName>
    <definedName name="Vd_rect">Variable_Management!$B$238</definedName>
    <definedName name="VIN_33">Variable_Management!$B$80</definedName>
    <definedName name="VIN_max">Variable_Management!$B$9</definedName>
    <definedName name="VIN_min">Variable_Management!$B$7</definedName>
    <definedName name="VIN_nom">Variable_Management!$B$8</definedName>
    <definedName name="VIN_op_max">Constants!$B$52</definedName>
    <definedName name="VIN_op_max_56">Constants!$B$53</definedName>
    <definedName name="VIN_op_min">Constants!$B$51</definedName>
    <definedName name="VIN_var">Variable_Management!$B$8</definedName>
    <definedName name="VOUT">Variable_Management!$B$13</definedName>
    <definedName name="Vout_rip_sel">Variable_Management!$B$152</definedName>
    <definedName name="Vref">Constants!$B$33</definedName>
    <definedName name="Vth">Variable_Management!$B$250</definedName>
    <definedName name="Vuvlo_off">Variable_Management!$B$167</definedName>
    <definedName name="Vuvlo_on">Variable_Management!$B$166</definedName>
    <definedName name="wp_hf">Loop_Modeling!$B$50</definedName>
    <definedName name="wp_lf">Loop_Modeling!$B$36</definedName>
    <definedName name="wp_lf_VINmin">Variable_Management!$B$191</definedName>
    <definedName name="wp0_ea">Loop_Modeling!$B$63</definedName>
    <definedName name="wp1_ea">Loop_Modeling!$B$64</definedName>
    <definedName name="wsl">Loop_Modeling!$B$48</definedName>
    <definedName name="wsl_VINmin">Variable_Management!$B$205</definedName>
    <definedName name="wz_ea">Loop_Modeling!$B$62</definedName>
    <definedName name="wz_esr">Loop_Modeling!$B$42</definedName>
    <definedName name="wz_esr_VINmin">Variable_Management!$B$194</definedName>
    <definedName name="wz_rhp">Loop_Modeling!$B$39</definedName>
    <definedName name="wz_RHP_VINmin">Variable_Management!$B$197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1" l="1"/>
  <c r="A1" i="7"/>
  <c r="B36" i="2" l="1"/>
  <c r="M126" i="2"/>
  <c r="B2" i="6"/>
  <c r="B48" i="3"/>
  <c r="B251" i="2"/>
  <c r="B250" i="2"/>
  <c r="B249" i="2"/>
  <c r="B247" i="2"/>
  <c r="B246" i="2"/>
  <c r="B245" i="2"/>
  <c r="B244" i="2"/>
  <c r="B243" i="2"/>
  <c r="B239" i="2"/>
  <c r="B238" i="2"/>
  <c r="B172" i="2"/>
  <c r="B42" i="3"/>
  <c r="B170" i="2" s="1"/>
  <c r="B169" i="2"/>
  <c r="B168" i="2"/>
  <c r="B167" i="2"/>
  <c r="B166" i="2"/>
  <c r="B162" i="2"/>
  <c r="B37" i="3"/>
  <c r="B160" i="2"/>
  <c r="B213" i="2"/>
  <c r="O8" i="5" s="1"/>
  <c r="B34" i="3"/>
  <c r="O548" i="5"/>
  <c r="O549" i="5"/>
  <c r="O550" i="5"/>
  <c r="O551" i="5"/>
  <c r="O552" i="5"/>
  <c r="O553" i="5"/>
  <c r="O554" i="5"/>
  <c r="O555" i="5"/>
  <c r="O556" i="5"/>
  <c r="O557" i="5"/>
  <c r="O558" i="5"/>
  <c r="O559" i="5"/>
  <c r="O560" i="5"/>
  <c r="O537" i="5"/>
  <c r="O538" i="5"/>
  <c r="O539" i="5"/>
  <c r="O540" i="5"/>
  <c r="O541" i="5"/>
  <c r="O542" i="5"/>
  <c r="O543" i="5"/>
  <c r="O544" i="5"/>
  <c r="O545" i="5"/>
  <c r="O546" i="5"/>
  <c r="O547" i="5"/>
  <c r="O520" i="5"/>
  <c r="O521" i="5"/>
  <c r="O522" i="5"/>
  <c r="O523" i="5"/>
  <c r="O524" i="5"/>
  <c r="O525" i="5"/>
  <c r="O526" i="5"/>
  <c r="O527" i="5"/>
  <c r="O528" i="5"/>
  <c r="O529" i="5"/>
  <c r="O530" i="5"/>
  <c r="O531" i="5"/>
  <c r="O532" i="5"/>
  <c r="O533" i="5"/>
  <c r="O534" i="5"/>
  <c r="O535" i="5"/>
  <c r="O536" i="5"/>
  <c r="O519" i="5"/>
  <c r="O420" i="5"/>
  <c r="O421" i="5"/>
  <c r="O422" i="5"/>
  <c r="O423" i="5"/>
  <c r="O424" i="5"/>
  <c r="O425" i="5"/>
  <c r="O426" i="5"/>
  <c r="O427" i="5"/>
  <c r="O428" i="5"/>
  <c r="O429" i="5"/>
  <c r="O430" i="5"/>
  <c r="O431" i="5"/>
  <c r="O432" i="5"/>
  <c r="O433" i="5"/>
  <c r="O434" i="5"/>
  <c r="O435" i="5"/>
  <c r="O436" i="5"/>
  <c r="O437" i="5"/>
  <c r="O438" i="5"/>
  <c r="O439" i="5"/>
  <c r="O440" i="5"/>
  <c r="O441" i="5"/>
  <c r="O442" i="5"/>
  <c r="O443" i="5"/>
  <c r="O444" i="5"/>
  <c r="O445" i="5"/>
  <c r="O446" i="5"/>
  <c r="O447" i="5"/>
  <c r="O448" i="5"/>
  <c r="O449" i="5"/>
  <c r="O450" i="5"/>
  <c r="O451" i="5"/>
  <c r="O452" i="5"/>
  <c r="O453" i="5"/>
  <c r="O454" i="5"/>
  <c r="O455" i="5"/>
  <c r="O456" i="5"/>
  <c r="O457" i="5"/>
  <c r="O458" i="5"/>
  <c r="O459" i="5"/>
  <c r="O460" i="5"/>
  <c r="O461" i="5"/>
  <c r="O462" i="5"/>
  <c r="O463" i="5"/>
  <c r="O464" i="5"/>
  <c r="O465" i="5"/>
  <c r="O466" i="5"/>
  <c r="O467" i="5"/>
  <c r="O468" i="5"/>
  <c r="O469" i="5"/>
  <c r="O470" i="5"/>
  <c r="O471" i="5"/>
  <c r="O472" i="5"/>
  <c r="O473" i="5"/>
  <c r="O474" i="5"/>
  <c r="O475" i="5"/>
  <c r="O476" i="5"/>
  <c r="O477" i="5"/>
  <c r="O478" i="5"/>
  <c r="O479" i="5"/>
  <c r="O480" i="5"/>
  <c r="O481" i="5"/>
  <c r="O482" i="5"/>
  <c r="O483" i="5"/>
  <c r="O484" i="5"/>
  <c r="O485" i="5"/>
  <c r="O486" i="5"/>
  <c r="O487" i="5"/>
  <c r="O488" i="5"/>
  <c r="O489" i="5"/>
  <c r="O490" i="5"/>
  <c r="O491" i="5"/>
  <c r="O492" i="5"/>
  <c r="O493" i="5"/>
  <c r="O494" i="5"/>
  <c r="O495" i="5"/>
  <c r="O496" i="5"/>
  <c r="O497" i="5"/>
  <c r="O498" i="5"/>
  <c r="O499" i="5"/>
  <c r="O500" i="5"/>
  <c r="O501" i="5"/>
  <c r="O502" i="5"/>
  <c r="O503" i="5"/>
  <c r="O504" i="5"/>
  <c r="O505" i="5"/>
  <c r="O506" i="5"/>
  <c r="O507" i="5"/>
  <c r="O508" i="5"/>
  <c r="O509" i="5"/>
  <c r="O510" i="5"/>
  <c r="O511" i="5"/>
  <c r="O512" i="5"/>
  <c r="O513" i="5"/>
  <c r="O514" i="5"/>
  <c r="O515" i="5"/>
  <c r="O516" i="5"/>
  <c r="O517" i="5"/>
  <c r="O518" i="5"/>
  <c r="O419" i="5"/>
  <c r="O320" i="5"/>
  <c r="O321" i="5"/>
  <c r="O322" i="5"/>
  <c r="O323" i="5"/>
  <c r="O324" i="5"/>
  <c r="O325" i="5"/>
  <c r="O326" i="5"/>
  <c r="O327" i="5"/>
  <c r="O328" i="5"/>
  <c r="O329" i="5"/>
  <c r="O330" i="5"/>
  <c r="O331" i="5"/>
  <c r="O332" i="5"/>
  <c r="O333" i="5"/>
  <c r="O334" i="5"/>
  <c r="O335" i="5"/>
  <c r="O336" i="5"/>
  <c r="O337" i="5"/>
  <c r="O338" i="5"/>
  <c r="O339" i="5"/>
  <c r="O340" i="5"/>
  <c r="O341" i="5"/>
  <c r="O342" i="5"/>
  <c r="O343" i="5"/>
  <c r="O344" i="5"/>
  <c r="O345" i="5"/>
  <c r="O346" i="5"/>
  <c r="O347" i="5"/>
  <c r="O348" i="5"/>
  <c r="O349" i="5"/>
  <c r="O350" i="5"/>
  <c r="O351" i="5"/>
  <c r="O352" i="5"/>
  <c r="O353" i="5"/>
  <c r="O354" i="5"/>
  <c r="O355" i="5"/>
  <c r="O356" i="5"/>
  <c r="O357" i="5"/>
  <c r="O358" i="5"/>
  <c r="O359" i="5"/>
  <c r="O360" i="5"/>
  <c r="O361" i="5"/>
  <c r="O362" i="5"/>
  <c r="O363" i="5"/>
  <c r="O364" i="5"/>
  <c r="O365" i="5"/>
  <c r="O366" i="5"/>
  <c r="O367" i="5"/>
  <c r="O368" i="5"/>
  <c r="O369" i="5"/>
  <c r="O370" i="5"/>
  <c r="O371" i="5"/>
  <c r="O372" i="5"/>
  <c r="O373" i="5"/>
  <c r="O374" i="5"/>
  <c r="O375" i="5"/>
  <c r="O376" i="5"/>
  <c r="O377" i="5"/>
  <c r="O378" i="5"/>
  <c r="O379" i="5"/>
  <c r="O380" i="5"/>
  <c r="O381" i="5"/>
  <c r="O382" i="5"/>
  <c r="O383" i="5"/>
  <c r="O384" i="5"/>
  <c r="O385" i="5"/>
  <c r="O386" i="5"/>
  <c r="O387" i="5"/>
  <c r="O388" i="5"/>
  <c r="O389" i="5"/>
  <c r="O390" i="5"/>
  <c r="O391" i="5"/>
  <c r="O392" i="5"/>
  <c r="O393" i="5"/>
  <c r="O394" i="5"/>
  <c r="O395" i="5"/>
  <c r="O396" i="5"/>
  <c r="O397" i="5"/>
  <c r="O398" i="5"/>
  <c r="O399" i="5"/>
  <c r="O400" i="5"/>
  <c r="O401" i="5"/>
  <c r="O402" i="5"/>
  <c r="O403" i="5"/>
  <c r="O404" i="5"/>
  <c r="O405" i="5"/>
  <c r="O406" i="5"/>
  <c r="O407" i="5"/>
  <c r="O408" i="5"/>
  <c r="O409" i="5"/>
  <c r="O410" i="5"/>
  <c r="O411" i="5"/>
  <c r="O412" i="5"/>
  <c r="O413" i="5"/>
  <c r="O414" i="5"/>
  <c r="O415" i="5"/>
  <c r="O416" i="5"/>
  <c r="O417" i="5"/>
  <c r="O418" i="5"/>
  <c r="O319" i="5"/>
  <c r="O220" i="5"/>
  <c r="O221" i="5"/>
  <c r="O222" i="5"/>
  <c r="O223" i="5"/>
  <c r="O224" i="5"/>
  <c r="O225" i="5"/>
  <c r="O226" i="5"/>
  <c r="O227" i="5"/>
  <c r="O228" i="5"/>
  <c r="O229" i="5"/>
  <c r="O230" i="5"/>
  <c r="O231" i="5"/>
  <c r="O232" i="5"/>
  <c r="O233" i="5"/>
  <c r="O234" i="5"/>
  <c r="O235" i="5"/>
  <c r="O236" i="5"/>
  <c r="O237" i="5"/>
  <c r="O238" i="5"/>
  <c r="O239" i="5"/>
  <c r="O240" i="5"/>
  <c r="O241" i="5"/>
  <c r="O242" i="5"/>
  <c r="O243" i="5"/>
  <c r="O244" i="5"/>
  <c r="O245" i="5"/>
  <c r="O246" i="5"/>
  <c r="O247" i="5"/>
  <c r="O248" i="5"/>
  <c r="O249" i="5"/>
  <c r="O250" i="5"/>
  <c r="O251" i="5"/>
  <c r="O252" i="5"/>
  <c r="O253" i="5"/>
  <c r="O254" i="5"/>
  <c r="O255" i="5"/>
  <c r="O256" i="5"/>
  <c r="O257" i="5"/>
  <c r="O258" i="5"/>
  <c r="O259" i="5"/>
  <c r="O260" i="5"/>
  <c r="O261" i="5"/>
  <c r="O262" i="5"/>
  <c r="O263" i="5"/>
  <c r="O264" i="5"/>
  <c r="O265" i="5"/>
  <c r="O266" i="5"/>
  <c r="O267" i="5"/>
  <c r="O268" i="5"/>
  <c r="O269" i="5"/>
  <c r="O270" i="5"/>
  <c r="O271" i="5"/>
  <c r="O272" i="5"/>
  <c r="O273" i="5"/>
  <c r="O274" i="5"/>
  <c r="O275" i="5"/>
  <c r="O276" i="5"/>
  <c r="O277" i="5"/>
  <c r="O278" i="5"/>
  <c r="O279" i="5"/>
  <c r="O280" i="5"/>
  <c r="O281" i="5"/>
  <c r="O282" i="5"/>
  <c r="O283" i="5"/>
  <c r="O284" i="5"/>
  <c r="O285" i="5"/>
  <c r="O286" i="5"/>
  <c r="O287" i="5"/>
  <c r="O288" i="5"/>
  <c r="O289" i="5"/>
  <c r="O290" i="5"/>
  <c r="O291" i="5"/>
  <c r="O292" i="5"/>
  <c r="O293" i="5"/>
  <c r="O294" i="5"/>
  <c r="O295" i="5"/>
  <c r="O296" i="5"/>
  <c r="O297" i="5"/>
  <c r="O298" i="5"/>
  <c r="O299" i="5"/>
  <c r="O300" i="5"/>
  <c r="O301" i="5"/>
  <c r="O302" i="5"/>
  <c r="O303" i="5"/>
  <c r="O304" i="5"/>
  <c r="O305" i="5"/>
  <c r="O306" i="5"/>
  <c r="O307" i="5"/>
  <c r="O308" i="5"/>
  <c r="O309" i="5"/>
  <c r="O310" i="5"/>
  <c r="O311" i="5"/>
  <c r="O312" i="5"/>
  <c r="O313" i="5"/>
  <c r="O314" i="5"/>
  <c r="O315" i="5"/>
  <c r="O316" i="5"/>
  <c r="O317" i="5"/>
  <c r="O318" i="5"/>
  <c r="O219" i="5"/>
  <c r="O120" i="5"/>
  <c r="O121" i="5"/>
  <c r="O122" i="5"/>
  <c r="O123" i="5"/>
  <c r="O124" i="5"/>
  <c r="O125" i="5"/>
  <c r="O126" i="5"/>
  <c r="O127" i="5"/>
  <c r="O128" i="5"/>
  <c r="O129" i="5"/>
  <c r="O130" i="5"/>
  <c r="O131" i="5"/>
  <c r="O132" i="5"/>
  <c r="O133" i="5"/>
  <c r="O134" i="5"/>
  <c r="O135" i="5"/>
  <c r="O136" i="5"/>
  <c r="O137" i="5"/>
  <c r="O138" i="5"/>
  <c r="O139" i="5"/>
  <c r="O140" i="5"/>
  <c r="O141" i="5"/>
  <c r="O142" i="5"/>
  <c r="O143" i="5"/>
  <c r="O144" i="5"/>
  <c r="O145" i="5"/>
  <c r="O146" i="5"/>
  <c r="O147" i="5"/>
  <c r="O148" i="5"/>
  <c r="O149" i="5"/>
  <c r="O150" i="5"/>
  <c r="O151" i="5"/>
  <c r="O152" i="5"/>
  <c r="O153" i="5"/>
  <c r="O154" i="5"/>
  <c r="O155" i="5"/>
  <c r="O156" i="5"/>
  <c r="O157" i="5"/>
  <c r="O158" i="5"/>
  <c r="O159" i="5"/>
  <c r="O160" i="5"/>
  <c r="O161" i="5"/>
  <c r="O162" i="5"/>
  <c r="O163" i="5"/>
  <c r="O164" i="5"/>
  <c r="O165" i="5"/>
  <c r="O166" i="5"/>
  <c r="O167" i="5"/>
  <c r="O168" i="5"/>
  <c r="O169" i="5"/>
  <c r="O170" i="5"/>
  <c r="O171" i="5"/>
  <c r="O172" i="5"/>
  <c r="O173" i="5"/>
  <c r="O174" i="5"/>
  <c r="O175" i="5"/>
  <c r="O176" i="5"/>
  <c r="O177" i="5"/>
  <c r="O178" i="5"/>
  <c r="O179" i="5"/>
  <c r="O180" i="5"/>
  <c r="O181" i="5"/>
  <c r="O182" i="5"/>
  <c r="O183" i="5"/>
  <c r="O184" i="5"/>
  <c r="O185" i="5"/>
  <c r="O186" i="5"/>
  <c r="O187" i="5"/>
  <c r="O188" i="5"/>
  <c r="O189" i="5"/>
  <c r="O190" i="5"/>
  <c r="O191" i="5"/>
  <c r="O192" i="5"/>
  <c r="O193" i="5"/>
  <c r="O194" i="5"/>
  <c r="O195" i="5"/>
  <c r="O196" i="5"/>
  <c r="O197" i="5"/>
  <c r="O198" i="5"/>
  <c r="O199" i="5"/>
  <c r="O200" i="5"/>
  <c r="O201" i="5"/>
  <c r="O202" i="5"/>
  <c r="O203" i="5"/>
  <c r="O204" i="5"/>
  <c r="O205" i="5"/>
  <c r="O206" i="5"/>
  <c r="O207" i="5"/>
  <c r="O208" i="5"/>
  <c r="O209" i="5"/>
  <c r="O210" i="5"/>
  <c r="O211" i="5"/>
  <c r="O212" i="5"/>
  <c r="O213" i="5"/>
  <c r="O214" i="5"/>
  <c r="O215" i="5"/>
  <c r="O216" i="5"/>
  <c r="O217" i="5"/>
  <c r="O218" i="5"/>
  <c r="O1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104" i="5"/>
  <c r="O105" i="5"/>
  <c r="O106" i="5"/>
  <c r="O107" i="5"/>
  <c r="O108" i="5"/>
  <c r="O109" i="5"/>
  <c r="O110" i="5"/>
  <c r="O111" i="5"/>
  <c r="O112" i="5"/>
  <c r="O113" i="5"/>
  <c r="O114" i="5"/>
  <c r="O115" i="5"/>
  <c r="O116" i="5"/>
  <c r="O117" i="5"/>
  <c r="O118" i="5"/>
  <c r="O19" i="5"/>
  <c r="B29" i="3"/>
  <c r="B31" i="5" s="1"/>
  <c r="B182" i="2"/>
  <c r="B55" i="5" s="1"/>
  <c r="B184" i="2"/>
  <c r="B56" i="5" s="1"/>
  <c r="B230" i="2"/>
  <c r="B232" i="2"/>
  <c r="B59" i="5" s="1"/>
  <c r="B228" i="2"/>
  <c r="B28" i="5"/>
  <c r="B156" i="2"/>
  <c r="B155" i="2"/>
  <c r="B152" i="2"/>
  <c r="B144" i="2"/>
  <c r="B139" i="2"/>
  <c r="B27" i="5" s="1"/>
  <c r="B138" i="2"/>
  <c r="B26" i="5" s="1"/>
  <c r="B27" i="3"/>
  <c r="B25" i="3"/>
  <c r="B122" i="2"/>
  <c r="B85" i="2"/>
  <c r="B84" i="2"/>
  <c r="B22" i="3"/>
  <c r="B71" i="2"/>
  <c r="B10" i="2"/>
  <c r="B14" i="3"/>
  <c r="B12" i="3"/>
  <c r="B10" i="3"/>
  <c r="B17" i="2"/>
  <c r="B14" i="2"/>
  <c r="H85" i="1" s="1"/>
  <c r="B13" i="2"/>
  <c r="B9" i="2"/>
  <c r="B5" i="8" s="1"/>
  <c r="B8" i="2"/>
  <c r="T121" i="4" s="1"/>
  <c r="B7" i="2"/>
  <c r="B21" i="5"/>
  <c r="AP87" i="4" l="1"/>
  <c r="B10" i="5"/>
  <c r="B89" i="2"/>
  <c r="B194" i="2"/>
  <c r="B195" i="2" s="1"/>
  <c r="B63" i="5"/>
  <c r="AG85" i="5" s="1"/>
  <c r="T130" i="4"/>
  <c r="AQ130" i="4" s="1"/>
  <c r="T118" i="4"/>
  <c r="AQ118" i="4" s="1"/>
  <c r="T29" i="4"/>
  <c r="AQ29" i="4" s="1"/>
  <c r="T31" i="4"/>
  <c r="AQ31" i="4" s="1"/>
  <c r="T63" i="4"/>
  <c r="AQ63" i="4" s="1"/>
  <c r="T138" i="4"/>
  <c r="AQ138" i="4" s="1"/>
  <c r="T126" i="4"/>
  <c r="AQ126" i="4" s="1"/>
  <c r="T49" i="4"/>
  <c r="AQ49" i="4" s="1"/>
  <c r="T19" i="4"/>
  <c r="AQ19" i="4" s="1"/>
  <c r="T74" i="4"/>
  <c r="AQ74" i="4" s="1"/>
  <c r="T54" i="4"/>
  <c r="AQ54" i="4" s="1"/>
  <c r="T28" i="4"/>
  <c r="AQ28" i="4" s="1"/>
  <c r="T132" i="4"/>
  <c r="AQ132" i="4" s="1"/>
  <c r="T13" i="4"/>
  <c r="AQ13" i="4" s="1"/>
  <c r="T144" i="4"/>
  <c r="AQ144" i="4" s="1"/>
  <c r="T124" i="4"/>
  <c r="AQ124" i="4" s="1"/>
  <c r="T151" i="4"/>
  <c r="AQ151" i="4" s="1"/>
  <c r="T88" i="4"/>
  <c r="AQ88" i="4" s="1"/>
  <c r="T76" i="4"/>
  <c r="AQ76" i="4" s="1"/>
  <c r="R84" i="4"/>
  <c r="B36" i="5"/>
  <c r="Q96" i="5" s="1"/>
  <c r="T33" i="4"/>
  <c r="AQ33" i="4" s="1"/>
  <c r="B35" i="5"/>
  <c r="T79" i="4"/>
  <c r="AQ79" i="4" s="1"/>
  <c r="B58" i="5"/>
  <c r="R62" i="4"/>
  <c r="B15" i="2"/>
  <c r="R143" i="4"/>
  <c r="B16" i="2"/>
  <c r="H15" i="1" s="1"/>
  <c r="B20" i="5"/>
  <c r="R79" i="4"/>
  <c r="R105" i="4"/>
  <c r="R34" i="4"/>
  <c r="B45" i="5"/>
  <c r="B11" i="2"/>
  <c r="H13" i="1" s="1"/>
  <c r="B19" i="3"/>
  <c r="B20" i="3" s="1"/>
  <c r="B21" i="2" s="1"/>
  <c r="H16" i="1" s="1"/>
  <c r="B13" i="5"/>
  <c r="AP56" i="4"/>
  <c r="K21" i="2"/>
  <c r="AP30" i="4"/>
  <c r="AP116" i="4"/>
  <c r="AP115" i="4"/>
  <c r="AP66" i="4"/>
  <c r="AP49" i="4"/>
  <c r="O12" i="4"/>
  <c r="T30" i="4"/>
  <c r="AQ30" i="4" s="1"/>
  <c r="T152" i="4"/>
  <c r="AQ152" i="4" s="1"/>
  <c r="T82" i="4"/>
  <c r="AQ82" i="4" s="1"/>
  <c r="T27" i="4"/>
  <c r="AQ27" i="4" s="1"/>
  <c r="T137" i="4"/>
  <c r="AQ137" i="4" s="1"/>
  <c r="T105" i="4"/>
  <c r="AQ105" i="4" s="1"/>
  <c r="T80" i="4"/>
  <c r="AQ80" i="4" s="1"/>
  <c r="T24" i="4"/>
  <c r="AQ24" i="4" s="1"/>
  <c r="T62" i="4"/>
  <c r="AQ62" i="4" s="1"/>
  <c r="T93" i="4"/>
  <c r="AQ93" i="4" s="1"/>
  <c r="R141" i="4"/>
  <c r="R133" i="4"/>
  <c r="R98" i="4"/>
  <c r="R155" i="4"/>
  <c r="R76" i="4"/>
  <c r="T136" i="4"/>
  <c r="AQ136" i="4" s="1"/>
  <c r="T21" i="4"/>
  <c r="AQ21" i="4" s="1"/>
  <c r="T110" i="4"/>
  <c r="AQ110" i="4" s="1"/>
  <c r="T133" i="4"/>
  <c r="AQ133" i="4" s="1"/>
  <c r="T59" i="4"/>
  <c r="AQ59" i="4" s="1"/>
  <c r="B39" i="5"/>
  <c r="W161" i="5" s="1"/>
  <c r="Y161" i="5" s="1"/>
  <c r="T128" i="4"/>
  <c r="AQ128" i="4" s="1"/>
  <c r="T64" i="4"/>
  <c r="AQ64" i="4" s="1"/>
  <c r="T15" i="4"/>
  <c r="AQ15" i="4" s="1"/>
  <c r="T122" i="4"/>
  <c r="AQ122" i="4" s="1"/>
  <c r="T58" i="4"/>
  <c r="AQ58" i="4" s="1"/>
  <c r="T108" i="4"/>
  <c r="AQ108" i="4" s="1"/>
  <c r="T60" i="4"/>
  <c r="AQ60" i="4" s="1"/>
  <c r="T16" i="4"/>
  <c r="AQ16" i="4" s="1"/>
  <c r="T102" i="4"/>
  <c r="AQ102" i="4" s="1"/>
  <c r="T40" i="4"/>
  <c r="AQ40" i="4" s="1"/>
  <c r="T9" i="4"/>
  <c r="AQ9" i="4" s="1"/>
  <c r="T147" i="4"/>
  <c r="AQ147" i="4" s="1"/>
  <c r="T131" i="4"/>
  <c r="AQ131" i="4" s="1"/>
  <c r="T115" i="4"/>
  <c r="AQ115" i="4" s="1"/>
  <c r="T101" i="4"/>
  <c r="AQ101" i="4" s="1"/>
  <c r="T87" i="4"/>
  <c r="AQ87" i="4" s="1"/>
  <c r="T73" i="4"/>
  <c r="T57" i="4"/>
  <c r="AQ57" i="4" s="1"/>
  <c r="T43" i="4"/>
  <c r="AQ43" i="4" s="1"/>
  <c r="T103" i="4"/>
  <c r="AQ103" i="4" s="1"/>
  <c r="T77" i="4"/>
  <c r="AQ77" i="4" s="1"/>
  <c r="T25" i="4"/>
  <c r="AQ25" i="4" s="1"/>
  <c r="T72" i="4"/>
  <c r="AQ72" i="4" s="1"/>
  <c r="T66" i="4"/>
  <c r="AQ66" i="4" s="1"/>
  <c r="T20" i="4"/>
  <c r="AQ20" i="4" s="1"/>
  <c r="T149" i="4"/>
  <c r="AQ149" i="4" s="1"/>
  <c r="T75" i="4"/>
  <c r="AQ75" i="4" s="1"/>
  <c r="T120" i="4"/>
  <c r="AQ120" i="4" s="1"/>
  <c r="T56" i="4"/>
  <c r="AQ56" i="4" s="1"/>
  <c r="T12" i="4"/>
  <c r="AQ12" i="4" s="1"/>
  <c r="T114" i="4"/>
  <c r="AQ114" i="4" s="1"/>
  <c r="T50" i="4"/>
  <c r="AQ50" i="4" s="1"/>
  <c r="T14" i="4"/>
  <c r="AQ14" i="4" s="1"/>
  <c r="T52" i="4"/>
  <c r="AQ52" i="4" s="1"/>
  <c r="T8" i="4"/>
  <c r="AQ8" i="4" s="1"/>
  <c r="T94" i="4"/>
  <c r="AQ94" i="4" s="1"/>
  <c r="T37" i="4"/>
  <c r="AQ37" i="4" s="1"/>
  <c r="T145" i="4"/>
  <c r="AQ145" i="4" s="1"/>
  <c r="T129" i="4"/>
  <c r="AQ129" i="4" s="1"/>
  <c r="T113" i="4"/>
  <c r="AQ113" i="4" s="1"/>
  <c r="T99" i="4"/>
  <c r="AQ99" i="4" s="1"/>
  <c r="T71" i="4"/>
  <c r="AQ71" i="4" s="1"/>
  <c r="T55" i="4"/>
  <c r="AQ55" i="4" s="1"/>
  <c r="T41" i="4"/>
  <c r="AQ41" i="4" s="1"/>
  <c r="T17" i="4"/>
  <c r="AQ17" i="4" s="1"/>
  <c r="T89" i="4"/>
  <c r="AQ89" i="4" s="1"/>
  <c r="O9" i="4"/>
  <c r="T112" i="4"/>
  <c r="AQ112" i="4" s="1"/>
  <c r="T48" i="4"/>
  <c r="AQ48" i="4" s="1"/>
  <c r="T106" i="4"/>
  <c r="AQ106" i="4" s="1"/>
  <c r="T42" i="4"/>
  <c r="AQ42" i="4" s="1"/>
  <c r="T156" i="4"/>
  <c r="AQ156" i="4" s="1"/>
  <c r="T100" i="4"/>
  <c r="AQ100" i="4" s="1"/>
  <c r="T44" i="4"/>
  <c r="AQ44" i="4" s="1"/>
  <c r="T150" i="4"/>
  <c r="AQ150" i="4" s="1"/>
  <c r="T86" i="4"/>
  <c r="AQ86" i="4" s="1"/>
  <c r="T26" i="4"/>
  <c r="AQ26" i="4" s="1"/>
  <c r="T157" i="4"/>
  <c r="AQ157" i="4" s="1"/>
  <c r="T143" i="4"/>
  <c r="AQ143" i="4" s="1"/>
  <c r="T127" i="4"/>
  <c r="AQ127" i="4" s="1"/>
  <c r="T111" i="4"/>
  <c r="AQ111" i="4" s="1"/>
  <c r="T97" i="4"/>
  <c r="AQ97" i="4" s="1"/>
  <c r="T85" i="4"/>
  <c r="AQ85" i="4" s="1"/>
  <c r="T69" i="4"/>
  <c r="AQ69" i="4" s="1"/>
  <c r="T38" i="4"/>
  <c r="AQ38" i="4" s="1"/>
  <c r="T135" i="4"/>
  <c r="AQ135" i="4" s="1"/>
  <c r="T91" i="4"/>
  <c r="AQ91" i="4" s="1"/>
  <c r="T47" i="4"/>
  <c r="AQ47" i="4" s="1"/>
  <c r="B46" i="5"/>
  <c r="T68" i="4"/>
  <c r="AQ68" i="4" s="1"/>
  <c r="T11" i="4"/>
  <c r="AQ11" i="4" s="1"/>
  <c r="T45" i="4"/>
  <c r="AQ45" i="4" s="1"/>
  <c r="T7" i="4"/>
  <c r="AQ7" i="4" s="1"/>
  <c r="T10" i="4"/>
  <c r="AQ10" i="4" s="1"/>
  <c r="T104" i="4"/>
  <c r="AQ104" i="4" s="1"/>
  <c r="T36" i="4"/>
  <c r="AQ36" i="4" s="1"/>
  <c r="T154" i="4"/>
  <c r="AQ154" i="4" s="1"/>
  <c r="T98" i="4"/>
  <c r="AQ98" i="4" s="1"/>
  <c r="T39" i="4"/>
  <c r="AQ39" i="4" s="1"/>
  <c r="T148" i="4"/>
  <c r="AQ148" i="4" s="1"/>
  <c r="T92" i="4"/>
  <c r="AQ92" i="4" s="1"/>
  <c r="T142" i="4"/>
  <c r="AQ142" i="4" s="1"/>
  <c r="T78" i="4"/>
  <c r="AQ78" i="4" s="1"/>
  <c r="T23" i="4"/>
  <c r="AQ23" i="4" s="1"/>
  <c r="T155" i="4"/>
  <c r="AQ155" i="4" s="1"/>
  <c r="T141" i="4"/>
  <c r="T125" i="4"/>
  <c r="AQ125" i="4" s="1"/>
  <c r="T109" i="4"/>
  <c r="AQ109" i="4" s="1"/>
  <c r="T95" i="4"/>
  <c r="AQ95" i="4" s="1"/>
  <c r="T83" i="4"/>
  <c r="AQ83" i="4" s="1"/>
  <c r="T67" i="4"/>
  <c r="AQ67" i="4" s="1"/>
  <c r="T53" i="4"/>
  <c r="AQ53" i="4" s="1"/>
  <c r="B11" i="5"/>
  <c r="T119" i="4"/>
  <c r="AQ119" i="4" s="1"/>
  <c r="T61" i="4"/>
  <c r="AQ61" i="4" s="1"/>
  <c r="T18" i="4"/>
  <c r="AQ18" i="4" s="1"/>
  <c r="T116" i="4"/>
  <c r="AQ116" i="4" s="1"/>
  <c r="T46" i="4"/>
  <c r="AQ46" i="4" s="1"/>
  <c r="T117" i="4"/>
  <c r="AQ117" i="4" s="1"/>
  <c r="T22" i="4"/>
  <c r="AQ22" i="4" s="1"/>
  <c r="B17" i="5"/>
  <c r="P15" i="5" s="1"/>
  <c r="T96" i="4"/>
  <c r="AQ96" i="4" s="1"/>
  <c r="T32" i="4"/>
  <c r="AQ32" i="4" s="1"/>
  <c r="T146" i="4"/>
  <c r="AQ146" i="4" s="1"/>
  <c r="T90" i="4"/>
  <c r="AQ90" i="4" s="1"/>
  <c r="T35" i="4"/>
  <c r="AQ35" i="4" s="1"/>
  <c r="T140" i="4"/>
  <c r="AQ140" i="4" s="1"/>
  <c r="T84" i="4"/>
  <c r="AQ84" i="4" s="1"/>
  <c r="T34" i="4"/>
  <c r="AQ34" i="4" s="1"/>
  <c r="T134" i="4"/>
  <c r="T70" i="4"/>
  <c r="AQ70" i="4" s="1"/>
  <c r="T153" i="4"/>
  <c r="AQ153" i="4" s="1"/>
  <c r="T139" i="4"/>
  <c r="AQ139" i="4" s="1"/>
  <c r="T123" i="4"/>
  <c r="AQ123" i="4" s="1"/>
  <c r="T107" i="4"/>
  <c r="AQ107" i="4" s="1"/>
  <c r="T81" i="4"/>
  <c r="AQ81" i="4" s="1"/>
  <c r="T65" i="4"/>
  <c r="AQ65" i="4" s="1"/>
  <c r="T51" i="4"/>
  <c r="AQ51" i="4" s="1"/>
  <c r="L126" i="2"/>
  <c r="K38" i="5"/>
  <c r="B24" i="5"/>
  <c r="R134" i="4"/>
  <c r="R96" i="4"/>
  <c r="R71" i="4"/>
  <c r="R20" i="4"/>
  <c r="AP109" i="4"/>
  <c r="AP59" i="4"/>
  <c r="AP25" i="4"/>
  <c r="B57" i="5"/>
  <c r="B62" i="5"/>
  <c r="AM272" i="5" s="1"/>
  <c r="R126" i="4"/>
  <c r="R77" i="4"/>
  <c r="R24" i="4"/>
  <c r="R39" i="4"/>
  <c r="AP45" i="4"/>
  <c r="AP104" i="4"/>
  <c r="R91" i="4"/>
  <c r="R69" i="4"/>
  <c r="R148" i="4"/>
  <c r="R21" i="4"/>
  <c r="AP37" i="4"/>
  <c r="AP111" i="4"/>
  <c r="R70" i="4"/>
  <c r="R12" i="4"/>
  <c r="R140" i="4"/>
  <c r="AP128" i="4"/>
  <c r="AP156" i="4"/>
  <c r="B42" i="2"/>
  <c r="B3" i="8"/>
  <c r="AP33" i="4"/>
  <c r="AP58" i="4"/>
  <c r="AP127" i="4"/>
  <c r="AP123" i="4"/>
  <c r="AP148" i="4"/>
  <c r="AP53" i="4"/>
  <c r="AP94" i="4"/>
  <c r="B199" i="2"/>
  <c r="AP81" i="4"/>
  <c r="AP74" i="4"/>
  <c r="AP120" i="4"/>
  <c r="AP20" i="4"/>
  <c r="AP15" i="4"/>
  <c r="AP117" i="4"/>
  <c r="AP142" i="4"/>
  <c r="AP89" i="4"/>
  <c r="AP130" i="4"/>
  <c r="AP11" i="4"/>
  <c r="AP28" i="4"/>
  <c r="AP64" i="4"/>
  <c r="AP133" i="4"/>
  <c r="AP150" i="4"/>
  <c r="AP97" i="4"/>
  <c r="AP138" i="4"/>
  <c r="AP43" i="4"/>
  <c r="AP36" i="4"/>
  <c r="AP88" i="4"/>
  <c r="AP14" i="4"/>
  <c r="AP7" i="4"/>
  <c r="AP153" i="4"/>
  <c r="AP154" i="4"/>
  <c r="AP51" i="4"/>
  <c r="AP92" i="4"/>
  <c r="AP144" i="4"/>
  <c r="AP22" i="4"/>
  <c r="AP32" i="4"/>
  <c r="R10" i="4"/>
  <c r="R135" i="4"/>
  <c r="AP110" i="4"/>
  <c r="AP100" i="4"/>
  <c r="AP26" i="4"/>
  <c r="AP86" i="4"/>
  <c r="AP139" i="4"/>
  <c r="AP10" i="4"/>
  <c r="R19" i="4"/>
  <c r="R30" i="4"/>
  <c r="R100" i="4"/>
  <c r="R14" i="4"/>
  <c r="R95" i="4"/>
  <c r="R9" i="4"/>
  <c r="R93" i="4"/>
  <c r="R157" i="4"/>
  <c r="R86" i="4"/>
  <c r="R150" i="4"/>
  <c r="B191" i="2"/>
  <c r="B192" i="2" s="1"/>
  <c r="B220" i="2" s="1"/>
  <c r="B221" i="2" s="1"/>
  <c r="R23" i="4"/>
  <c r="R44" i="4"/>
  <c r="R108" i="4"/>
  <c r="R38" i="4"/>
  <c r="R103" i="4"/>
  <c r="R18" i="4"/>
  <c r="R101" i="4"/>
  <c r="R22" i="4"/>
  <c r="R94" i="4"/>
  <c r="R8" i="4"/>
  <c r="R27" i="4"/>
  <c r="R52" i="4"/>
  <c r="R116" i="4"/>
  <c r="R47" i="4"/>
  <c r="R111" i="4"/>
  <c r="R45" i="4"/>
  <c r="R109" i="4"/>
  <c r="R40" i="4"/>
  <c r="R102" i="4"/>
  <c r="R35" i="4"/>
  <c r="R68" i="4"/>
  <c r="R132" i="4"/>
  <c r="R63" i="4"/>
  <c r="R127" i="4"/>
  <c r="R61" i="4"/>
  <c r="R125" i="4"/>
  <c r="R54" i="4"/>
  <c r="R118" i="4"/>
  <c r="R7" i="4"/>
  <c r="R37" i="4"/>
  <c r="R73" i="4"/>
  <c r="R137" i="4"/>
  <c r="R66" i="4"/>
  <c r="R130" i="4"/>
  <c r="R64" i="4"/>
  <c r="R128" i="4"/>
  <c r="R59" i="4"/>
  <c r="R123" i="4"/>
  <c r="B42" i="5"/>
  <c r="T64" i="5" s="1"/>
  <c r="B183" i="2"/>
  <c r="H61" i="1" s="1"/>
  <c r="B62" i="2"/>
  <c r="B66" i="2"/>
  <c r="Q51" i="1"/>
  <c r="B127" i="2"/>
  <c r="B141" i="2"/>
  <c r="K141" i="2" s="1"/>
  <c r="B254" i="2"/>
  <c r="B256" i="2" s="1"/>
  <c r="B163" i="2"/>
  <c r="H47" i="1" s="1"/>
  <c r="K8" i="2"/>
  <c r="B60" i="2"/>
  <c r="B58" i="2"/>
  <c r="B203" i="2"/>
  <c r="H57" i="1"/>
  <c r="B179" i="2" s="1"/>
  <c r="O7" i="5"/>
  <c r="B219" i="2"/>
  <c r="AQ121" i="4"/>
  <c r="B48" i="2"/>
  <c r="B50" i="2"/>
  <c r="B31" i="2" s="1"/>
  <c r="B12" i="5"/>
  <c r="AP41" i="4"/>
  <c r="AP105" i="4"/>
  <c r="AP18" i="4"/>
  <c r="AP82" i="4"/>
  <c r="AP146" i="4"/>
  <c r="AP143" i="4"/>
  <c r="AP136" i="4"/>
  <c r="AP67" i="4"/>
  <c r="AP131" i="4"/>
  <c r="AP44" i="4"/>
  <c r="AP108" i="4"/>
  <c r="AP47" i="4"/>
  <c r="AP112" i="4"/>
  <c r="AP61" i="4"/>
  <c r="AP125" i="4"/>
  <c r="AP38" i="4"/>
  <c r="AP102" i="4"/>
  <c r="AP23" i="4"/>
  <c r="AP96" i="4"/>
  <c r="B48" i="5"/>
  <c r="B205" i="2"/>
  <c r="AP57" i="4"/>
  <c r="AP121" i="4"/>
  <c r="AP34" i="4"/>
  <c r="AP98" i="4"/>
  <c r="AP31" i="4"/>
  <c r="AP24" i="4"/>
  <c r="AP19" i="4"/>
  <c r="AP83" i="4"/>
  <c r="AP147" i="4"/>
  <c r="AP60" i="4"/>
  <c r="AP124" i="4"/>
  <c r="AP103" i="4"/>
  <c r="AP13" i="4"/>
  <c r="AP77" i="4"/>
  <c r="AP141" i="4"/>
  <c r="AP54" i="4"/>
  <c r="AP118" i="4"/>
  <c r="AP63" i="4"/>
  <c r="AP152" i="4"/>
  <c r="O15" i="4"/>
  <c r="K126" i="2"/>
  <c r="M8" i="4"/>
  <c r="AP65" i="4"/>
  <c r="AP129" i="4"/>
  <c r="AP42" i="4"/>
  <c r="AP106" i="4"/>
  <c r="AP55" i="4"/>
  <c r="AP48" i="4"/>
  <c r="AP27" i="4"/>
  <c r="AP91" i="4"/>
  <c r="AP155" i="4"/>
  <c r="AP68" i="4"/>
  <c r="AP132" i="4"/>
  <c r="AP135" i="4"/>
  <c r="AP21" i="4"/>
  <c r="AP85" i="4"/>
  <c r="AP149" i="4"/>
  <c r="AP62" i="4"/>
  <c r="AP126" i="4"/>
  <c r="AP95" i="4"/>
  <c r="J125" i="2"/>
  <c r="AP9" i="4"/>
  <c r="AP73" i="4"/>
  <c r="AP137" i="4"/>
  <c r="AP50" i="4"/>
  <c r="AP114" i="4"/>
  <c r="AP71" i="4"/>
  <c r="AP72" i="4"/>
  <c r="AP35" i="4"/>
  <c r="AP99" i="4"/>
  <c r="AP12" i="4"/>
  <c r="AP76" i="4"/>
  <c r="AP140" i="4"/>
  <c r="AP8" i="4"/>
  <c r="AP29" i="4"/>
  <c r="AP93" i="4"/>
  <c r="AP157" i="4"/>
  <c r="AP70" i="4"/>
  <c r="AP134" i="4"/>
  <c r="AP119" i="4"/>
  <c r="AP151" i="4"/>
  <c r="AP78" i="4"/>
  <c r="AP101" i="4"/>
  <c r="AP40" i="4"/>
  <c r="AP84" i="4"/>
  <c r="AP107" i="4"/>
  <c r="AP80" i="4"/>
  <c r="AP122" i="4"/>
  <c r="AP145" i="4"/>
  <c r="AP17" i="4"/>
  <c r="B39" i="2"/>
  <c r="H17" i="1" s="1"/>
  <c r="B189" i="2"/>
  <c r="P7" i="5" s="1"/>
  <c r="B197" i="2"/>
  <c r="B198" i="2" s="1"/>
  <c r="R25" i="4"/>
  <c r="R41" i="4"/>
  <c r="R49" i="4"/>
  <c r="R81" i="4"/>
  <c r="R113" i="4"/>
  <c r="R145" i="4"/>
  <c r="R42" i="4"/>
  <c r="R74" i="4"/>
  <c r="R106" i="4"/>
  <c r="R138" i="4"/>
  <c r="R32" i="4"/>
  <c r="R72" i="4"/>
  <c r="R104" i="4"/>
  <c r="R136" i="4"/>
  <c r="R26" i="4"/>
  <c r="R67" i="4"/>
  <c r="R99" i="4"/>
  <c r="R131" i="4"/>
  <c r="R13" i="4"/>
  <c r="B44" i="2"/>
  <c r="R29" i="4"/>
  <c r="R28" i="4"/>
  <c r="R57" i="4"/>
  <c r="R89" i="4"/>
  <c r="R121" i="4"/>
  <c r="R153" i="4"/>
  <c r="R50" i="4"/>
  <c r="R82" i="4"/>
  <c r="R114" i="4"/>
  <c r="R146" i="4"/>
  <c r="R48" i="4"/>
  <c r="R80" i="4"/>
  <c r="R112" i="4"/>
  <c r="R144" i="4"/>
  <c r="R43" i="4"/>
  <c r="R75" i="4"/>
  <c r="R107" i="4"/>
  <c r="R139" i="4"/>
  <c r="B52" i="2"/>
  <c r="B33" i="2" s="1"/>
  <c r="R15" i="4"/>
  <c r="R31" i="4"/>
  <c r="R36" i="4"/>
  <c r="R60" i="4"/>
  <c r="R92" i="4"/>
  <c r="R124" i="4"/>
  <c r="R156" i="4"/>
  <c r="R55" i="4"/>
  <c r="R87" i="4"/>
  <c r="R119" i="4"/>
  <c r="R151" i="4"/>
  <c r="R53" i="4"/>
  <c r="R85" i="4"/>
  <c r="R117" i="4"/>
  <c r="R149" i="4"/>
  <c r="R46" i="4"/>
  <c r="R78" i="4"/>
  <c r="R110" i="4"/>
  <c r="R142" i="4"/>
  <c r="B161" i="2"/>
  <c r="H45" i="1" s="1"/>
  <c r="B55" i="2"/>
  <c r="B68" i="2"/>
  <c r="R17" i="4"/>
  <c r="R33" i="4"/>
  <c r="R16" i="4"/>
  <c r="R65" i="4"/>
  <c r="R97" i="4"/>
  <c r="R129" i="4"/>
  <c r="R11" i="4"/>
  <c r="R58" i="4"/>
  <c r="R90" i="4"/>
  <c r="R122" i="4"/>
  <c r="R154" i="4"/>
  <c r="R56" i="4"/>
  <c r="R88" i="4"/>
  <c r="R120" i="4"/>
  <c r="R152" i="4"/>
  <c r="R51" i="4"/>
  <c r="R83" i="4"/>
  <c r="R115" i="4"/>
  <c r="R147" i="4"/>
  <c r="B185" i="2"/>
  <c r="J126" i="2"/>
  <c r="B29" i="5"/>
  <c r="B202" i="2"/>
  <c r="AP39" i="4"/>
  <c r="AP46" i="4"/>
  <c r="AP69" i="4"/>
  <c r="AP79" i="4"/>
  <c r="AP52" i="4"/>
  <c r="AP75" i="4"/>
  <c r="AP16" i="4"/>
  <c r="AP90" i="4"/>
  <c r="AP113" i="4"/>
  <c r="B4" i="8"/>
  <c r="B64" i="2"/>
  <c r="B46" i="2"/>
  <c r="B61" i="5"/>
  <c r="B171" i="2"/>
  <c r="H52" i="1" s="1"/>
  <c r="B173" i="2"/>
  <c r="T75" i="5"/>
  <c r="B64" i="5"/>
  <c r="AJ64" i="5" s="1"/>
  <c r="T51" i="5"/>
  <c r="AM486" i="5" l="1"/>
  <c r="AM498" i="5"/>
  <c r="AM115" i="5"/>
  <c r="AM540" i="5"/>
  <c r="AG476" i="5"/>
  <c r="AG364" i="5"/>
  <c r="AG528" i="5"/>
  <c r="AG113" i="5"/>
  <c r="AG493" i="5"/>
  <c r="AG477" i="5"/>
  <c r="AG405" i="5"/>
  <c r="AH405" i="5" s="1"/>
  <c r="AG42" i="5"/>
  <c r="AH42" i="5" s="1"/>
  <c r="AG97" i="5"/>
  <c r="AI97" i="5" s="1"/>
  <c r="AG51" i="5"/>
  <c r="AG444" i="5"/>
  <c r="AI444" i="5" s="1"/>
  <c r="AG492" i="5"/>
  <c r="AG283" i="5"/>
  <c r="AG300" i="5"/>
  <c r="AG403" i="5"/>
  <c r="AI403" i="5" s="1"/>
  <c r="AM365" i="5"/>
  <c r="AM258" i="5"/>
  <c r="AM133" i="5"/>
  <c r="AM476" i="5"/>
  <c r="AO476" i="5" s="1"/>
  <c r="AG452" i="5"/>
  <c r="AI452" i="5" s="1"/>
  <c r="AG91" i="5"/>
  <c r="AH91" i="5" s="1"/>
  <c r="AG355" i="5"/>
  <c r="AG30" i="5"/>
  <c r="AH30" i="5" s="1"/>
  <c r="AG99" i="5"/>
  <c r="AH99" i="5" s="1"/>
  <c r="AG558" i="5"/>
  <c r="AG350" i="5"/>
  <c r="AG255" i="5"/>
  <c r="AG340" i="5"/>
  <c r="AG379" i="5"/>
  <c r="AG78" i="5"/>
  <c r="AG438" i="5"/>
  <c r="AH438" i="5" s="1"/>
  <c r="AG368" i="5"/>
  <c r="AI368" i="5" s="1"/>
  <c r="AG69" i="5"/>
  <c r="AH69" i="5" s="1"/>
  <c r="AG436" i="5"/>
  <c r="AI436" i="5" s="1"/>
  <c r="AG216" i="5"/>
  <c r="AI216" i="5" s="1"/>
  <c r="AG105" i="5"/>
  <c r="AH105" i="5" s="1"/>
  <c r="AG291" i="5"/>
  <c r="AG380" i="5"/>
  <c r="AG422" i="5"/>
  <c r="AI422" i="5" s="1"/>
  <c r="AG281" i="5"/>
  <c r="AG409" i="5"/>
  <c r="AI409" i="5" s="1"/>
  <c r="AG202" i="5"/>
  <c r="AG330" i="5"/>
  <c r="AH330" i="5" s="1"/>
  <c r="AG485" i="5"/>
  <c r="AI485" i="5" s="1"/>
  <c r="AG119" i="5"/>
  <c r="AH119" i="5" s="1"/>
  <c r="AG398" i="5"/>
  <c r="AG486" i="5"/>
  <c r="AI486" i="5" s="1"/>
  <c r="AG394" i="5"/>
  <c r="AI394" i="5" s="1"/>
  <c r="AG418" i="5"/>
  <c r="AG313" i="5"/>
  <c r="AG447" i="5"/>
  <c r="AG535" i="5"/>
  <c r="AG338" i="5"/>
  <c r="AG356" i="5"/>
  <c r="AG354" i="5"/>
  <c r="AI354" i="5" s="1"/>
  <c r="AG332" i="5"/>
  <c r="AH332" i="5" s="1"/>
  <c r="AG301" i="5"/>
  <c r="AH301" i="5" s="1"/>
  <c r="AG219" i="5"/>
  <c r="AG19" i="5"/>
  <c r="AI19" i="5" s="1"/>
  <c r="AG84" i="5"/>
  <c r="AH84" i="5" s="1"/>
  <c r="AG221" i="5"/>
  <c r="AG270" i="5"/>
  <c r="AG158" i="5"/>
  <c r="AH158" i="5" s="1"/>
  <c r="AG233" i="5"/>
  <c r="AG222" i="5"/>
  <c r="AG190" i="5"/>
  <c r="AG205" i="5"/>
  <c r="AI205" i="5" s="1"/>
  <c r="AG134" i="5"/>
  <c r="AH134" i="5" s="1"/>
  <c r="AG229" i="5"/>
  <c r="AH229" i="5" s="1"/>
  <c r="AG526" i="5"/>
  <c r="AI526" i="5" s="1"/>
  <c r="AG197" i="5"/>
  <c r="AH197" i="5" s="1"/>
  <c r="AG166" i="5"/>
  <c r="AH166" i="5" s="1"/>
  <c r="AG182" i="5"/>
  <c r="AG181" i="5"/>
  <c r="AG101" i="5"/>
  <c r="AG218" i="5"/>
  <c r="AG136" i="5"/>
  <c r="AG155" i="5"/>
  <c r="AI155" i="5" s="1"/>
  <c r="AG211" i="5"/>
  <c r="AI211" i="5" s="1"/>
  <c r="AG148" i="5"/>
  <c r="AH148" i="5" s="1"/>
  <c r="AG118" i="5"/>
  <c r="AI118" i="5" s="1"/>
  <c r="AG21" i="5"/>
  <c r="AG94" i="5"/>
  <c r="AH94" i="5" s="1"/>
  <c r="AG65" i="5"/>
  <c r="AH65" i="5" s="1"/>
  <c r="AG488" i="5"/>
  <c r="AG80" i="5"/>
  <c r="AG137" i="5"/>
  <c r="AH137" i="5" s="1"/>
  <c r="AG81" i="5"/>
  <c r="AG454" i="5"/>
  <c r="AG520" i="5"/>
  <c r="AG517" i="5"/>
  <c r="AI517" i="5" s="1"/>
  <c r="AG548" i="5"/>
  <c r="AH548" i="5" s="1"/>
  <c r="AG441" i="5"/>
  <c r="AI441" i="5" s="1"/>
  <c r="AG308" i="5"/>
  <c r="AI308" i="5" s="1"/>
  <c r="AG124" i="5"/>
  <c r="AH124" i="5" s="1"/>
  <c r="AG116" i="5"/>
  <c r="AI116" i="5" s="1"/>
  <c r="AG122" i="5"/>
  <c r="AI122" i="5" s="1"/>
  <c r="AG186" i="5"/>
  <c r="AH186" i="5" s="1"/>
  <c r="AG31" i="5"/>
  <c r="AI31" i="5" s="1"/>
  <c r="AG312" i="5"/>
  <c r="AG483" i="5"/>
  <c r="AI483" i="5" s="1"/>
  <c r="AG480" i="5"/>
  <c r="AI480" i="5" s="1"/>
  <c r="AG50" i="5"/>
  <c r="AH50" i="5" s="1"/>
  <c r="AG265" i="5"/>
  <c r="AH265" i="5" s="1"/>
  <c r="AG39" i="5"/>
  <c r="AH39" i="5" s="1"/>
  <c r="AG128" i="5"/>
  <c r="AI128" i="5" s="1"/>
  <c r="AG507" i="5"/>
  <c r="AH507" i="5" s="1"/>
  <c r="AG504" i="5"/>
  <c r="AI504" i="5" s="1"/>
  <c r="AG123" i="5"/>
  <c r="AG73" i="5"/>
  <c r="AG196" i="5"/>
  <c r="AH196" i="5" s="1"/>
  <c r="AG74" i="5"/>
  <c r="AH74" i="5" s="1"/>
  <c r="AG439" i="5"/>
  <c r="AG192" i="5"/>
  <c r="AG347" i="5"/>
  <c r="AI347" i="5" s="1"/>
  <c r="AG320" i="5"/>
  <c r="AH320" i="5" s="1"/>
  <c r="AG177" i="5"/>
  <c r="AI177" i="5" s="1"/>
  <c r="AG163" i="5"/>
  <c r="AH163" i="5" s="1"/>
  <c r="AG107" i="5"/>
  <c r="AI107" i="5" s="1"/>
  <c r="AG179" i="5"/>
  <c r="AI179" i="5" s="1"/>
  <c r="AG132" i="5"/>
  <c r="AH132" i="5" s="1"/>
  <c r="AG387" i="5"/>
  <c r="AG560" i="5"/>
  <c r="AG245" i="5"/>
  <c r="AG262" i="5"/>
  <c r="AG551" i="5"/>
  <c r="AG173" i="5"/>
  <c r="AI173" i="5" s="1"/>
  <c r="AG318" i="5"/>
  <c r="AH318" i="5" s="1"/>
  <c r="AG516" i="5"/>
  <c r="AH516" i="5" s="1"/>
  <c r="AG165" i="5"/>
  <c r="AG335" i="5"/>
  <c r="AH335" i="5" s="1"/>
  <c r="AG432" i="5"/>
  <c r="AH432" i="5" s="1"/>
  <c r="AG24" i="5"/>
  <c r="AG152" i="5"/>
  <c r="AH152" i="5" s="1"/>
  <c r="AG59" i="5"/>
  <c r="AI59" i="5" s="1"/>
  <c r="AG242" i="5"/>
  <c r="AG147" i="5"/>
  <c r="AG349" i="5"/>
  <c r="AH349" i="5" s="1"/>
  <c r="AG282" i="5"/>
  <c r="AI282" i="5" s="1"/>
  <c r="AG25" i="5"/>
  <c r="AH25" i="5" s="1"/>
  <c r="AG305" i="5"/>
  <c r="AI305" i="5" s="1"/>
  <c r="AG389" i="5"/>
  <c r="AI389" i="5" s="1"/>
  <c r="AG194" i="5"/>
  <c r="AI194" i="5" s="1"/>
  <c r="AG397" i="5"/>
  <c r="AI397" i="5" s="1"/>
  <c r="AG524" i="5"/>
  <c r="AG138" i="5"/>
  <c r="AG244" i="5"/>
  <c r="AH244" i="5" s="1"/>
  <c r="AG370" i="5"/>
  <c r="AG153" i="5"/>
  <c r="AG223" i="5"/>
  <c r="AG448" i="5"/>
  <c r="AH448" i="5" s="1"/>
  <c r="AG48" i="5"/>
  <c r="AI48" i="5" s="1"/>
  <c r="AG168" i="5"/>
  <c r="AH168" i="5" s="1"/>
  <c r="AG98" i="5"/>
  <c r="AI98" i="5" s="1"/>
  <c r="AG249" i="5"/>
  <c r="AH249" i="5" s="1"/>
  <c r="AG515" i="5"/>
  <c r="AH515" i="5" s="1"/>
  <c r="AG559" i="5"/>
  <c r="AG231" i="5"/>
  <c r="AH231" i="5" s="1"/>
  <c r="AG131" i="5"/>
  <c r="AG499" i="5"/>
  <c r="AG552" i="5"/>
  <c r="AG146" i="5"/>
  <c r="AG341" i="5"/>
  <c r="AI341" i="5" s="1"/>
  <c r="AG302" i="5"/>
  <c r="AI302" i="5" s="1"/>
  <c r="AG109" i="5"/>
  <c r="AI109" i="5" s="1"/>
  <c r="AG258" i="5"/>
  <c r="AG510" i="5"/>
  <c r="AH510" i="5" s="1"/>
  <c r="AG89" i="5"/>
  <c r="AI89" i="5" s="1"/>
  <c r="AG239" i="5"/>
  <c r="AG464" i="5"/>
  <c r="AG96" i="5"/>
  <c r="AG375" i="5"/>
  <c r="AG40" i="5"/>
  <c r="AG145" i="5"/>
  <c r="AI145" i="5" s="1"/>
  <c r="AG322" i="5"/>
  <c r="AH322" i="5" s="1"/>
  <c r="AG100" i="5"/>
  <c r="AH100" i="5" s="1"/>
  <c r="AG484" i="5"/>
  <c r="AH484" i="5" s="1"/>
  <c r="AG393" i="5"/>
  <c r="AI393" i="5" s="1"/>
  <c r="AG257" i="5"/>
  <c r="AI257" i="5" s="1"/>
  <c r="AG527" i="5"/>
  <c r="AH527" i="5" s="1"/>
  <c r="AG404" i="5"/>
  <c r="AG37" i="5"/>
  <c r="AG261" i="5"/>
  <c r="AG522" i="5"/>
  <c r="AG506" i="5"/>
  <c r="AG140" i="5"/>
  <c r="AH140" i="5" s="1"/>
  <c r="AG321" i="5"/>
  <c r="AI321" i="5" s="1"/>
  <c r="AG54" i="5"/>
  <c r="AH54" i="5" s="1"/>
  <c r="AG287" i="5"/>
  <c r="AH287" i="5" s="1"/>
  <c r="AG360" i="5"/>
  <c r="AG513" i="5"/>
  <c r="AH513" i="5" s="1"/>
  <c r="AG161" i="5"/>
  <c r="AH161" i="5" s="1"/>
  <c r="AG187" i="5"/>
  <c r="AH187" i="5" s="1"/>
  <c r="AG156" i="5"/>
  <c r="AG183" i="5"/>
  <c r="AI183" i="5" s="1"/>
  <c r="AG195" i="5"/>
  <c r="AH195" i="5" s="1"/>
  <c r="AG171" i="5"/>
  <c r="AG167" i="5"/>
  <c r="AI167" i="5" s="1"/>
  <c r="AG127" i="5"/>
  <c r="AI127" i="5" s="1"/>
  <c r="AG296" i="5"/>
  <c r="AH296" i="5" s="1"/>
  <c r="AG549" i="5"/>
  <c r="AI549" i="5" s="1"/>
  <c r="AG534" i="5"/>
  <c r="AH534" i="5" s="1"/>
  <c r="AG310" i="5"/>
  <c r="AH310" i="5" s="1"/>
  <c r="AG75" i="5"/>
  <c r="AH75" i="5" s="1"/>
  <c r="AG111" i="5"/>
  <c r="AI111" i="5" s="1"/>
  <c r="AG247" i="5"/>
  <c r="AH247" i="5" s="1"/>
  <c r="AG135" i="5"/>
  <c r="AH135" i="5" s="1"/>
  <c r="AG304" i="5"/>
  <c r="AG459" i="5"/>
  <c r="AI459" i="5" s="1"/>
  <c r="AG472" i="5"/>
  <c r="AI472" i="5" s="1"/>
  <c r="AG358" i="5"/>
  <c r="AI358" i="5" s="1"/>
  <c r="AG83" i="5"/>
  <c r="AI83" i="5" s="1"/>
  <c r="AG213" i="5"/>
  <c r="AI213" i="5" s="1"/>
  <c r="AG537" i="5"/>
  <c r="AH537" i="5" s="1"/>
  <c r="AG77" i="5"/>
  <c r="AH77" i="5" s="1"/>
  <c r="AG26" i="5"/>
  <c r="AI26" i="5" s="1"/>
  <c r="AG121" i="5"/>
  <c r="AG455" i="5"/>
  <c r="AG104" i="5"/>
  <c r="AG319" i="5"/>
  <c r="AG180" i="5"/>
  <c r="AH180" i="5" s="1"/>
  <c r="AG323" i="5"/>
  <c r="AI323" i="5" s="1"/>
  <c r="AG174" i="5"/>
  <c r="AI174" i="5" s="1"/>
  <c r="AG217" i="5"/>
  <c r="AI217" i="5" s="1"/>
  <c r="AG149" i="5"/>
  <c r="AI149" i="5" s="1"/>
  <c r="AG142" i="5"/>
  <c r="AI142" i="5" s="1"/>
  <c r="AG22" i="5"/>
  <c r="AH22" i="5" s="1"/>
  <c r="AG45" i="5"/>
  <c r="AG93" i="5"/>
  <c r="AG463" i="5"/>
  <c r="AI463" i="5" s="1"/>
  <c r="AG334" i="5"/>
  <c r="AI334" i="5" s="1"/>
  <c r="AG427" i="5"/>
  <c r="AH427" i="5" s="1"/>
  <c r="AG429" i="5"/>
  <c r="AH429" i="5" s="1"/>
  <c r="AG259" i="5"/>
  <c r="AH259" i="5" s="1"/>
  <c r="AG178" i="5"/>
  <c r="AH178" i="5" s="1"/>
  <c r="AG141" i="5"/>
  <c r="AH141" i="5" s="1"/>
  <c r="AG20" i="5"/>
  <c r="AH20" i="5" s="1"/>
  <c r="AG542" i="5"/>
  <c r="AH542" i="5" s="1"/>
  <c r="AG66" i="5"/>
  <c r="AI66" i="5" s="1"/>
  <c r="AG327" i="5"/>
  <c r="AG502" i="5"/>
  <c r="AG518" i="5"/>
  <c r="AH518" i="5" s="1"/>
  <c r="AG442" i="5"/>
  <c r="AI442" i="5" s="1"/>
  <c r="AG290" i="5"/>
  <c r="AG299" i="5"/>
  <c r="AG531" i="5"/>
  <c r="AH531" i="5" s="1"/>
  <c r="AG460" i="5"/>
  <c r="AH460" i="5" s="1"/>
  <c r="AG450" i="5"/>
  <c r="AH450" i="5" s="1"/>
  <c r="AG382" i="5"/>
  <c r="AH382" i="5" s="1"/>
  <c r="AG378" i="5"/>
  <c r="AG47" i="5"/>
  <c r="AI47" i="5" s="1"/>
  <c r="AG240" i="5"/>
  <c r="AH240" i="5" s="1"/>
  <c r="AG336" i="5"/>
  <c r="AH336" i="5" s="1"/>
  <c r="AG505" i="5"/>
  <c r="AI505" i="5" s="1"/>
  <c r="AG465" i="5"/>
  <c r="AI465" i="5" s="1"/>
  <c r="AG451" i="5"/>
  <c r="AI451" i="5" s="1"/>
  <c r="AG294" i="5"/>
  <c r="AH294" i="5" s="1"/>
  <c r="AG410" i="5"/>
  <c r="AH410" i="5" s="1"/>
  <c r="AG226" i="5"/>
  <c r="AH226" i="5" s="1"/>
  <c r="AG284" i="5"/>
  <c r="AH284" i="5" s="1"/>
  <c r="AG55" i="5"/>
  <c r="AI55" i="5" s="1"/>
  <c r="AG256" i="5"/>
  <c r="AH256" i="5" s="1"/>
  <c r="AG352" i="5"/>
  <c r="AI352" i="5" s="1"/>
  <c r="AG509" i="5"/>
  <c r="AH509" i="5" s="1"/>
  <c r="AG467" i="5"/>
  <c r="AI467" i="5" s="1"/>
  <c r="AG466" i="5"/>
  <c r="AG386" i="5"/>
  <c r="AG420" i="5"/>
  <c r="AG348" i="5"/>
  <c r="AG345" i="5"/>
  <c r="AI345" i="5" s="1"/>
  <c r="AG79" i="5"/>
  <c r="AH79" i="5" s="1"/>
  <c r="AG264" i="5"/>
  <c r="AH264" i="5" s="1"/>
  <c r="AG425" i="5"/>
  <c r="AI425" i="5" s="1"/>
  <c r="AG120" i="5"/>
  <c r="AH120" i="5" s="1"/>
  <c r="AG169" i="5"/>
  <c r="AH169" i="5" s="1"/>
  <c r="AG395" i="5"/>
  <c r="AH395" i="5" s="1"/>
  <c r="AG33" i="5"/>
  <c r="AI33" i="5" s="1"/>
  <c r="AG238" i="5"/>
  <c r="AG306" i="5"/>
  <c r="AH306" i="5" s="1"/>
  <c r="AG273" i="5"/>
  <c r="AH273" i="5" s="1"/>
  <c r="AG280" i="5"/>
  <c r="AI280" i="5" s="1"/>
  <c r="AG547" i="5"/>
  <c r="AI547" i="5" s="1"/>
  <c r="AG344" i="5"/>
  <c r="AI344" i="5" s="1"/>
  <c r="AG501" i="5"/>
  <c r="AI501" i="5" s="1"/>
  <c r="AG246" i="5"/>
  <c r="AI246" i="5" s="1"/>
  <c r="AG68" i="5"/>
  <c r="AH68" i="5" s="1"/>
  <c r="AG60" i="5"/>
  <c r="AH60" i="5" s="1"/>
  <c r="AG271" i="5"/>
  <c r="AG253" i="5"/>
  <c r="AH253" i="5" s="1"/>
  <c r="AG151" i="5"/>
  <c r="AH151" i="5" s="1"/>
  <c r="AG415" i="5"/>
  <c r="AH415" i="5" s="1"/>
  <c r="AG367" i="5"/>
  <c r="AI367" i="5" s="1"/>
  <c r="AG385" i="5"/>
  <c r="AH385" i="5" s="1"/>
  <c r="AG28" i="5"/>
  <c r="AI28" i="5" s="1"/>
  <c r="AG376" i="5"/>
  <c r="AI376" i="5" s="1"/>
  <c r="AG220" i="5"/>
  <c r="AH220" i="5" s="1"/>
  <c r="AG307" i="5"/>
  <c r="AH307" i="5" s="1"/>
  <c r="AG198" i="5"/>
  <c r="AH198" i="5" s="1"/>
  <c r="AG343" i="5"/>
  <c r="AI343" i="5" s="1"/>
  <c r="AG511" i="5"/>
  <c r="AH511" i="5" s="1"/>
  <c r="AG125" i="5"/>
  <c r="AH125" i="5" s="1"/>
  <c r="AG473" i="5"/>
  <c r="AI473" i="5" s="1"/>
  <c r="AG278" i="5"/>
  <c r="AH278" i="5" s="1"/>
  <c r="AG29" i="5"/>
  <c r="AH29" i="5" s="1"/>
  <c r="AG326" i="5"/>
  <c r="AI326" i="5" s="1"/>
  <c r="AG286" i="5"/>
  <c r="AH286" i="5" s="1"/>
  <c r="AG545" i="5"/>
  <c r="AH545" i="5" s="1"/>
  <c r="AG160" i="5"/>
  <c r="AH160" i="5" s="1"/>
  <c r="AG408" i="5"/>
  <c r="AI408" i="5" s="1"/>
  <c r="AG268" i="5"/>
  <c r="AI268" i="5" s="1"/>
  <c r="AG254" i="5"/>
  <c r="AH254" i="5" s="1"/>
  <c r="AG62" i="5"/>
  <c r="AH62" i="5" s="1"/>
  <c r="AG207" i="5"/>
  <c r="AG521" i="5"/>
  <c r="AH521" i="5" s="1"/>
  <c r="AG260" i="5"/>
  <c r="AI260" i="5" s="1"/>
  <c r="AG412" i="5"/>
  <c r="AI412" i="5" s="1"/>
  <c r="AG556" i="5"/>
  <c r="AH556" i="5" s="1"/>
  <c r="AG189" i="5"/>
  <c r="AH189" i="5" s="1"/>
  <c r="AG437" i="5"/>
  <c r="AH437" i="5" s="1"/>
  <c r="AG426" i="5"/>
  <c r="AI426" i="5" s="1"/>
  <c r="AG250" i="5"/>
  <c r="AI250" i="5" s="1"/>
  <c r="AG525" i="5"/>
  <c r="AH525" i="5" s="1"/>
  <c r="AG199" i="5"/>
  <c r="AH199" i="5" s="1"/>
  <c r="AG176" i="5"/>
  <c r="AH176" i="5" s="1"/>
  <c r="AG416" i="5"/>
  <c r="AG292" i="5"/>
  <c r="AG317" i="5"/>
  <c r="AI317" i="5" s="1"/>
  <c r="AG203" i="5"/>
  <c r="AH203" i="5" s="1"/>
  <c r="AG423" i="5"/>
  <c r="AI423" i="5" s="1"/>
  <c r="AG90" i="5"/>
  <c r="AH90" i="5" s="1"/>
  <c r="AG236" i="5"/>
  <c r="AI236" i="5" s="1"/>
  <c r="AG544" i="5"/>
  <c r="AI544" i="5" s="1"/>
  <c r="AG237" i="5"/>
  <c r="AH237" i="5" s="1"/>
  <c r="AG38" i="5"/>
  <c r="AH38" i="5" s="1"/>
  <c r="AG143" i="5"/>
  <c r="AI143" i="5" s="1"/>
  <c r="AG337" i="5"/>
  <c r="AI337" i="5" s="1"/>
  <c r="AG117" i="5"/>
  <c r="AH117" i="5" s="1"/>
  <c r="AG530" i="5"/>
  <c r="AI530" i="5" s="1"/>
  <c r="AG34" i="5"/>
  <c r="AH34" i="5" s="1"/>
  <c r="AG234" i="5"/>
  <c r="AI234" i="5" s="1"/>
  <c r="AG372" i="5"/>
  <c r="AI372" i="5" s="1"/>
  <c r="AG449" i="5"/>
  <c r="AI449" i="5" s="1"/>
  <c r="AG316" i="5"/>
  <c r="AI316" i="5" s="1"/>
  <c r="AG553" i="5"/>
  <c r="AH553" i="5" s="1"/>
  <c r="AG159" i="5"/>
  <c r="AI159" i="5" s="1"/>
  <c r="AG144" i="5"/>
  <c r="AI144" i="5" s="1"/>
  <c r="AG36" i="5"/>
  <c r="AH36" i="5" s="1"/>
  <c r="AG400" i="5"/>
  <c r="AI400" i="5" s="1"/>
  <c r="AG228" i="5"/>
  <c r="AI228" i="5" s="1"/>
  <c r="AG366" i="5"/>
  <c r="AI366" i="5" s="1"/>
  <c r="AG188" i="5"/>
  <c r="AH188" i="5" s="1"/>
  <c r="AG401" i="5"/>
  <c r="AH401" i="5" s="1"/>
  <c r="AG46" i="5"/>
  <c r="AI46" i="5" s="1"/>
  <c r="AG172" i="5"/>
  <c r="AH172" i="5" s="1"/>
  <c r="AG494" i="5"/>
  <c r="AI494" i="5" s="1"/>
  <c r="AG154" i="5"/>
  <c r="AI154" i="5" s="1"/>
  <c r="AG523" i="5"/>
  <c r="AI523" i="5" s="1"/>
  <c r="AG175" i="5"/>
  <c r="AH175" i="5" s="1"/>
  <c r="AG44" i="5"/>
  <c r="AH44" i="5" s="1"/>
  <c r="AG309" i="5"/>
  <c r="AI309" i="5" s="1"/>
  <c r="AG357" i="5"/>
  <c r="AH357" i="5" s="1"/>
  <c r="AG214" i="5"/>
  <c r="AI214" i="5" s="1"/>
  <c r="AG402" i="5"/>
  <c r="AI402" i="5" s="1"/>
  <c r="AG365" i="5"/>
  <c r="AI365" i="5" s="1"/>
  <c r="AG157" i="5"/>
  <c r="AI157" i="5" s="1"/>
  <c r="AG406" i="5"/>
  <c r="AI406" i="5" s="1"/>
  <c r="AG536" i="5"/>
  <c r="AI536" i="5" s="1"/>
  <c r="AG324" i="5"/>
  <c r="AH324" i="5" s="1"/>
  <c r="AG533" i="5"/>
  <c r="AI533" i="5" s="1"/>
  <c r="AG23" i="5"/>
  <c r="AI23" i="5" s="1"/>
  <c r="AG184" i="5"/>
  <c r="AI184" i="5" s="1"/>
  <c r="AG503" i="5"/>
  <c r="AH503" i="5" s="1"/>
  <c r="AG224" i="5"/>
  <c r="AG303" i="5"/>
  <c r="AH303" i="5" s="1"/>
  <c r="AG508" i="5"/>
  <c r="AH508" i="5" s="1"/>
  <c r="AG311" i="5"/>
  <c r="AG550" i="5"/>
  <c r="AH550" i="5" s="1"/>
  <c r="AG115" i="5"/>
  <c r="AI115" i="5" s="1"/>
  <c r="AG295" i="5"/>
  <c r="AI295" i="5" s="1"/>
  <c r="AG129" i="5"/>
  <c r="AG267" i="5"/>
  <c r="AI267" i="5" s="1"/>
  <c r="AG461" i="5"/>
  <c r="AI461" i="5" s="1"/>
  <c r="AG162" i="5"/>
  <c r="AI162" i="5" s="1"/>
  <c r="AG421" i="5"/>
  <c r="AI421" i="5" s="1"/>
  <c r="AG458" i="5"/>
  <c r="AI458" i="5" s="1"/>
  <c r="AG126" i="5"/>
  <c r="AH126" i="5" s="1"/>
  <c r="AG285" i="5"/>
  <c r="AI285" i="5" s="1"/>
  <c r="AG474" i="5"/>
  <c r="AI474" i="5" s="1"/>
  <c r="AG164" i="5"/>
  <c r="AI164" i="5" s="1"/>
  <c r="AG487" i="5"/>
  <c r="AH487" i="5" s="1"/>
  <c r="AG87" i="5"/>
  <c r="AI87" i="5" s="1"/>
  <c r="AG496" i="5"/>
  <c r="AH496" i="5" s="1"/>
  <c r="AG56" i="5"/>
  <c r="AI56" i="5" s="1"/>
  <c r="AG353" i="5"/>
  <c r="AI353" i="5" s="1"/>
  <c r="AG554" i="5"/>
  <c r="AH554" i="5" s="1"/>
  <c r="AG200" i="5"/>
  <c r="AI200" i="5" s="1"/>
  <c r="AG490" i="5"/>
  <c r="AI490" i="5" s="1"/>
  <c r="AG235" i="5"/>
  <c r="AI235" i="5" s="1"/>
  <c r="AG514" i="5"/>
  <c r="AI514" i="5" s="1"/>
  <c r="AG86" i="5"/>
  <c r="AH86" i="5" s="1"/>
  <c r="AG230" i="5"/>
  <c r="AG414" i="5"/>
  <c r="AG495" i="5"/>
  <c r="AI495" i="5" s="1"/>
  <c r="AG103" i="5"/>
  <c r="AH103" i="5" s="1"/>
  <c r="AG512" i="5"/>
  <c r="AH512" i="5" s="1"/>
  <c r="AG64" i="5"/>
  <c r="AI64" i="5" s="1"/>
  <c r="AG361" i="5"/>
  <c r="AI361" i="5" s="1"/>
  <c r="AG538" i="5"/>
  <c r="AI538" i="5" s="1"/>
  <c r="AG208" i="5"/>
  <c r="AG478" i="5"/>
  <c r="AH478" i="5" s="1"/>
  <c r="AG315" i="5"/>
  <c r="AI315" i="5" s="1"/>
  <c r="AG539" i="5"/>
  <c r="AI539" i="5" s="1"/>
  <c r="AG114" i="5"/>
  <c r="AI114" i="5" s="1"/>
  <c r="AG293" i="5"/>
  <c r="AG489" i="5"/>
  <c r="AI489" i="5" s="1"/>
  <c r="AG133" i="5"/>
  <c r="AI133" i="5" s="1"/>
  <c r="AG419" i="5"/>
  <c r="AI419" i="5" s="1"/>
  <c r="AG328" i="5"/>
  <c r="AI328" i="5" s="1"/>
  <c r="AG72" i="5"/>
  <c r="AH72" i="5" s="1"/>
  <c r="AG377" i="5"/>
  <c r="AI377" i="5" s="1"/>
  <c r="AG546" i="5"/>
  <c r="AI546" i="5" s="1"/>
  <c r="AG32" i="5"/>
  <c r="AI32" i="5" s="1"/>
  <c r="AG297" i="5"/>
  <c r="AI297" i="5" s="1"/>
  <c r="AG482" i="5"/>
  <c r="AH482" i="5" s="1"/>
  <c r="AG139" i="5"/>
  <c r="AH139" i="5" s="1"/>
  <c r="AG413" i="5"/>
  <c r="AH413" i="5" s="1"/>
  <c r="AG106" i="5"/>
  <c r="AI106" i="5" s="1"/>
  <c r="AG279" i="5"/>
  <c r="AH279" i="5" s="1"/>
  <c r="AG475" i="5"/>
  <c r="AG497" i="5"/>
  <c r="AH497" i="5" s="1"/>
  <c r="AG390" i="5"/>
  <c r="AI390" i="5" s="1"/>
  <c r="AG110" i="5"/>
  <c r="AI110" i="5" s="1"/>
  <c r="AG384" i="5"/>
  <c r="AI384" i="5" s="1"/>
  <c r="AG529" i="5"/>
  <c r="AI529" i="5" s="1"/>
  <c r="AG424" i="5"/>
  <c r="AI424" i="5" s="1"/>
  <c r="AG88" i="5"/>
  <c r="AH88" i="5" s="1"/>
  <c r="AG185" i="5"/>
  <c r="AI185" i="5" s="1"/>
  <c r="AG63" i="5"/>
  <c r="AH63" i="5" s="1"/>
  <c r="AG27" i="5"/>
  <c r="AI27" i="5" s="1"/>
  <c r="AG227" i="5"/>
  <c r="AH227" i="5" s="1"/>
  <c r="AG391" i="5"/>
  <c r="AH391" i="5" s="1"/>
  <c r="AG491" i="5"/>
  <c r="AI491" i="5" s="1"/>
  <c r="AG498" i="5"/>
  <c r="AI498" i="5" s="1"/>
  <c r="AG82" i="5"/>
  <c r="AH82" i="5" s="1"/>
  <c r="AG276" i="5"/>
  <c r="AI276" i="5" s="1"/>
  <c r="AG470" i="5"/>
  <c r="AI470" i="5" s="1"/>
  <c r="AG274" i="5"/>
  <c r="AH274" i="5" s="1"/>
  <c r="AG346" i="5"/>
  <c r="AI346" i="5" s="1"/>
  <c r="AG351" i="5"/>
  <c r="AI351" i="5" s="1"/>
  <c r="AG112" i="5"/>
  <c r="AH112" i="5" s="1"/>
  <c r="AG61" i="5"/>
  <c r="AG457" i="5"/>
  <c r="AI457" i="5" s="1"/>
  <c r="AG363" i="5"/>
  <c r="AH363" i="5" s="1"/>
  <c r="AG462" i="5"/>
  <c r="AI462" i="5" s="1"/>
  <c r="AG70" i="5"/>
  <c r="AI70" i="5" s="1"/>
  <c r="AG210" i="5"/>
  <c r="AH210" i="5" s="1"/>
  <c r="AG381" i="5"/>
  <c r="AI381" i="5" s="1"/>
  <c r="AG428" i="5"/>
  <c r="AH428" i="5" s="1"/>
  <c r="AG252" i="5"/>
  <c r="AH252" i="5" s="1"/>
  <c r="AG417" i="5"/>
  <c r="AI417" i="5" s="1"/>
  <c r="AG130" i="5"/>
  <c r="AI130" i="5" s="1"/>
  <c r="AG359" i="5"/>
  <c r="AI359" i="5" s="1"/>
  <c r="AG392" i="5"/>
  <c r="AH392" i="5" s="1"/>
  <c r="AG8" i="5"/>
  <c r="AH8" i="5" s="1"/>
  <c r="AG519" i="5"/>
  <c r="AI519" i="5" s="1"/>
  <c r="AG440" i="5"/>
  <c r="AI440" i="5" s="1"/>
  <c r="AG193" i="5"/>
  <c r="AI193" i="5" s="1"/>
  <c r="AG102" i="5"/>
  <c r="AH102" i="5" s="1"/>
  <c r="AG35" i="5"/>
  <c r="AH35" i="5" s="1"/>
  <c r="AG76" i="5"/>
  <c r="AI76" i="5" s="1"/>
  <c r="AG225" i="5"/>
  <c r="AI225" i="5" s="1"/>
  <c r="AG411" i="5"/>
  <c r="AI411" i="5" s="1"/>
  <c r="AG557" i="5"/>
  <c r="AI557" i="5" s="1"/>
  <c r="AG434" i="5"/>
  <c r="AI434" i="5" s="1"/>
  <c r="AG58" i="5"/>
  <c r="AI58" i="5" s="1"/>
  <c r="AG314" i="5"/>
  <c r="AI314" i="5" s="1"/>
  <c r="AG333" i="5"/>
  <c r="AH333" i="5" s="1"/>
  <c r="AG540" i="5"/>
  <c r="AI540" i="5" s="1"/>
  <c r="AG212" i="5"/>
  <c r="AI212" i="5" s="1"/>
  <c r="AG396" i="5"/>
  <c r="AI396" i="5" s="1"/>
  <c r="AG92" i="5"/>
  <c r="AH92" i="5" s="1"/>
  <c r="AG383" i="5"/>
  <c r="AH383" i="5" s="1"/>
  <c r="AG232" i="5"/>
  <c r="AI232" i="5" s="1"/>
  <c r="AG443" i="5"/>
  <c r="AI443" i="5" s="1"/>
  <c r="AG456" i="5"/>
  <c r="AH456" i="5" s="1"/>
  <c r="AG201" i="5"/>
  <c r="AI201" i="5" s="1"/>
  <c r="AG71" i="5"/>
  <c r="AI71" i="5" s="1"/>
  <c r="AG67" i="5"/>
  <c r="AH67" i="5" s="1"/>
  <c r="AG108" i="5"/>
  <c r="AI108" i="5" s="1"/>
  <c r="AG266" i="5"/>
  <c r="AI266" i="5" s="1"/>
  <c r="AG481" i="5"/>
  <c r="AI186" i="5"/>
  <c r="AI195" i="5"/>
  <c r="AM525" i="5"/>
  <c r="AG289" i="5"/>
  <c r="AI289" i="5" s="1"/>
  <c r="AG407" i="5"/>
  <c r="AI407" i="5" s="1"/>
  <c r="AG371" i="5"/>
  <c r="AI371" i="5" s="1"/>
  <c r="AG170" i="5"/>
  <c r="AH170" i="5" s="1"/>
  <c r="AG215" i="5"/>
  <c r="AI215" i="5" s="1"/>
  <c r="AG277" i="5"/>
  <c r="AI277" i="5" s="1"/>
  <c r="AG269" i="5"/>
  <c r="AH269" i="5" s="1"/>
  <c r="AG433" i="5"/>
  <c r="AI433" i="5" s="1"/>
  <c r="AI518" i="5"/>
  <c r="AG248" i="5"/>
  <c r="AH248" i="5" s="1"/>
  <c r="AG209" i="5"/>
  <c r="AI209" i="5" s="1"/>
  <c r="AG500" i="5"/>
  <c r="AI500" i="5" s="1"/>
  <c r="AG243" i="5"/>
  <c r="AI243" i="5" s="1"/>
  <c r="AG374" i="5"/>
  <c r="AI374" i="5" s="1"/>
  <c r="AG362" i="5"/>
  <c r="AI362" i="5" s="1"/>
  <c r="AG469" i="5"/>
  <c r="AI469" i="5" s="1"/>
  <c r="AG468" i="5"/>
  <c r="AH468" i="5" s="1"/>
  <c r="AM251" i="5"/>
  <c r="AO251" i="5" s="1"/>
  <c r="AM41" i="5"/>
  <c r="AN41" i="5" s="1"/>
  <c r="AG272" i="5"/>
  <c r="AG41" i="5"/>
  <c r="AH41" i="5" s="1"/>
  <c r="AG251" i="5"/>
  <c r="AG298" i="5"/>
  <c r="AG373" i="5"/>
  <c r="AI373" i="5" s="1"/>
  <c r="AG435" i="5"/>
  <c r="AG204" i="5"/>
  <c r="AH204" i="5" s="1"/>
  <c r="AG288" i="5"/>
  <c r="AH288" i="5" s="1"/>
  <c r="AG57" i="5"/>
  <c r="AI57" i="5" s="1"/>
  <c r="AG49" i="5"/>
  <c r="AH49" i="5" s="1"/>
  <c r="AG275" i="5"/>
  <c r="AH275" i="5" s="1"/>
  <c r="AG339" i="5"/>
  <c r="AI339" i="5" s="1"/>
  <c r="AG445" i="5"/>
  <c r="AH445" i="5" s="1"/>
  <c r="AG453" i="5"/>
  <c r="AH453" i="5" s="1"/>
  <c r="AG555" i="5"/>
  <c r="AH555" i="5" s="1"/>
  <c r="AM482" i="5"/>
  <c r="AM348" i="5"/>
  <c r="AM93" i="5"/>
  <c r="AM253" i="5"/>
  <c r="AJ283" i="5"/>
  <c r="AK283" i="5" s="1"/>
  <c r="AM519" i="5"/>
  <c r="AO519" i="5" s="1"/>
  <c r="AM449" i="5"/>
  <c r="AO449" i="5" s="1"/>
  <c r="AM395" i="5"/>
  <c r="AN395" i="5" s="1"/>
  <c r="AM459" i="5"/>
  <c r="AO459" i="5" s="1"/>
  <c r="AM234" i="5"/>
  <c r="AN234" i="5" s="1"/>
  <c r="AM508" i="5"/>
  <c r="AO508" i="5" s="1"/>
  <c r="AM445" i="5"/>
  <c r="AO445" i="5" s="1"/>
  <c r="AM362" i="5"/>
  <c r="AM285" i="5"/>
  <c r="AO285" i="5" s="1"/>
  <c r="AM189" i="5"/>
  <c r="AO189" i="5" s="1"/>
  <c r="AM69" i="5"/>
  <c r="AM235" i="5"/>
  <c r="AN235" i="5" s="1"/>
  <c r="AM370" i="5"/>
  <c r="AO370" i="5" s="1"/>
  <c r="AM66" i="5"/>
  <c r="AN66" i="5" s="1"/>
  <c r="AM332" i="5"/>
  <c r="AO332" i="5" s="1"/>
  <c r="AM105" i="5"/>
  <c r="AN105" i="5" s="1"/>
  <c r="AM530" i="5"/>
  <c r="AO530" i="5" s="1"/>
  <c r="AM436" i="5"/>
  <c r="AN436" i="5" s="1"/>
  <c r="AM135" i="5"/>
  <c r="AO135" i="5" s="1"/>
  <c r="AJ307" i="5"/>
  <c r="AL307" i="5" s="1"/>
  <c r="AJ187" i="5"/>
  <c r="AL187" i="5" s="1"/>
  <c r="AJ521" i="5"/>
  <c r="AK521" i="5" s="1"/>
  <c r="T65" i="5"/>
  <c r="T31" i="5"/>
  <c r="T308" i="5"/>
  <c r="T73" i="5"/>
  <c r="AI85" i="5"/>
  <c r="AH85" i="5"/>
  <c r="AG471" i="5"/>
  <c r="AG479" i="5"/>
  <c r="AG532" i="5"/>
  <c r="AH532" i="5" s="1"/>
  <c r="AG446" i="5"/>
  <c r="AI446" i="5" s="1"/>
  <c r="AG206" i="5"/>
  <c r="AI74" i="5"/>
  <c r="AM549" i="5"/>
  <c r="AN549" i="5" s="1"/>
  <c r="AM409" i="5"/>
  <c r="AN409" i="5" s="1"/>
  <c r="AM113" i="5"/>
  <c r="AN113" i="5" s="1"/>
  <c r="AM347" i="5"/>
  <c r="AO347" i="5" s="1"/>
  <c r="AM500" i="5"/>
  <c r="AO500" i="5" s="1"/>
  <c r="AM485" i="5"/>
  <c r="AO485" i="5" s="1"/>
  <c r="AM334" i="5"/>
  <c r="AN334" i="5" s="1"/>
  <c r="AM238" i="5"/>
  <c r="AN238" i="5" s="1"/>
  <c r="AM29" i="5"/>
  <c r="AN29" i="5" s="1"/>
  <c r="AM426" i="5"/>
  <c r="AM322" i="5"/>
  <c r="AN322" i="5" s="1"/>
  <c r="AM53" i="5"/>
  <c r="AO53" i="5" s="1"/>
  <c r="AM454" i="5"/>
  <c r="AO454" i="5" s="1"/>
  <c r="AM286" i="5"/>
  <c r="AO286" i="5" s="1"/>
  <c r="AM186" i="5"/>
  <c r="AN186" i="5" s="1"/>
  <c r="AM62" i="5"/>
  <c r="AO62" i="5" s="1"/>
  <c r="AM493" i="5"/>
  <c r="AO493" i="5" s="1"/>
  <c r="AM222" i="5"/>
  <c r="AO222" i="5" s="1"/>
  <c r="AM492" i="5"/>
  <c r="AN492" i="5" s="1"/>
  <c r="AM326" i="5"/>
  <c r="AN326" i="5" s="1"/>
  <c r="AM68" i="5"/>
  <c r="AO68" i="5" s="1"/>
  <c r="AM487" i="5"/>
  <c r="AM496" i="5"/>
  <c r="AN496" i="5" s="1"/>
  <c r="AM263" i="5"/>
  <c r="AN263" i="5" s="1"/>
  <c r="AM554" i="5"/>
  <c r="AO554" i="5" s="1"/>
  <c r="AM243" i="5"/>
  <c r="AN243" i="5" s="1"/>
  <c r="AM388" i="5"/>
  <c r="AO388" i="5" s="1"/>
  <c r="AM520" i="5"/>
  <c r="AN520" i="5" s="1"/>
  <c r="AM346" i="5"/>
  <c r="AO346" i="5" s="1"/>
  <c r="AM173" i="5"/>
  <c r="AN173" i="5" s="1"/>
  <c r="AM550" i="5"/>
  <c r="AN550" i="5" s="1"/>
  <c r="AM458" i="5"/>
  <c r="AN458" i="5" s="1"/>
  <c r="AM298" i="5"/>
  <c r="AM38" i="5"/>
  <c r="AN38" i="5" s="1"/>
  <c r="AM484" i="5"/>
  <c r="AN484" i="5" s="1"/>
  <c r="AM389" i="5"/>
  <c r="AO389" i="5" s="1"/>
  <c r="AM204" i="5"/>
  <c r="AO204" i="5" s="1"/>
  <c r="AM28" i="5"/>
  <c r="AO28" i="5" s="1"/>
  <c r="AM397" i="5"/>
  <c r="AO397" i="5" s="1"/>
  <c r="AM141" i="5"/>
  <c r="AN141" i="5" s="1"/>
  <c r="AM394" i="5"/>
  <c r="AN394" i="5" s="1"/>
  <c r="AM161" i="5"/>
  <c r="AO161" i="5" s="1"/>
  <c r="AM431" i="5"/>
  <c r="AO431" i="5" s="1"/>
  <c r="AM495" i="5"/>
  <c r="AN495" i="5" s="1"/>
  <c r="AM359" i="5"/>
  <c r="AM546" i="5"/>
  <c r="AO546" i="5" s="1"/>
  <c r="AM24" i="5"/>
  <c r="AN24" i="5" s="1"/>
  <c r="AM457" i="5"/>
  <c r="AN457" i="5" s="1"/>
  <c r="AM129" i="5"/>
  <c r="AO129" i="5" s="1"/>
  <c r="AM211" i="5"/>
  <c r="AO211" i="5" s="1"/>
  <c r="AM410" i="5"/>
  <c r="AM270" i="5"/>
  <c r="AO270" i="5" s="1"/>
  <c r="AM430" i="5"/>
  <c r="AN430" i="5" s="1"/>
  <c r="AM58" i="5"/>
  <c r="AN58" i="5" s="1"/>
  <c r="AM198" i="5"/>
  <c r="AO198" i="5" s="1"/>
  <c r="AM31" i="5"/>
  <c r="AN31" i="5" s="1"/>
  <c r="AM72" i="5"/>
  <c r="AO72" i="5" s="1"/>
  <c r="AM289" i="5"/>
  <c r="AO289" i="5" s="1"/>
  <c r="AM155" i="5"/>
  <c r="AN155" i="5" s="1"/>
  <c r="AM83" i="5"/>
  <c r="AN83" i="5" s="1"/>
  <c r="AM299" i="5"/>
  <c r="AN299" i="5" s="1"/>
  <c r="AM396" i="5"/>
  <c r="AO396" i="5" s="1"/>
  <c r="AM434" i="5"/>
  <c r="AO434" i="5" s="1"/>
  <c r="AM306" i="5"/>
  <c r="AO306" i="5" s="1"/>
  <c r="AM122" i="5"/>
  <c r="AO122" i="5" s="1"/>
  <c r="AM437" i="5"/>
  <c r="AO437" i="5" s="1"/>
  <c r="AM354" i="5"/>
  <c r="AN354" i="5" s="1"/>
  <c r="AM282" i="5"/>
  <c r="AN282" i="5" s="1"/>
  <c r="AM26" i="5"/>
  <c r="AM462" i="5"/>
  <c r="AO462" i="5" s="1"/>
  <c r="AM293" i="5"/>
  <c r="AN293" i="5" s="1"/>
  <c r="AM205" i="5"/>
  <c r="AN205" i="5" s="1"/>
  <c r="AM42" i="5"/>
  <c r="AO42" i="5" s="1"/>
  <c r="AM374" i="5"/>
  <c r="AO374" i="5" s="1"/>
  <c r="AM149" i="5"/>
  <c r="AM422" i="5"/>
  <c r="AN422" i="5" s="1"/>
  <c r="AM194" i="5"/>
  <c r="AO194" i="5" s="1"/>
  <c r="AM311" i="5"/>
  <c r="AO311" i="5" s="1"/>
  <c r="AM175" i="5"/>
  <c r="AN175" i="5" s="1"/>
  <c r="AM32" i="5"/>
  <c r="AO32" i="5" s="1"/>
  <c r="AM465" i="5"/>
  <c r="AN465" i="5" s="1"/>
  <c r="AM145" i="5"/>
  <c r="AN145" i="5" s="1"/>
  <c r="AM324" i="5"/>
  <c r="AN324" i="5" s="1"/>
  <c r="AM556" i="5"/>
  <c r="AO556" i="5" s="1"/>
  <c r="AM438" i="5"/>
  <c r="AN438" i="5" s="1"/>
  <c r="AM61" i="5"/>
  <c r="AO61" i="5" s="1"/>
  <c r="AM418" i="5"/>
  <c r="AO418" i="5" s="1"/>
  <c r="AM514" i="5"/>
  <c r="AN514" i="5" s="1"/>
  <c r="AM157" i="5"/>
  <c r="AO157" i="5" s="1"/>
  <c r="AM423" i="5"/>
  <c r="AO423" i="5" s="1"/>
  <c r="AM128" i="5"/>
  <c r="AN128" i="5" s="1"/>
  <c r="AM225" i="5"/>
  <c r="AN225" i="5" s="1"/>
  <c r="AM369" i="5"/>
  <c r="AO369" i="5" s="1"/>
  <c r="AM450" i="5"/>
  <c r="AN450" i="5" s="1"/>
  <c r="AM506" i="5"/>
  <c r="AO506" i="5" s="1"/>
  <c r="AM262" i="5"/>
  <c r="AN262" i="5" s="1"/>
  <c r="AM109" i="5"/>
  <c r="AO109" i="5" s="1"/>
  <c r="AM536" i="5"/>
  <c r="AN536" i="5" s="1"/>
  <c r="AM349" i="5"/>
  <c r="AM261" i="5"/>
  <c r="AN261" i="5" s="1"/>
  <c r="AM372" i="5"/>
  <c r="AN372" i="5" s="1"/>
  <c r="AM412" i="5"/>
  <c r="AO412" i="5" s="1"/>
  <c r="AM404" i="5"/>
  <c r="AN404" i="5" s="1"/>
  <c r="AM162" i="5"/>
  <c r="AO162" i="5" s="1"/>
  <c r="AM552" i="5"/>
  <c r="AM413" i="5"/>
  <c r="AN413" i="5" s="1"/>
  <c r="AM85" i="5"/>
  <c r="AN85" i="5" s="1"/>
  <c r="AM340" i="5"/>
  <c r="AN340" i="5" s="1"/>
  <c r="AM197" i="5"/>
  <c r="AN197" i="5" s="1"/>
  <c r="AM447" i="5"/>
  <c r="AN447" i="5" s="1"/>
  <c r="AM383" i="5"/>
  <c r="AN383" i="5" s="1"/>
  <c r="AM360" i="5"/>
  <c r="AN360" i="5" s="1"/>
  <c r="AM48" i="5"/>
  <c r="AO48" i="5" s="1"/>
  <c r="AM435" i="5"/>
  <c r="AO435" i="5" s="1"/>
  <c r="AM130" i="5"/>
  <c r="AO130" i="5" s="1"/>
  <c r="AM302" i="5"/>
  <c r="AO302" i="5" s="1"/>
  <c r="AM228" i="5"/>
  <c r="AN228" i="5" s="1"/>
  <c r="AM444" i="5"/>
  <c r="AO444" i="5" s="1"/>
  <c r="AM136" i="5"/>
  <c r="AO136" i="5" s="1"/>
  <c r="AM185" i="5"/>
  <c r="AM131" i="5"/>
  <c r="AO131" i="5" s="1"/>
  <c r="AM195" i="5"/>
  <c r="AO195" i="5" s="1"/>
  <c r="AM281" i="5"/>
  <c r="AM169" i="5"/>
  <c r="AN169" i="5" s="1"/>
  <c r="AJ539" i="5"/>
  <c r="AL539" i="5" s="1"/>
  <c r="AM209" i="5"/>
  <c r="AN209" i="5" s="1"/>
  <c r="AM551" i="5"/>
  <c r="AN551" i="5" s="1"/>
  <c r="AM325" i="5"/>
  <c r="AO325" i="5" s="1"/>
  <c r="AM318" i="5"/>
  <c r="AO318" i="5" s="1"/>
  <c r="AM98" i="5"/>
  <c r="AO98" i="5" s="1"/>
  <c r="AM518" i="5"/>
  <c r="AN518" i="5" s="1"/>
  <c r="AM390" i="5"/>
  <c r="AN390" i="5" s="1"/>
  <c r="AM210" i="5"/>
  <c r="AN210" i="5" s="1"/>
  <c r="AM528" i="5"/>
  <c r="AN528" i="5" s="1"/>
  <c r="AM532" i="5"/>
  <c r="AO532" i="5" s="1"/>
  <c r="AM301" i="5"/>
  <c r="AN301" i="5" s="1"/>
  <c r="AM142" i="5"/>
  <c r="AO142" i="5" s="1"/>
  <c r="AM543" i="5"/>
  <c r="AN543" i="5" s="1"/>
  <c r="AM338" i="5"/>
  <c r="AO338" i="5" s="1"/>
  <c r="AM82" i="5"/>
  <c r="AN82" i="5" s="1"/>
  <c r="AM356" i="5"/>
  <c r="AO356" i="5" s="1"/>
  <c r="AM116" i="5"/>
  <c r="AN116" i="5" s="1"/>
  <c r="AM87" i="5"/>
  <c r="AN87" i="5" s="1"/>
  <c r="AM176" i="5"/>
  <c r="AO176" i="5" s="1"/>
  <c r="AM118" i="5"/>
  <c r="AN118" i="5" s="1"/>
  <c r="AM510" i="5"/>
  <c r="AN510" i="5" s="1"/>
  <c r="AM490" i="5"/>
  <c r="AO490" i="5" s="1"/>
  <c r="AM294" i="5"/>
  <c r="AN294" i="5" s="1"/>
  <c r="AM106" i="5"/>
  <c r="AN106" i="5" s="1"/>
  <c r="AM560" i="5"/>
  <c r="AO560" i="5" s="1"/>
  <c r="AM206" i="5"/>
  <c r="AN206" i="5" s="1"/>
  <c r="AM481" i="5"/>
  <c r="AN481" i="5" s="1"/>
  <c r="AM358" i="5"/>
  <c r="AM110" i="5"/>
  <c r="AN110" i="5" s="1"/>
  <c r="AM223" i="5"/>
  <c r="AO223" i="5" s="1"/>
  <c r="AM127" i="5"/>
  <c r="AN127" i="5" s="1"/>
  <c r="AM267" i="5"/>
  <c r="AO267" i="5" s="1"/>
  <c r="AM421" i="5"/>
  <c r="AO421" i="5" s="1"/>
  <c r="AM341" i="5"/>
  <c r="AM174" i="5"/>
  <c r="AN174" i="5" s="1"/>
  <c r="AM45" i="5"/>
  <c r="AN45" i="5" s="1"/>
  <c r="AM474" i="5"/>
  <c r="AO474" i="5" s="1"/>
  <c r="AM252" i="5"/>
  <c r="AN252" i="5" s="1"/>
  <c r="AM274" i="5"/>
  <c r="AN274" i="5" s="1"/>
  <c r="AM132" i="5"/>
  <c r="AN132" i="5" s="1"/>
  <c r="AM79" i="5"/>
  <c r="AN79" i="5" s="1"/>
  <c r="AM533" i="5"/>
  <c r="AO533" i="5" s="1"/>
  <c r="AM455" i="5"/>
  <c r="AO455" i="5" s="1"/>
  <c r="AM367" i="5"/>
  <c r="AM239" i="5"/>
  <c r="AN239" i="5" s="1"/>
  <c r="AM219" i="5"/>
  <c r="AO219" i="5" s="1"/>
  <c r="T167" i="5"/>
  <c r="U167" i="5" s="1"/>
  <c r="AM71" i="5"/>
  <c r="AN71" i="5" s="1"/>
  <c r="T153" i="5"/>
  <c r="T122" i="5"/>
  <c r="U122" i="5" s="1"/>
  <c r="AM328" i="5"/>
  <c r="AN328" i="5" s="1"/>
  <c r="AM224" i="5"/>
  <c r="AO224" i="5" s="1"/>
  <c r="AM56" i="5"/>
  <c r="AN56" i="5" s="1"/>
  <c r="AM385" i="5"/>
  <c r="AO385" i="5" s="1"/>
  <c r="AM331" i="5"/>
  <c r="AM260" i="5"/>
  <c r="AN260" i="5" s="1"/>
  <c r="AM415" i="5"/>
  <c r="AM547" i="5"/>
  <c r="AO547" i="5" s="1"/>
  <c r="AM446" i="5"/>
  <c r="AN446" i="5" s="1"/>
  <c r="AM420" i="5"/>
  <c r="AO420" i="5" s="1"/>
  <c r="AM220" i="5"/>
  <c r="AO220" i="5" s="1"/>
  <c r="AM81" i="5"/>
  <c r="AO81" i="5" s="1"/>
  <c r="AM463" i="5"/>
  <c r="AN463" i="5" s="1"/>
  <c r="AM419" i="5"/>
  <c r="AN419" i="5" s="1"/>
  <c r="AM167" i="5"/>
  <c r="AN167" i="5" s="1"/>
  <c r="AM23" i="5"/>
  <c r="AN23" i="5" s="1"/>
  <c r="T198" i="5"/>
  <c r="T58" i="5"/>
  <c r="V58" i="5" s="1"/>
  <c r="AM232" i="5"/>
  <c r="AO232" i="5" s="1"/>
  <c r="AM296" i="5"/>
  <c r="AO296" i="5" s="1"/>
  <c r="AM168" i="5"/>
  <c r="AN168" i="5" s="1"/>
  <c r="AM8" i="5"/>
  <c r="AO8" i="5" s="1"/>
  <c r="AM276" i="5"/>
  <c r="AO276" i="5" s="1"/>
  <c r="AM39" i="5"/>
  <c r="AO39" i="5" s="1"/>
  <c r="AJ371" i="5"/>
  <c r="AK371" i="5" s="1"/>
  <c r="O12" i="5"/>
  <c r="W12" i="5" s="1"/>
  <c r="AM477" i="5"/>
  <c r="AN477" i="5" s="1"/>
  <c r="AM314" i="5"/>
  <c r="AM125" i="5"/>
  <c r="AN125" i="5" s="1"/>
  <c r="AM505" i="5"/>
  <c r="AN505" i="5" s="1"/>
  <c r="AM406" i="5"/>
  <c r="AO406" i="5" s="1"/>
  <c r="AM249" i="5"/>
  <c r="AO249" i="5" s="1"/>
  <c r="AM221" i="5"/>
  <c r="AO221" i="5" s="1"/>
  <c r="AM70" i="5"/>
  <c r="AN70" i="5" s="1"/>
  <c r="AM537" i="5"/>
  <c r="AO537" i="5" s="1"/>
  <c r="AM335" i="5"/>
  <c r="AN335" i="5" s="1"/>
  <c r="AM287" i="5"/>
  <c r="AN287" i="5" s="1"/>
  <c r="AM199" i="5"/>
  <c r="AO199" i="5" s="1"/>
  <c r="AM47" i="5"/>
  <c r="AO47" i="5" s="1"/>
  <c r="AM103" i="5"/>
  <c r="AO103" i="5" s="1"/>
  <c r="T218" i="5"/>
  <c r="AM538" i="5"/>
  <c r="AN538" i="5" s="1"/>
  <c r="T184" i="5"/>
  <c r="AM40" i="5"/>
  <c r="AO40" i="5" s="1"/>
  <c r="AM88" i="5"/>
  <c r="AN88" i="5" s="1"/>
  <c r="AM137" i="5"/>
  <c r="AO137" i="5" s="1"/>
  <c r="AM451" i="5"/>
  <c r="AM259" i="5"/>
  <c r="AO259" i="5" s="1"/>
  <c r="AH122" i="5"/>
  <c r="AJ379" i="5"/>
  <c r="AK379" i="5" s="1"/>
  <c r="AM442" i="5"/>
  <c r="AO442" i="5" s="1"/>
  <c r="AM178" i="5"/>
  <c r="AO178" i="5" s="1"/>
  <c r="AM114" i="5"/>
  <c r="AN114" i="5" s="1"/>
  <c r="AM473" i="5"/>
  <c r="AN473" i="5" s="1"/>
  <c r="AM380" i="5"/>
  <c r="AO380" i="5" s="1"/>
  <c r="AM278" i="5"/>
  <c r="AN278" i="5" s="1"/>
  <c r="AM172" i="5"/>
  <c r="AN172" i="5" s="1"/>
  <c r="AM50" i="5"/>
  <c r="AN50" i="5" s="1"/>
  <c r="AM231" i="5"/>
  <c r="AO231" i="5" s="1"/>
  <c r="T219" i="5"/>
  <c r="U219" i="5" s="1"/>
  <c r="AM207" i="5"/>
  <c r="AO207" i="5" s="1"/>
  <c r="T111" i="5"/>
  <c r="T42" i="5"/>
  <c r="AM526" i="5"/>
  <c r="AO526" i="5" s="1"/>
  <c r="AM392" i="5"/>
  <c r="AO392" i="5" s="1"/>
  <c r="AM264" i="5"/>
  <c r="AN264" i="5" s="1"/>
  <c r="AM192" i="5"/>
  <c r="AO192" i="5" s="1"/>
  <c r="AM555" i="5"/>
  <c r="AN555" i="5" s="1"/>
  <c r="AM97" i="5"/>
  <c r="AN97" i="5" s="1"/>
  <c r="AM283" i="5"/>
  <c r="AN283" i="5" s="1"/>
  <c r="AI75" i="5"/>
  <c r="AM159" i="5"/>
  <c r="AN159" i="5" s="1"/>
  <c r="T23" i="5"/>
  <c r="U23" i="5" s="1"/>
  <c r="T71" i="5"/>
  <c r="AM111" i="5"/>
  <c r="AO111" i="5" s="1"/>
  <c r="T193" i="5"/>
  <c r="AM534" i="5"/>
  <c r="AM152" i="5"/>
  <c r="AO152" i="5" s="1"/>
  <c r="AM112" i="5"/>
  <c r="AO112" i="5" s="1"/>
  <c r="AM139" i="5"/>
  <c r="AO139" i="5" s="1"/>
  <c r="AM539" i="5"/>
  <c r="AM497" i="5"/>
  <c r="AO497" i="5" s="1"/>
  <c r="AM233" i="5"/>
  <c r="AO233" i="5" s="1"/>
  <c r="AM25" i="5"/>
  <c r="AO25" i="5" s="1"/>
  <c r="AM557" i="5"/>
  <c r="AO557" i="5" s="1"/>
  <c r="AM467" i="5"/>
  <c r="AO467" i="5" s="1"/>
  <c r="AM355" i="5"/>
  <c r="AO355" i="5" s="1"/>
  <c r="AM147" i="5"/>
  <c r="AN147" i="5" s="1"/>
  <c r="AM284" i="5"/>
  <c r="AN284" i="5" s="1"/>
  <c r="AM92" i="5"/>
  <c r="AO92" i="5" s="1"/>
  <c r="AM416" i="5"/>
  <c r="AN416" i="5" s="1"/>
  <c r="AM432" i="5"/>
  <c r="AN432" i="5" s="1"/>
  <c r="AM512" i="5"/>
  <c r="AO512" i="5" s="1"/>
  <c r="AM240" i="5"/>
  <c r="AO240" i="5" s="1"/>
  <c r="AM96" i="5"/>
  <c r="AN96" i="5" s="1"/>
  <c r="AM265" i="5"/>
  <c r="AO265" i="5" s="1"/>
  <c r="AM33" i="5"/>
  <c r="AN33" i="5" s="1"/>
  <c r="AM521" i="5"/>
  <c r="AN521" i="5" s="1"/>
  <c r="AM475" i="5"/>
  <c r="AO475" i="5" s="1"/>
  <c r="AM363" i="5"/>
  <c r="AO363" i="5" s="1"/>
  <c r="AM171" i="5"/>
  <c r="AM140" i="5"/>
  <c r="AO140" i="5" s="1"/>
  <c r="AM108" i="5"/>
  <c r="AM89" i="5"/>
  <c r="AN89" i="5" s="1"/>
  <c r="AJ51" i="5"/>
  <c r="AK51" i="5" s="1"/>
  <c r="AJ105" i="5"/>
  <c r="AL105" i="5" s="1"/>
  <c r="AM320" i="5"/>
  <c r="AN320" i="5" s="1"/>
  <c r="AM384" i="5"/>
  <c r="AO384" i="5" s="1"/>
  <c r="AM256" i="5"/>
  <c r="AN256" i="5" s="1"/>
  <c r="AM304" i="5"/>
  <c r="AO304" i="5" s="1"/>
  <c r="AM160" i="5"/>
  <c r="AO160" i="5" s="1"/>
  <c r="AM200" i="5"/>
  <c r="AO200" i="5" s="1"/>
  <c r="AM527" i="5"/>
  <c r="AN527" i="5" s="1"/>
  <c r="AM273" i="5"/>
  <c r="AO273" i="5" s="1"/>
  <c r="AM49" i="5"/>
  <c r="AN49" i="5" s="1"/>
  <c r="AM371" i="5"/>
  <c r="AN371" i="5" s="1"/>
  <c r="AM27" i="5"/>
  <c r="AO27" i="5" s="1"/>
  <c r="AM156" i="5"/>
  <c r="AO156" i="5" s="1"/>
  <c r="AM305" i="5"/>
  <c r="AN305" i="5" s="1"/>
  <c r="AM65" i="5"/>
  <c r="AO65" i="5" s="1"/>
  <c r="AM491" i="5"/>
  <c r="AN491" i="5" s="1"/>
  <c r="AM43" i="5"/>
  <c r="AO43" i="5" s="1"/>
  <c r="AM164" i="5"/>
  <c r="AN164" i="5" s="1"/>
  <c r="AM179" i="5"/>
  <c r="AO179" i="5" s="1"/>
  <c r="AJ273" i="5"/>
  <c r="AL273" i="5" s="1"/>
  <c r="AM312" i="5"/>
  <c r="AO312" i="5" s="1"/>
  <c r="AM433" i="5"/>
  <c r="AN433" i="5" s="1"/>
  <c r="AM313" i="5"/>
  <c r="AM73" i="5"/>
  <c r="AM427" i="5"/>
  <c r="AM499" i="5"/>
  <c r="AM51" i="5"/>
  <c r="AM212" i="5"/>
  <c r="AN212" i="5" s="1"/>
  <c r="AM343" i="5"/>
  <c r="AN343" i="5" s="1"/>
  <c r="AG43" i="5"/>
  <c r="AG191" i="5"/>
  <c r="AG431" i="5"/>
  <c r="AG329" i="5"/>
  <c r="AG263" i="5"/>
  <c r="AG331" i="5"/>
  <c r="AG342" i="5"/>
  <c r="AG541" i="5"/>
  <c r="AG150" i="5"/>
  <c r="AG95" i="5"/>
  <c r="AG241" i="5"/>
  <c r="AG399" i="5"/>
  <c r="AG52" i="5"/>
  <c r="AG388" i="5"/>
  <c r="AG430" i="5"/>
  <c r="AG325" i="5"/>
  <c r="AG543" i="5"/>
  <c r="AG53" i="5"/>
  <c r="AG369" i="5"/>
  <c r="B29" i="2"/>
  <c r="B25" i="2"/>
  <c r="B27" i="2"/>
  <c r="B23" i="2"/>
  <c r="B20" i="2"/>
  <c r="T90" i="5"/>
  <c r="T168" i="5"/>
  <c r="T132" i="5"/>
  <c r="T165" i="5"/>
  <c r="T189" i="5"/>
  <c r="AJ225" i="5"/>
  <c r="AK225" i="5" s="1"/>
  <c r="T143" i="5"/>
  <c r="V143" i="5" s="1"/>
  <c r="T103" i="5"/>
  <c r="U103" i="5" s="1"/>
  <c r="T217" i="5"/>
  <c r="T110" i="5"/>
  <c r="T277" i="5"/>
  <c r="V277" i="5" s="1"/>
  <c r="T124" i="5"/>
  <c r="T46" i="5"/>
  <c r="U46" i="5" s="1"/>
  <c r="T158" i="5"/>
  <c r="T102" i="5"/>
  <c r="U102" i="5" s="1"/>
  <c r="T240" i="5"/>
  <c r="T200" i="5"/>
  <c r="T255" i="5"/>
  <c r="T220" i="5"/>
  <c r="U220" i="5" s="1"/>
  <c r="T97" i="5"/>
  <c r="U97" i="5" s="1"/>
  <c r="T213" i="5"/>
  <c r="U213" i="5" s="1"/>
  <c r="T108" i="5"/>
  <c r="U108" i="5" s="1"/>
  <c r="B43" i="5"/>
  <c r="T163" i="5"/>
  <c r="T81" i="5"/>
  <c r="T128" i="5"/>
  <c r="T48" i="5"/>
  <c r="U48" i="5" s="1"/>
  <c r="T99" i="5"/>
  <c r="U99" i="5" s="1"/>
  <c r="T127" i="5"/>
  <c r="T202" i="5"/>
  <c r="T78" i="5"/>
  <c r="T157" i="5"/>
  <c r="T60" i="5"/>
  <c r="U60" i="5" s="1"/>
  <c r="T238" i="5"/>
  <c r="U238" i="5" s="1"/>
  <c r="T178" i="5"/>
  <c r="V178" i="5" s="1"/>
  <c r="T77" i="5"/>
  <c r="V77" i="5" s="1"/>
  <c r="T144" i="5"/>
  <c r="T216" i="5"/>
  <c r="T96" i="5"/>
  <c r="T147" i="5"/>
  <c r="U147" i="5" s="1"/>
  <c r="AJ227" i="5"/>
  <c r="AK227" i="5" s="1"/>
  <c r="AH483" i="5"/>
  <c r="T179" i="5"/>
  <c r="T49" i="5"/>
  <c r="T197" i="5"/>
  <c r="T68" i="5"/>
  <c r="U68" i="5" s="1"/>
  <c r="T234" i="5"/>
  <c r="U234" i="5" s="1"/>
  <c r="T148" i="5"/>
  <c r="T54" i="5"/>
  <c r="U54" i="5" s="1"/>
  <c r="AH409" i="5"/>
  <c r="AM163" i="5"/>
  <c r="AO163" i="5" s="1"/>
  <c r="AM488" i="5"/>
  <c r="AN488" i="5" s="1"/>
  <c r="AI187" i="5"/>
  <c r="T278" i="5"/>
  <c r="U278" i="5" s="1"/>
  <c r="T145" i="5"/>
  <c r="U145" i="5" s="1"/>
  <c r="T45" i="5"/>
  <c r="V45" i="5" s="1"/>
  <c r="T182" i="5"/>
  <c r="U182" i="5" s="1"/>
  <c r="T62" i="5"/>
  <c r="V62" i="5" s="1"/>
  <c r="T209" i="5"/>
  <c r="T116" i="5"/>
  <c r="T29" i="5"/>
  <c r="T104" i="5"/>
  <c r="U104" i="5" s="1"/>
  <c r="T534" i="5"/>
  <c r="U534" i="5" s="1"/>
  <c r="T136" i="5"/>
  <c r="U136" i="5" s="1"/>
  <c r="T175" i="5"/>
  <c r="T257" i="5"/>
  <c r="V257" i="5" s="1"/>
  <c r="T129" i="5"/>
  <c r="V129" i="5" s="1"/>
  <c r="T21" i="5"/>
  <c r="U21" i="5" s="1"/>
  <c r="T86" i="5"/>
  <c r="V86" i="5" s="1"/>
  <c r="T20" i="5"/>
  <c r="T164" i="5"/>
  <c r="T113" i="5"/>
  <c r="T120" i="5"/>
  <c r="T40" i="5"/>
  <c r="V40" i="5" s="1"/>
  <c r="T72" i="5"/>
  <c r="AM504" i="5"/>
  <c r="AN504" i="5" s="1"/>
  <c r="B59" i="2"/>
  <c r="K26" i="2"/>
  <c r="B67" i="2"/>
  <c r="M26" i="2"/>
  <c r="B63" i="2"/>
  <c r="L26" i="2"/>
  <c r="AH505" i="5"/>
  <c r="AH73" i="5"/>
  <c r="AI73" i="5"/>
  <c r="AJ43" i="5"/>
  <c r="AL43" i="5" s="1"/>
  <c r="AJ147" i="5"/>
  <c r="AK147" i="5" s="1"/>
  <c r="AH111" i="5"/>
  <c r="B43" i="2"/>
  <c r="K35" i="2"/>
  <c r="AH145" i="5"/>
  <c r="AH123" i="5"/>
  <c r="AI123" i="5"/>
  <c r="AJ153" i="5"/>
  <c r="AL153" i="5" s="1"/>
  <c r="AJ169" i="5"/>
  <c r="AK169" i="5" s="1"/>
  <c r="AM64" i="5"/>
  <c r="AO64" i="5" s="1"/>
  <c r="AI559" i="5"/>
  <c r="AH559" i="5"/>
  <c r="L35" i="2"/>
  <c r="AI147" i="5"/>
  <c r="AH147" i="5"/>
  <c r="AH423" i="5"/>
  <c r="AI349" i="5"/>
  <c r="AM80" i="5"/>
  <c r="AN80" i="5" s="1"/>
  <c r="AH242" i="5"/>
  <c r="AI242" i="5"/>
  <c r="AH179" i="5"/>
  <c r="AJ483" i="5"/>
  <c r="AL483" i="5" s="1"/>
  <c r="AI231" i="5"/>
  <c r="AM472" i="5"/>
  <c r="AO472" i="5" s="1"/>
  <c r="T176" i="5"/>
  <c r="AH156" i="5"/>
  <c r="AI156" i="5"/>
  <c r="AM352" i="5"/>
  <c r="AO352" i="5" s="1"/>
  <c r="AH502" i="5"/>
  <c r="AI502" i="5"/>
  <c r="AI188" i="5"/>
  <c r="AI171" i="5"/>
  <c r="AH171" i="5"/>
  <c r="AH467" i="5"/>
  <c r="Q554" i="5"/>
  <c r="S554" i="5" s="1"/>
  <c r="Q312" i="5"/>
  <c r="S312" i="5" s="1"/>
  <c r="K35" i="5"/>
  <c r="W184" i="5"/>
  <c r="X184" i="5" s="1"/>
  <c r="W451" i="5"/>
  <c r="Y451" i="5" s="1"/>
  <c r="W319" i="5"/>
  <c r="Y319" i="5" s="1"/>
  <c r="Q344" i="5"/>
  <c r="R344" i="5" s="1"/>
  <c r="Q304" i="5"/>
  <c r="R304" i="5" s="1"/>
  <c r="W78" i="5"/>
  <c r="Y78" i="5" s="1"/>
  <c r="Q534" i="5"/>
  <c r="Q48" i="5"/>
  <c r="S48" i="5" s="1"/>
  <c r="Q320" i="5"/>
  <c r="S320" i="5" s="1"/>
  <c r="Q392" i="5"/>
  <c r="S392" i="5" s="1"/>
  <c r="Q400" i="5"/>
  <c r="S400" i="5" s="1"/>
  <c r="Q488" i="5"/>
  <c r="S488" i="5" s="1"/>
  <c r="Q8" i="5"/>
  <c r="R8" i="5" s="1"/>
  <c r="Q440" i="5"/>
  <c r="S440" i="5" s="1"/>
  <c r="Q200" i="5"/>
  <c r="Q72" i="5"/>
  <c r="S72" i="5" s="1"/>
  <c r="W301" i="5"/>
  <c r="X301" i="5" s="1"/>
  <c r="Q526" i="5"/>
  <c r="R526" i="5" s="1"/>
  <c r="Q456" i="5"/>
  <c r="S456" i="5" s="1"/>
  <c r="Q208" i="5"/>
  <c r="R208" i="5" s="1"/>
  <c r="Q512" i="5"/>
  <c r="S512" i="5" s="1"/>
  <c r="Q144" i="5"/>
  <c r="R144" i="5" s="1"/>
  <c r="B49" i="5"/>
  <c r="W272" i="5"/>
  <c r="W74" i="5"/>
  <c r="Y74" i="5" s="1"/>
  <c r="Q432" i="5"/>
  <c r="S432" i="5" s="1"/>
  <c r="Q168" i="5"/>
  <c r="S168" i="5" s="1"/>
  <c r="Q104" i="5"/>
  <c r="R104" i="5" s="1"/>
  <c r="Q448" i="5"/>
  <c r="R448" i="5" s="1"/>
  <c r="Q480" i="5"/>
  <c r="R480" i="5" s="1"/>
  <c r="Q384" i="5"/>
  <c r="S384" i="5" s="1"/>
  <c r="Q224" i="5"/>
  <c r="R224" i="5" s="1"/>
  <c r="Q152" i="5"/>
  <c r="S152" i="5" s="1"/>
  <c r="Q56" i="5"/>
  <c r="R56" i="5" s="1"/>
  <c r="Q112" i="5"/>
  <c r="R112" i="5" s="1"/>
  <c r="Q538" i="5"/>
  <c r="S538" i="5" s="1"/>
  <c r="Q496" i="5"/>
  <c r="S496" i="5" s="1"/>
  <c r="Q256" i="5"/>
  <c r="S256" i="5" s="1"/>
  <c r="Q120" i="5"/>
  <c r="R120" i="5" s="1"/>
  <c r="Q216" i="5"/>
  <c r="S216" i="5" s="1"/>
  <c r="Q80" i="5"/>
  <c r="S80" i="5" s="1"/>
  <c r="Q424" i="5"/>
  <c r="S424" i="5" s="1"/>
  <c r="Q464" i="5"/>
  <c r="S464" i="5" s="1"/>
  <c r="Q352" i="5"/>
  <c r="S352" i="5" s="1"/>
  <c r="Q264" i="5"/>
  <c r="S264" i="5" s="1"/>
  <c r="Q176" i="5"/>
  <c r="Q546" i="5"/>
  <c r="Q472" i="5"/>
  <c r="S472" i="5" s="1"/>
  <c r="Q416" i="5"/>
  <c r="R416" i="5" s="1"/>
  <c r="Q272" i="5"/>
  <c r="R272" i="5" s="1"/>
  <c r="Q40" i="5"/>
  <c r="S40" i="5" s="1"/>
  <c r="W515" i="5"/>
  <c r="Y515" i="5" s="1"/>
  <c r="W55" i="5"/>
  <c r="X55" i="5" s="1"/>
  <c r="W557" i="5"/>
  <c r="W453" i="5"/>
  <c r="Y453" i="5" s="1"/>
  <c r="W270" i="5"/>
  <c r="Y270" i="5" s="1"/>
  <c r="W100" i="5"/>
  <c r="Y100" i="5" s="1"/>
  <c r="W341" i="5"/>
  <c r="Y341" i="5" s="1"/>
  <c r="W375" i="5"/>
  <c r="Y375" i="5" s="1"/>
  <c r="W26" i="5"/>
  <c r="X26" i="5" s="1"/>
  <c r="Q296" i="5"/>
  <c r="R296" i="5" s="1"/>
  <c r="Q328" i="5"/>
  <c r="S328" i="5" s="1"/>
  <c r="Q360" i="5"/>
  <c r="S360" i="5" s="1"/>
  <c r="Q232" i="5"/>
  <c r="S232" i="5" s="1"/>
  <c r="Q128" i="5"/>
  <c r="R128" i="5" s="1"/>
  <c r="W160" i="5"/>
  <c r="Y160" i="5" s="1"/>
  <c r="Q184" i="5"/>
  <c r="S184" i="5" s="1"/>
  <c r="W24" i="5"/>
  <c r="Y24" i="5" s="1"/>
  <c r="Q64" i="5"/>
  <c r="R64" i="5" s="1"/>
  <c r="Q88" i="5"/>
  <c r="S88" i="5" s="1"/>
  <c r="W66" i="5"/>
  <c r="Y66" i="5" s="1"/>
  <c r="W281" i="5"/>
  <c r="X281" i="5" s="1"/>
  <c r="W28" i="5"/>
  <c r="X28" i="5" s="1"/>
  <c r="W490" i="5"/>
  <c r="X490" i="5" s="1"/>
  <c r="W372" i="5"/>
  <c r="Y372" i="5" s="1"/>
  <c r="W102" i="5"/>
  <c r="Y102" i="5" s="1"/>
  <c r="W86" i="5"/>
  <c r="Y86" i="5" s="1"/>
  <c r="W331" i="5"/>
  <c r="W441" i="5"/>
  <c r="X441" i="5" s="1"/>
  <c r="W204" i="5"/>
  <c r="Y204" i="5" s="1"/>
  <c r="W260" i="5"/>
  <c r="X260" i="5" s="1"/>
  <c r="W399" i="5"/>
  <c r="Y399" i="5" s="1"/>
  <c r="W492" i="5"/>
  <c r="X492" i="5" s="1"/>
  <c r="Q336" i="5"/>
  <c r="S336" i="5" s="1"/>
  <c r="Q368" i="5"/>
  <c r="Q408" i="5"/>
  <c r="S408" i="5" s="1"/>
  <c r="Q240" i="5"/>
  <c r="R240" i="5" s="1"/>
  <c r="Q280" i="5"/>
  <c r="S280" i="5" s="1"/>
  <c r="W136" i="5"/>
  <c r="Y136" i="5" s="1"/>
  <c r="Q160" i="5"/>
  <c r="S160" i="5" s="1"/>
  <c r="W192" i="5"/>
  <c r="Y192" i="5" s="1"/>
  <c r="Q24" i="5"/>
  <c r="S24" i="5" s="1"/>
  <c r="W282" i="5"/>
  <c r="W323" i="5"/>
  <c r="X323" i="5" s="1"/>
  <c r="W135" i="5"/>
  <c r="X135" i="5" s="1"/>
  <c r="W439" i="5"/>
  <c r="X439" i="5" s="1"/>
  <c r="W501" i="5"/>
  <c r="Y501" i="5" s="1"/>
  <c r="W210" i="5"/>
  <c r="Y210" i="5" s="1"/>
  <c r="W259" i="5"/>
  <c r="Y259" i="5" s="1"/>
  <c r="W98" i="5"/>
  <c r="X98" i="5" s="1"/>
  <c r="W110" i="5"/>
  <c r="W291" i="5"/>
  <c r="X291" i="5" s="1"/>
  <c r="W139" i="5"/>
  <c r="X139" i="5" s="1"/>
  <c r="W159" i="5"/>
  <c r="X159" i="5" s="1"/>
  <c r="W382" i="5"/>
  <c r="X382" i="5" s="1"/>
  <c r="W216" i="5"/>
  <c r="X216" i="5" s="1"/>
  <c r="W472" i="5"/>
  <c r="Y472" i="5" s="1"/>
  <c r="Q504" i="5"/>
  <c r="S504" i="5" s="1"/>
  <c r="Q376" i="5"/>
  <c r="Q248" i="5"/>
  <c r="R248" i="5" s="1"/>
  <c r="Q288" i="5"/>
  <c r="S288" i="5" s="1"/>
  <c r="Q136" i="5"/>
  <c r="R136" i="5" s="1"/>
  <c r="W168" i="5"/>
  <c r="Y168" i="5" s="1"/>
  <c r="Q192" i="5"/>
  <c r="S192" i="5" s="1"/>
  <c r="Q32" i="5"/>
  <c r="S32" i="5" s="1"/>
  <c r="W72" i="5"/>
  <c r="X72" i="5" s="1"/>
  <c r="W262" i="5"/>
  <c r="W29" i="5"/>
  <c r="Y29" i="5" s="1"/>
  <c r="W62" i="5"/>
  <c r="Y62" i="5" s="1"/>
  <c r="W365" i="5"/>
  <c r="X365" i="5" s="1"/>
  <c r="W497" i="5"/>
  <c r="Y497" i="5" s="1"/>
  <c r="W183" i="5"/>
  <c r="Y183" i="5" s="1"/>
  <c r="W239" i="5"/>
  <c r="X239" i="5" s="1"/>
  <c r="W334" i="5"/>
  <c r="Y334" i="5" s="1"/>
  <c r="W243" i="5"/>
  <c r="Y243" i="5" s="1"/>
  <c r="W212" i="5"/>
  <c r="W521" i="5"/>
  <c r="X521" i="5" s="1"/>
  <c r="W51" i="5"/>
  <c r="X51" i="5" s="1"/>
  <c r="W330" i="5"/>
  <c r="X330" i="5" s="1"/>
  <c r="W526" i="5"/>
  <c r="X526" i="5" s="1"/>
  <c r="W333" i="5"/>
  <c r="Y333" i="5" s="1"/>
  <c r="W321" i="5"/>
  <c r="X321" i="5" s="1"/>
  <c r="W481" i="5"/>
  <c r="Y481" i="5" s="1"/>
  <c r="W405" i="5"/>
  <c r="W65" i="5"/>
  <c r="X65" i="5" s="1"/>
  <c r="W274" i="5"/>
  <c r="Y274" i="5" s="1"/>
  <c r="W305" i="5"/>
  <c r="X305" i="5" s="1"/>
  <c r="W101" i="5"/>
  <c r="X101" i="5" s="1"/>
  <c r="W467" i="5"/>
  <c r="X467" i="5" s="1"/>
  <c r="W60" i="5"/>
  <c r="Y60" i="5" s="1"/>
  <c r="W366" i="5"/>
  <c r="W290" i="5"/>
  <c r="W189" i="5"/>
  <c r="X189" i="5" s="1"/>
  <c r="W554" i="5"/>
  <c r="X554" i="5" s="1"/>
  <c r="W80" i="5"/>
  <c r="X80" i="5" s="1"/>
  <c r="W75" i="5"/>
  <c r="X75" i="5" s="1"/>
  <c r="W438" i="5"/>
  <c r="Y438" i="5" s="1"/>
  <c r="W386" i="5"/>
  <c r="X386" i="5" s="1"/>
  <c r="W132" i="5"/>
  <c r="W343" i="5"/>
  <c r="W237" i="5"/>
  <c r="X237" i="5" s="1"/>
  <c r="W181" i="5"/>
  <c r="X181" i="5" s="1"/>
  <c r="W71" i="5"/>
  <c r="Y71" i="5" s="1"/>
  <c r="W422" i="5"/>
  <c r="X422" i="5" s="1"/>
  <c r="W197" i="5"/>
  <c r="X197" i="5" s="1"/>
  <c r="W549" i="5"/>
  <c r="Y549" i="5" s="1"/>
  <c r="W293" i="5"/>
  <c r="X293" i="5" s="1"/>
  <c r="W403" i="5"/>
  <c r="X161" i="5"/>
  <c r="W392" i="5"/>
  <c r="Y392" i="5" s="1"/>
  <c r="W394" i="5"/>
  <c r="Y394" i="5" s="1"/>
  <c r="W358" i="5"/>
  <c r="Y358" i="5" s="1"/>
  <c r="W517" i="5"/>
  <c r="X517" i="5" s="1"/>
  <c r="W125" i="5"/>
  <c r="W551" i="5"/>
  <c r="Y551" i="5" s="1"/>
  <c r="W106" i="5"/>
  <c r="X106" i="5" s="1"/>
  <c r="W255" i="5"/>
  <c r="X255" i="5" s="1"/>
  <c r="W436" i="5"/>
  <c r="X436" i="5" s="1"/>
  <c r="W535" i="5"/>
  <c r="Y535" i="5" s="1"/>
  <c r="W340" i="5"/>
  <c r="Y340" i="5" s="1"/>
  <c r="W154" i="5"/>
  <c r="W435" i="5"/>
  <c r="W158" i="5"/>
  <c r="X158" i="5" s="1"/>
  <c r="W27" i="5"/>
  <c r="Y27" i="5" s="1"/>
  <c r="W122" i="5"/>
  <c r="W348" i="5"/>
  <c r="Y348" i="5" s="1"/>
  <c r="W510" i="5"/>
  <c r="X510" i="5" s="1"/>
  <c r="W68" i="5"/>
  <c r="W507" i="5"/>
  <c r="Y507" i="5" s="1"/>
  <c r="W454" i="5"/>
  <c r="X454" i="5" s="1"/>
  <c r="W531" i="5"/>
  <c r="X531" i="5" s="1"/>
  <c r="W449" i="5"/>
  <c r="Y449" i="5" s="1"/>
  <c r="W267" i="5"/>
  <c r="X267" i="5" s="1"/>
  <c r="W177" i="5"/>
  <c r="Y177" i="5" s="1"/>
  <c r="W299" i="5"/>
  <c r="Y299" i="5" s="1"/>
  <c r="W351" i="5"/>
  <c r="Y351" i="5" s="1"/>
  <c r="W536" i="5"/>
  <c r="Y536" i="5" s="1"/>
  <c r="S19" i="4"/>
  <c r="AL19" i="4" s="1"/>
  <c r="S27" i="4"/>
  <c r="AL27" i="4" s="1"/>
  <c r="S35" i="4"/>
  <c r="AL35" i="4" s="1"/>
  <c r="S43" i="4"/>
  <c r="AL43" i="4" s="1"/>
  <c r="S51" i="4"/>
  <c r="AL51" i="4" s="1"/>
  <c r="S60" i="4"/>
  <c r="AL60" i="4" s="1"/>
  <c r="S134" i="4"/>
  <c r="AL134" i="4" s="1"/>
  <c r="S98" i="4"/>
  <c r="U98" i="4" s="1"/>
  <c r="S65" i="4"/>
  <c r="AL65" i="4" s="1"/>
  <c r="S92" i="4"/>
  <c r="AL92" i="4" s="1"/>
  <c r="S123" i="4"/>
  <c r="AL123" i="4" s="1"/>
  <c r="S149" i="4"/>
  <c r="AL149" i="4" s="1"/>
  <c r="S91" i="4"/>
  <c r="AL91" i="4" s="1"/>
  <c r="S133" i="4"/>
  <c r="AS133" i="4" s="1"/>
  <c r="S145" i="4"/>
  <c r="AL145" i="4" s="1"/>
  <c r="S138" i="4"/>
  <c r="AL138" i="4" s="1"/>
  <c r="S113" i="4"/>
  <c r="AL113" i="4" s="1"/>
  <c r="S89" i="4"/>
  <c r="AL89" i="4" s="1"/>
  <c r="S7" i="4"/>
  <c r="AL7" i="4" s="1"/>
  <c r="S58" i="4"/>
  <c r="AL58" i="4" s="1"/>
  <c r="S122" i="4"/>
  <c r="AL122" i="4" s="1"/>
  <c r="S73" i="4"/>
  <c r="V73" i="4" s="1"/>
  <c r="AM73" i="4" s="1"/>
  <c r="S20" i="4"/>
  <c r="AL20" i="4" s="1"/>
  <c r="S28" i="4"/>
  <c r="AL28" i="4" s="1"/>
  <c r="S36" i="4"/>
  <c r="AL36" i="4" s="1"/>
  <c r="S44" i="4"/>
  <c r="AL44" i="4" s="1"/>
  <c r="S52" i="4"/>
  <c r="AL52" i="4" s="1"/>
  <c r="S67" i="4"/>
  <c r="AL67" i="4" s="1"/>
  <c r="S68" i="4"/>
  <c r="AL68" i="4" s="1"/>
  <c r="S102" i="4"/>
  <c r="AL102" i="4" s="1"/>
  <c r="S66" i="4"/>
  <c r="AL66" i="4" s="1"/>
  <c r="S96" i="4"/>
  <c r="AL96" i="4" s="1"/>
  <c r="S124" i="4"/>
  <c r="AL124" i="4" s="1"/>
  <c r="S153" i="4"/>
  <c r="AL153" i="4" s="1"/>
  <c r="S95" i="4"/>
  <c r="AL95" i="4" s="1"/>
  <c r="S77" i="4"/>
  <c r="V77" i="4" s="1"/>
  <c r="S156" i="4"/>
  <c r="AL156" i="4" s="1"/>
  <c r="S141" i="4"/>
  <c r="AS141" i="4" s="1"/>
  <c r="S117" i="4"/>
  <c r="AL117" i="4" s="1"/>
  <c r="S108" i="4"/>
  <c r="AL108" i="4" s="1"/>
  <c r="S50" i="4"/>
  <c r="AL50" i="4" s="1"/>
  <c r="S88" i="4"/>
  <c r="AL88" i="4" s="1"/>
  <c r="S118" i="4"/>
  <c r="U118" i="4" s="1"/>
  <c r="S15" i="4"/>
  <c r="AL15" i="4" s="1"/>
  <c r="S21" i="4"/>
  <c r="S29" i="4"/>
  <c r="AL29" i="4" s="1"/>
  <c r="S37" i="4"/>
  <c r="AL37" i="4" s="1"/>
  <c r="S45" i="4"/>
  <c r="AL45" i="4" s="1"/>
  <c r="S53" i="4"/>
  <c r="AL53" i="4" s="1"/>
  <c r="S62" i="4"/>
  <c r="U62" i="4" s="1"/>
  <c r="S74" i="4"/>
  <c r="AL74" i="4" s="1"/>
  <c r="S109" i="4"/>
  <c r="AL109" i="4" s="1"/>
  <c r="S71" i="4"/>
  <c r="AL71" i="4" s="1"/>
  <c r="S100" i="4"/>
  <c r="AL100" i="4" s="1"/>
  <c r="S125" i="4"/>
  <c r="AL125" i="4" s="1"/>
  <c r="S8" i="4"/>
  <c r="AL8" i="4" s="1"/>
  <c r="S103" i="4"/>
  <c r="AL103" i="4" s="1"/>
  <c r="S93" i="4"/>
  <c r="AL93" i="4" s="1"/>
  <c r="S9" i="4"/>
  <c r="AL9" i="4" s="1"/>
  <c r="S152" i="4"/>
  <c r="AL152" i="4" s="1"/>
  <c r="S147" i="4"/>
  <c r="AL147" i="4" s="1"/>
  <c r="S116" i="4"/>
  <c r="AL116" i="4" s="1"/>
  <c r="S26" i="4"/>
  <c r="AL26" i="4" s="1"/>
  <c r="S130" i="4"/>
  <c r="U130" i="4" s="1"/>
  <c r="S83" i="4"/>
  <c r="AL83" i="4" s="1"/>
  <c r="S101" i="4"/>
  <c r="S63" i="4"/>
  <c r="AL63" i="4" s="1"/>
  <c r="S22" i="4"/>
  <c r="AL22" i="4" s="1"/>
  <c r="S30" i="4"/>
  <c r="AL30" i="4" s="1"/>
  <c r="S38" i="4"/>
  <c r="AL38" i="4" s="1"/>
  <c r="S46" i="4"/>
  <c r="AL46" i="4" s="1"/>
  <c r="S54" i="4"/>
  <c r="AL54" i="4" s="1"/>
  <c r="S69" i="4"/>
  <c r="AL69" i="4" s="1"/>
  <c r="S78" i="4"/>
  <c r="AL78" i="4" s="1"/>
  <c r="S110" i="4"/>
  <c r="AL110" i="4" s="1"/>
  <c r="S72" i="4"/>
  <c r="AL72" i="4" s="1"/>
  <c r="S105" i="4"/>
  <c r="V105" i="4" s="1"/>
  <c r="S126" i="4"/>
  <c r="AL126" i="4" s="1"/>
  <c r="S61" i="4"/>
  <c r="AL61" i="4" s="1"/>
  <c r="S104" i="4"/>
  <c r="AL104" i="4" s="1"/>
  <c r="S107" i="4"/>
  <c r="AL107" i="4" s="1"/>
  <c r="S10" i="4"/>
  <c r="AS10" i="4" s="1"/>
  <c r="S155" i="4"/>
  <c r="AS155" i="4" s="1"/>
  <c r="S148" i="4"/>
  <c r="AL148" i="4" s="1"/>
  <c r="S143" i="4"/>
  <c r="U143" i="4" s="1"/>
  <c r="S18" i="4"/>
  <c r="AL18" i="4" s="1"/>
  <c r="S94" i="4"/>
  <c r="S132" i="4"/>
  <c r="S64" i="4"/>
  <c r="AL64" i="4" s="1"/>
  <c r="S23" i="4"/>
  <c r="AL23" i="4" s="1"/>
  <c r="S31" i="4"/>
  <c r="AL31" i="4" s="1"/>
  <c r="S39" i="4"/>
  <c r="AL39" i="4" s="1"/>
  <c r="S47" i="4"/>
  <c r="AL47" i="4" s="1"/>
  <c r="S55" i="4"/>
  <c r="AL55" i="4" s="1"/>
  <c r="S87" i="4"/>
  <c r="AL87" i="4" s="1"/>
  <c r="S82" i="4"/>
  <c r="AL82" i="4" s="1"/>
  <c r="S119" i="4"/>
  <c r="AL119" i="4" s="1"/>
  <c r="S76" i="4"/>
  <c r="AL76" i="4" s="1"/>
  <c r="S106" i="4"/>
  <c r="AL106" i="4" s="1"/>
  <c r="S135" i="4"/>
  <c r="AL135" i="4" s="1"/>
  <c r="S70" i="4"/>
  <c r="AL70" i="4" s="1"/>
  <c r="S111" i="4"/>
  <c r="AL111" i="4" s="1"/>
  <c r="S115" i="4"/>
  <c r="AL115" i="4" s="1"/>
  <c r="S81" i="4"/>
  <c r="AL81" i="4" s="1"/>
  <c r="S13" i="4"/>
  <c r="AL13" i="4" s="1"/>
  <c r="S151" i="4"/>
  <c r="AL151" i="4" s="1"/>
  <c r="S146" i="4"/>
  <c r="AL146" i="4" s="1"/>
  <c r="S42" i="4"/>
  <c r="AL42" i="4" s="1"/>
  <c r="S144" i="4"/>
  <c r="AL144" i="4" s="1"/>
  <c r="S11" i="4"/>
  <c r="AL11" i="4" s="1"/>
  <c r="S16" i="4"/>
  <c r="AL16" i="4" s="1"/>
  <c r="S24" i="4"/>
  <c r="AL24" i="4" s="1"/>
  <c r="S32" i="4"/>
  <c r="AL32" i="4" s="1"/>
  <c r="S40" i="4"/>
  <c r="AL40" i="4" s="1"/>
  <c r="S48" i="4"/>
  <c r="AL48" i="4" s="1"/>
  <c r="S56" i="4"/>
  <c r="AL56" i="4" s="1"/>
  <c r="S99" i="4"/>
  <c r="AL99" i="4" s="1"/>
  <c r="S86" i="4"/>
  <c r="AL86" i="4" s="1"/>
  <c r="S128" i="4"/>
  <c r="AL128" i="4" s="1"/>
  <c r="S80" i="4"/>
  <c r="AL80" i="4" s="1"/>
  <c r="S112" i="4"/>
  <c r="AL112" i="4" s="1"/>
  <c r="S139" i="4"/>
  <c r="AL139" i="4" s="1"/>
  <c r="S75" i="4"/>
  <c r="AL75" i="4" s="1"/>
  <c r="S129" i="4"/>
  <c r="AL129" i="4" s="1"/>
  <c r="S127" i="4"/>
  <c r="AL127" i="4" s="1"/>
  <c r="S97" i="4"/>
  <c r="AL97" i="4" s="1"/>
  <c r="S14" i="4"/>
  <c r="AL14" i="4" s="1"/>
  <c r="S154" i="4"/>
  <c r="AL154" i="4" s="1"/>
  <c r="S150" i="4"/>
  <c r="AL150" i="4" s="1"/>
  <c r="S17" i="4"/>
  <c r="AL17" i="4" s="1"/>
  <c r="S25" i="4"/>
  <c r="AL25" i="4" s="1"/>
  <c r="S33" i="4"/>
  <c r="AL33" i="4" s="1"/>
  <c r="S41" i="4"/>
  <c r="AL41" i="4" s="1"/>
  <c r="S49" i="4"/>
  <c r="AL49" i="4" s="1"/>
  <c r="S57" i="4"/>
  <c r="AL57" i="4" s="1"/>
  <c r="S120" i="4"/>
  <c r="AL120" i="4" s="1"/>
  <c r="S90" i="4"/>
  <c r="AL90" i="4" s="1"/>
  <c r="S137" i="4"/>
  <c r="AL137" i="4" s="1"/>
  <c r="S84" i="4"/>
  <c r="V84" i="4" s="1"/>
  <c r="S121" i="4"/>
  <c r="AL121" i="4" s="1"/>
  <c r="S140" i="4"/>
  <c r="V140" i="4" s="1"/>
  <c r="S79" i="4"/>
  <c r="S131" i="4"/>
  <c r="AL131" i="4" s="1"/>
  <c r="S136" i="4"/>
  <c r="AL136" i="4" s="1"/>
  <c r="S114" i="4"/>
  <c r="AL114" i="4" s="1"/>
  <c r="S85" i="4"/>
  <c r="AL85" i="4" s="1"/>
  <c r="S12" i="4"/>
  <c r="AL12" i="4" s="1"/>
  <c r="S157" i="4"/>
  <c r="V157" i="4" s="1"/>
  <c r="S34" i="4"/>
  <c r="S59" i="4"/>
  <c r="S142" i="4"/>
  <c r="AL142" i="4" s="1"/>
  <c r="W546" i="5"/>
  <c r="Y546" i="5" s="1"/>
  <c r="W424" i="5"/>
  <c r="X424" i="5" s="1"/>
  <c r="W448" i="5"/>
  <c r="X448" i="5" s="1"/>
  <c r="W496" i="5"/>
  <c r="Y496" i="5" s="1"/>
  <c r="W320" i="5"/>
  <c r="X320" i="5" s="1"/>
  <c r="W344" i="5"/>
  <c r="Y344" i="5" s="1"/>
  <c r="W368" i="5"/>
  <c r="Y368" i="5" s="1"/>
  <c r="W312" i="5"/>
  <c r="X312" i="5" s="1"/>
  <c r="W48" i="5"/>
  <c r="X48" i="5" s="1"/>
  <c r="W96" i="5"/>
  <c r="Y96" i="5" s="1"/>
  <c r="W553" i="5"/>
  <c r="Y553" i="5" s="1"/>
  <c r="W220" i="5"/>
  <c r="X220" i="5" s="1"/>
  <c r="W89" i="5"/>
  <c r="Y89" i="5" s="1"/>
  <c r="W218" i="5"/>
  <c r="Y218" i="5" s="1"/>
  <c r="W324" i="5"/>
  <c r="Y324" i="5" s="1"/>
  <c r="W390" i="5"/>
  <c r="Y390" i="5" s="1"/>
  <c r="W425" i="5"/>
  <c r="X425" i="5" s="1"/>
  <c r="W361" i="5"/>
  <c r="X361" i="5" s="1"/>
  <c r="W362" i="5"/>
  <c r="X362" i="5" s="1"/>
  <c r="W67" i="5"/>
  <c r="X67" i="5" s="1"/>
  <c r="W105" i="5"/>
  <c r="X105" i="5" s="1"/>
  <c r="W503" i="5"/>
  <c r="X503" i="5" s="1"/>
  <c r="W494" i="5"/>
  <c r="X494" i="5" s="1"/>
  <c r="W58" i="5"/>
  <c r="Y58" i="5" s="1"/>
  <c r="W552" i="5"/>
  <c r="Y552" i="5" s="1"/>
  <c r="W332" i="5"/>
  <c r="X332" i="5" s="1"/>
  <c r="W93" i="5"/>
  <c r="X93" i="5" s="1"/>
  <c r="W476" i="5"/>
  <c r="Y476" i="5" s="1"/>
  <c r="W478" i="5"/>
  <c r="Y478" i="5" s="1"/>
  <c r="W164" i="5"/>
  <c r="Y164" i="5" s="1"/>
  <c r="W474" i="5"/>
  <c r="Y474" i="5" s="1"/>
  <c r="W273" i="5"/>
  <c r="Y273" i="5" s="1"/>
  <c r="W244" i="5"/>
  <c r="Y244" i="5" s="1"/>
  <c r="W129" i="5"/>
  <c r="Y129" i="5" s="1"/>
  <c r="W163" i="5"/>
  <c r="X163" i="5" s="1"/>
  <c r="W167" i="5"/>
  <c r="W318" i="5"/>
  <c r="X318" i="5" s="1"/>
  <c r="W310" i="5"/>
  <c r="Y310" i="5" s="1"/>
  <c r="W44" i="5"/>
  <c r="Y44" i="5" s="1"/>
  <c r="W233" i="5"/>
  <c r="X233" i="5" s="1"/>
  <c r="W36" i="5"/>
  <c r="Y36" i="5" s="1"/>
  <c r="W82" i="5"/>
  <c r="X82" i="5" s="1"/>
  <c r="W428" i="5"/>
  <c r="Y428" i="5" s="1"/>
  <c r="W471" i="5"/>
  <c r="Y471" i="5" s="1"/>
  <c r="W21" i="5"/>
  <c r="Y21" i="5" s="1"/>
  <c r="W559" i="5"/>
  <c r="Y559" i="5" s="1"/>
  <c r="W410" i="5"/>
  <c r="X410" i="5" s="1"/>
  <c r="W222" i="5"/>
  <c r="Y222" i="5" s="1"/>
  <c r="W254" i="5"/>
  <c r="Y254" i="5" s="1"/>
  <c r="W130" i="5"/>
  <c r="X130" i="5" s="1"/>
  <c r="W235" i="5"/>
  <c r="W377" i="5"/>
  <c r="W461" i="5"/>
  <c r="W207" i="5"/>
  <c r="Y207" i="5" s="1"/>
  <c r="W408" i="5"/>
  <c r="X408" i="5" s="1"/>
  <c r="W47" i="5"/>
  <c r="W77" i="5"/>
  <c r="X77" i="5" s="1"/>
  <c r="W307" i="5"/>
  <c r="W445" i="5"/>
  <c r="Y445" i="5" s="1"/>
  <c r="W429" i="5"/>
  <c r="X429" i="5" s="1"/>
  <c r="W185" i="5"/>
  <c r="X185" i="5" s="1"/>
  <c r="W423" i="5"/>
  <c r="X423" i="5" s="1"/>
  <c r="W442" i="5"/>
  <c r="Y442" i="5" s="1"/>
  <c r="W248" i="5"/>
  <c r="Y248" i="5" s="1"/>
  <c r="W456" i="5"/>
  <c r="W504" i="5"/>
  <c r="Y504" i="5" s="1"/>
  <c r="W376" i="5"/>
  <c r="X376" i="5" s="1"/>
  <c r="W400" i="5"/>
  <c r="Y400" i="5" s="1"/>
  <c r="W224" i="5"/>
  <c r="Y224" i="5" s="1"/>
  <c r="W256" i="5"/>
  <c r="Y256" i="5" s="1"/>
  <c r="W288" i="5"/>
  <c r="X288" i="5" s="1"/>
  <c r="W120" i="5"/>
  <c r="X120" i="5" s="1"/>
  <c r="W56" i="5"/>
  <c r="W104" i="5"/>
  <c r="Y104" i="5" s="1"/>
  <c r="W148" i="5"/>
  <c r="X148" i="5" s="1"/>
  <c r="W491" i="5"/>
  <c r="Y491" i="5" s="1"/>
  <c r="W322" i="5"/>
  <c r="Y322" i="5" s="1"/>
  <c r="W114" i="5"/>
  <c r="Y114" i="5" s="1"/>
  <c r="W347" i="5"/>
  <c r="Y347" i="5" s="1"/>
  <c r="W378" i="5"/>
  <c r="X378" i="5" s="1"/>
  <c r="W528" i="5"/>
  <c r="Y528" i="5" s="1"/>
  <c r="W508" i="5"/>
  <c r="Y508" i="5" s="1"/>
  <c r="W327" i="5"/>
  <c r="Y327" i="5" s="1"/>
  <c r="W271" i="5"/>
  <c r="X271" i="5" s="1"/>
  <c r="W37" i="5"/>
  <c r="X37" i="5" s="1"/>
  <c r="W356" i="5"/>
  <c r="X356" i="5" s="1"/>
  <c r="W409" i="5"/>
  <c r="Y409" i="5" s="1"/>
  <c r="W530" i="5"/>
  <c r="X530" i="5" s="1"/>
  <c r="W269" i="5"/>
  <c r="W206" i="5"/>
  <c r="Y206" i="5" s="1"/>
  <c r="W20" i="5"/>
  <c r="X20" i="5" s="1"/>
  <c r="W300" i="5"/>
  <c r="Y300" i="5" s="1"/>
  <c r="W393" i="5"/>
  <c r="Y393" i="5" s="1"/>
  <c r="W34" i="5"/>
  <c r="Y34" i="5" s="1"/>
  <c r="W391" i="5"/>
  <c r="X391" i="5" s="1"/>
  <c r="W373" i="5"/>
  <c r="W145" i="5"/>
  <c r="X145" i="5" s="1"/>
  <c r="W178" i="5"/>
  <c r="Y178" i="5" s="1"/>
  <c r="W458" i="5"/>
  <c r="X458" i="5" s="1"/>
  <c r="W511" i="5"/>
  <c r="Y511" i="5" s="1"/>
  <c r="W134" i="5"/>
  <c r="X134" i="5" s="1"/>
  <c r="W236" i="5"/>
  <c r="X236" i="5" s="1"/>
  <c r="W411" i="5"/>
  <c r="X411" i="5" s="1"/>
  <c r="W278" i="5"/>
  <c r="Y278" i="5" s="1"/>
  <c r="W311" i="5"/>
  <c r="Y311" i="5" s="1"/>
  <c r="W39" i="5"/>
  <c r="X39" i="5" s="1"/>
  <c r="W261" i="5"/>
  <c r="Y261" i="5" s="1"/>
  <c r="W473" i="5"/>
  <c r="X473" i="5" s="1"/>
  <c r="W475" i="5"/>
  <c r="Y475" i="5" s="1"/>
  <c r="W430" i="5"/>
  <c r="X430" i="5" s="1"/>
  <c r="W45" i="5"/>
  <c r="X45" i="5" s="1"/>
  <c r="W174" i="5"/>
  <c r="Y174" i="5" s="1"/>
  <c r="W195" i="5"/>
  <c r="Y195" i="5" s="1"/>
  <c r="W505" i="5"/>
  <c r="Y505" i="5" s="1"/>
  <c r="W69" i="5"/>
  <c r="X69" i="5" s="1"/>
  <c r="W172" i="5"/>
  <c r="X172" i="5" s="1"/>
  <c r="W297" i="5"/>
  <c r="X297" i="5" s="1"/>
  <c r="W523" i="5"/>
  <c r="X523" i="5" s="1"/>
  <c r="W257" i="5"/>
  <c r="Y257" i="5" s="1"/>
  <c r="W258" i="5"/>
  <c r="Y258" i="5" s="1"/>
  <c r="W53" i="5"/>
  <c r="X53" i="5" s="1"/>
  <c r="W406" i="5"/>
  <c r="Y406" i="5" s="1"/>
  <c r="W213" i="5"/>
  <c r="X213" i="5" s="1"/>
  <c r="W460" i="5"/>
  <c r="X460" i="5" s="1"/>
  <c r="W46" i="5"/>
  <c r="X46" i="5" s="1"/>
  <c r="W268" i="5"/>
  <c r="X268" i="5" s="1"/>
  <c r="B40" i="5"/>
  <c r="W32" i="5"/>
  <c r="Y32" i="5" s="1"/>
  <c r="W432" i="5"/>
  <c r="Y432" i="5" s="1"/>
  <c r="W480" i="5"/>
  <c r="X480" i="5" s="1"/>
  <c r="W328" i="5"/>
  <c r="Y328" i="5" s="1"/>
  <c r="W144" i="5"/>
  <c r="X144" i="5" s="1"/>
  <c r="W200" i="5"/>
  <c r="Y200" i="5" s="1"/>
  <c r="W522" i="5"/>
  <c r="Y522" i="5" s="1"/>
  <c r="W283" i="5"/>
  <c r="Y283" i="5" s="1"/>
  <c r="W326" i="5"/>
  <c r="X326" i="5" s="1"/>
  <c r="W111" i="5"/>
  <c r="Y111" i="5" s="1"/>
  <c r="W149" i="5"/>
  <c r="Y149" i="5" s="1"/>
  <c r="W396" i="5"/>
  <c r="X396" i="5" s="1"/>
  <c r="W518" i="5"/>
  <c r="Y518" i="5" s="1"/>
  <c r="W294" i="5"/>
  <c r="X294" i="5" s="1"/>
  <c r="W306" i="5"/>
  <c r="Y306" i="5" s="1"/>
  <c r="W81" i="5"/>
  <c r="X81" i="5" s="1"/>
  <c r="W289" i="5"/>
  <c r="X289" i="5" s="1"/>
  <c r="W367" i="5"/>
  <c r="Y367" i="5" s="1"/>
  <c r="W401" i="5"/>
  <c r="X401" i="5" s="1"/>
  <c r="W292" i="5"/>
  <c r="Y292" i="5" s="1"/>
  <c r="W415" i="5"/>
  <c r="X415" i="5" s="1"/>
  <c r="W91" i="5"/>
  <c r="Y91" i="5" s="1"/>
  <c r="W265" i="5"/>
  <c r="X265" i="5" s="1"/>
  <c r="W346" i="5"/>
  <c r="X346" i="5" s="1"/>
  <c r="W387" i="5"/>
  <c r="Y387" i="5" s="1"/>
  <c r="W308" i="5"/>
  <c r="X308" i="5" s="1"/>
  <c r="W190" i="5"/>
  <c r="X190" i="5" s="1"/>
  <c r="W109" i="5"/>
  <c r="X109" i="5" s="1"/>
  <c r="W117" i="5"/>
  <c r="Y117" i="5" s="1"/>
  <c r="W443" i="5"/>
  <c r="X443" i="5" s="1"/>
  <c r="W483" i="5"/>
  <c r="Y483" i="5" s="1"/>
  <c r="W49" i="5"/>
  <c r="W459" i="5"/>
  <c r="W285" i="5"/>
  <c r="W242" i="5"/>
  <c r="X242" i="5" s="1"/>
  <c r="W263" i="5"/>
  <c r="Y263" i="5" s="1"/>
  <c r="W95" i="5"/>
  <c r="Y95" i="5" s="1"/>
  <c r="W298" i="5"/>
  <c r="Y298" i="5" s="1"/>
  <c r="W371" i="5"/>
  <c r="X371" i="5" s="1"/>
  <c r="W97" i="5"/>
  <c r="X97" i="5" s="1"/>
  <c r="W253" i="5"/>
  <c r="X253" i="5" s="1"/>
  <c r="W214" i="5"/>
  <c r="X214" i="5" s="1"/>
  <c r="W113" i="5"/>
  <c r="W166" i="5"/>
  <c r="Y166" i="5" s="1"/>
  <c r="W389" i="5"/>
  <c r="X389" i="5" s="1"/>
  <c r="W468" i="5"/>
  <c r="Y468" i="5" s="1"/>
  <c r="W115" i="5"/>
  <c r="X115" i="5" s="1"/>
  <c r="W520" i="5"/>
  <c r="X520" i="5" s="1"/>
  <c r="W506" i="5"/>
  <c r="X506" i="5" s="1"/>
  <c r="W193" i="5"/>
  <c r="W221" i="5"/>
  <c r="X221" i="5" s="1"/>
  <c r="W108" i="5"/>
  <c r="Y108" i="5" s="1"/>
  <c r="W313" i="5"/>
  <c r="Y313" i="5" s="1"/>
  <c r="W226" i="5"/>
  <c r="Y226" i="5" s="1"/>
  <c r="W479" i="5"/>
  <c r="W50" i="5"/>
  <c r="W275" i="5"/>
  <c r="Y275" i="5" s="1"/>
  <c r="W342" i="5"/>
  <c r="X342" i="5" s="1"/>
  <c r="W352" i="5"/>
  <c r="X352" i="5" s="1"/>
  <c r="W534" i="5"/>
  <c r="Y534" i="5" s="1"/>
  <c r="W264" i="5"/>
  <c r="X264" i="5" s="1"/>
  <c r="W176" i="5"/>
  <c r="X176" i="5" s="1"/>
  <c r="W64" i="5"/>
  <c r="Y64" i="5" s="1"/>
  <c r="W112" i="5"/>
  <c r="W537" i="5"/>
  <c r="Y537" i="5" s="1"/>
  <c r="W126" i="5"/>
  <c r="X126" i="5" s="1"/>
  <c r="W544" i="5"/>
  <c r="X544" i="5" s="1"/>
  <c r="W107" i="5"/>
  <c r="X107" i="5" s="1"/>
  <c r="W314" i="5"/>
  <c r="X314" i="5" s="1"/>
  <c r="W338" i="5"/>
  <c r="Y338" i="5" s="1"/>
  <c r="W170" i="5"/>
  <c r="Y170" i="5" s="1"/>
  <c r="W201" i="5"/>
  <c r="Y201" i="5" s="1"/>
  <c r="W198" i="5"/>
  <c r="Y198" i="5" s="1"/>
  <c r="W286" i="5"/>
  <c r="X286" i="5" s="1"/>
  <c r="W140" i="5"/>
  <c r="Y140" i="5" s="1"/>
  <c r="W196" i="5"/>
  <c r="X196" i="5" s="1"/>
  <c r="W302" i="5"/>
  <c r="Y302" i="5" s="1"/>
  <c r="W431" i="5"/>
  <c r="Y431" i="5" s="1"/>
  <c r="W76" i="5"/>
  <c r="X76" i="5" s="1"/>
  <c r="W59" i="5"/>
  <c r="X59" i="5" s="1"/>
  <c r="W179" i="5"/>
  <c r="X179" i="5" s="1"/>
  <c r="W231" i="5"/>
  <c r="Y231" i="5" s="1"/>
  <c r="W251" i="5"/>
  <c r="X251" i="5" s="1"/>
  <c r="W498" i="5"/>
  <c r="Y498" i="5" s="1"/>
  <c r="W43" i="5"/>
  <c r="Y43" i="5" s="1"/>
  <c r="W303" i="5"/>
  <c r="Y303" i="5" s="1"/>
  <c r="W54" i="5"/>
  <c r="X54" i="5" s="1"/>
  <c r="W84" i="5"/>
  <c r="X84" i="5" s="1"/>
  <c r="W465" i="5"/>
  <c r="Y465" i="5" s="1"/>
  <c r="W450" i="5"/>
  <c r="X450" i="5" s="1"/>
  <c r="W246" i="5"/>
  <c r="X246" i="5" s="1"/>
  <c r="W539" i="5"/>
  <c r="X539" i="5" s="1"/>
  <c r="W329" i="5"/>
  <c r="Y329" i="5" s="1"/>
  <c r="W228" i="5"/>
  <c r="Y228" i="5" s="1"/>
  <c r="W232" i="5"/>
  <c r="Y232" i="5" s="1"/>
  <c r="W191" i="5"/>
  <c r="Y191" i="5" s="1"/>
  <c r="W287" i="5"/>
  <c r="X287" i="5" s="1"/>
  <c r="W412" i="5"/>
  <c r="Y412" i="5" s="1"/>
  <c r="W407" i="5"/>
  <c r="X407" i="5" s="1"/>
  <c r="W309" i="5"/>
  <c r="Y309" i="5" s="1"/>
  <c r="W525" i="5"/>
  <c r="Y525" i="5" s="1"/>
  <c r="W63" i="5"/>
  <c r="X63" i="5" s="1"/>
  <c r="W121" i="5"/>
  <c r="X121" i="5" s="1"/>
  <c r="W402" i="5"/>
  <c r="X402" i="5" s="1"/>
  <c r="W433" i="5"/>
  <c r="X433" i="5" s="1"/>
  <c r="W35" i="5"/>
  <c r="X35" i="5" s="1"/>
  <c r="W560" i="5"/>
  <c r="Y560" i="5" s="1"/>
  <c r="W381" i="5"/>
  <c r="X381" i="5" s="1"/>
  <c r="W187" i="5"/>
  <c r="X187" i="5" s="1"/>
  <c r="W245" i="5"/>
  <c r="X245" i="5" s="1"/>
  <c r="W241" i="5"/>
  <c r="X241" i="5" s="1"/>
  <c r="W238" i="5"/>
  <c r="X238" i="5" s="1"/>
  <c r="W119" i="5"/>
  <c r="X119" i="5" s="1"/>
  <c r="W276" i="5"/>
  <c r="Y276" i="5" s="1"/>
  <c r="W141" i="5"/>
  <c r="X141" i="5" s="1"/>
  <c r="W414" i="5"/>
  <c r="Y414" i="5" s="1"/>
  <c r="W208" i="5"/>
  <c r="X208" i="5" s="1"/>
  <c r="W538" i="5"/>
  <c r="Y538" i="5" s="1"/>
  <c r="W440" i="5"/>
  <c r="X440" i="5" s="1"/>
  <c r="W464" i="5"/>
  <c r="X464" i="5" s="1"/>
  <c r="W336" i="5"/>
  <c r="X336" i="5" s="1"/>
  <c r="W384" i="5"/>
  <c r="X384" i="5" s="1"/>
  <c r="W296" i="5"/>
  <c r="X296" i="5" s="1"/>
  <c r="W128" i="5"/>
  <c r="Y128" i="5" s="1"/>
  <c r="W40" i="5"/>
  <c r="Y40" i="5" s="1"/>
  <c r="W88" i="5"/>
  <c r="Y88" i="5" s="1"/>
  <c r="W79" i="5"/>
  <c r="Y79" i="5" s="1"/>
  <c r="W543" i="5"/>
  <c r="X543" i="5" s="1"/>
  <c r="W355" i="5"/>
  <c r="Y355" i="5" s="1"/>
  <c r="W444" i="5"/>
  <c r="X444" i="5" s="1"/>
  <c r="W153" i="5"/>
  <c r="X153" i="5" s="1"/>
  <c r="W25" i="5"/>
  <c r="Y25" i="5" s="1"/>
  <c r="W38" i="5"/>
  <c r="X38" i="5" s="1"/>
  <c r="W165" i="5"/>
  <c r="Y165" i="5" s="1"/>
  <c r="W175" i="5"/>
  <c r="X175" i="5" s="1"/>
  <c r="W542" i="5"/>
  <c r="X542" i="5" s="1"/>
  <c r="W143" i="5"/>
  <c r="X143" i="5" s="1"/>
  <c r="W225" i="5"/>
  <c r="X225" i="5" s="1"/>
  <c r="W99" i="5"/>
  <c r="X99" i="5" s="1"/>
  <c r="W500" i="5"/>
  <c r="X500" i="5" s="1"/>
  <c r="W247" i="5"/>
  <c r="Y247" i="5" s="1"/>
  <c r="W532" i="5"/>
  <c r="Y532" i="5" s="1"/>
  <c r="W92" i="5"/>
  <c r="X92" i="5" s="1"/>
  <c r="W229" i="5"/>
  <c r="Y229" i="5" s="1"/>
  <c r="W123" i="5"/>
  <c r="Y123" i="5" s="1"/>
  <c r="W457" i="5"/>
  <c r="Y457" i="5" s="1"/>
  <c r="W359" i="5"/>
  <c r="X359" i="5" s="1"/>
  <c r="W350" i="5"/>
  <c r="X350" i="5" s="1"/>
  <c r="W52" i="5"/>
  <c r="Y52" i="5" s="1"/>
  <c r="W349" i="5"/>
  <c r="Y349" i="5" s="1"/>
  <c r="W487" i="5"/>
  <c r="X487" i="5" s="1"/>
  <c r="W466" i="5"/>
  <c r="Y466" i="5" s="1"/>
  <c r="W469" i="5"/>
  <c r="X469" i="5" s="1"/>
  <c r="W94" i="5"/>
  <c r="Y94" i="5" s="1"/>
  <c r="W173" i="5"/>
  <c r="X173" i="5" s="1"/>
  <c r="W219" i="5"/>
  <c r="X219" i="5" s="1"/>
  <c r="W23" i="5"/>
  <c r="Y23" i="5" s="1"/>
  <c r="W169" i="5"/>
  <c r="X169" i="5" s="1"/>
  <c r="W279" i="5"/>
  <c r="X279" i="5" s="1"/>
  <c r="W486" i="5"/>
  <c r="X486" i="5" s="1"/>
  <c r="W19" i="5"/>
  <c r="Y19" i="5" s="1"/>
  <c r="W419" i="5"/>
  <c r="X419" i="5" s="1"/>
  <c r="W61" i="5"/>
  <c r="Y61" i="5" s="1"/>
  <c r="W90" i="5"/>
  <c r="X90" i="5" s="1"/>
  <c r="W426" i="5"/>
  <c r="Y426" i="5" s="1"/>
  <c r="W417" i="5"/>
  <c r="X417" i="5" s="1"/>
  <c r="W252" i="5"/>
  <c r="X252" i="5" s="1"/>
  <c r="W462" i="5"/>
  <c r="Y462" i="5" s="1"/>
  <c r="W211" i="5"/>
  <c r="X211" i="5" s="1"/>
  <c r="W162" i="5"/>
  <c r="X162" i="5" s="1"/>
  <c r="W205" i="5"/>
  <c r="W548" i="5"/>
  <c r="Y548" i="5" s="1"/>
  <c r="W147" i="5"/>
  <c r="W388" i="5"/>
  <c r="Y388" i="5" s="1"/>
  <c r="W249" i="5"/>
  <c r="Y249" i="5" s="1"/>
  <c r="W397" i="5"/>
  <c r="X397" i="5" s="1"/>
  <c r="W556" i="5"/>
  <c r="X556" i="5" s="1"/>
  <c r="W527" i="5"/>
  <c r="X527" i="5" s="1"/>
  <c r="W152" i="5"/>
  <c r="X152" i="5" s="1"/>
  <c r="W280" i="5"/>
  <c r="Y280" i="5" s="1"/>
  <c r="W488" i="5"/>
  <c r="Y488" i="5" s="1"/>
  <c r="W512" i="5"/>
  <c r="Y512" i="5" s="1"/>
  <c r="W360" i="5"/>
  <c r="X360" i="5" s="1"/>
  <c r="W416" i="5"/>
  <c r="X416" i="5" s="1"/>
  <c r="W240" i="5"/>
  <c r="Y240" i="5" s="1"/>
  <c r="W304" i="5"/>
  <c r="Y304" i="5" s="1"/>
  <c r="W8" i="5"/>
  <c r="X8" i="5" s="1"/>
  <c r="W317" i="5"/>
  <c r="X317" i="5" s="1"/>
  <c r="W30" i="5"/>
  <c r="X30" i="5" s="1"/>
  <c r="W277" i="5"/>
  <c r="X277" i="5" s="1"/>
  <c r="W385" i="5"/>
  <c r="X385" i="5" s="1"/>
  <c r="W150" i="5"/>
  <c r="X150" i="5" s="1"/>
  <c r="W250" i="5"/>
  <c r="X250" i="5" s="1"/>
  <c r="W142" i="5"/>
  <c r="X142" i="5" s="1"/>
  <c r="W182" i="5"/>
  <c r="X182" i="5" s="1"/>
  <c r="W133" i="5"/>
  <c r="Y133" i="5" s="1"/>
  <c r="W151" i="5"/>
  <c r="Y151" i="5" s="1"/>
  <c r="W519" i="5"/>
  <c r="Y519" i="5" s="1"/>
  <c r="W477" i="5"/>
  <c r="Y477" i="5" s="1"/>
  <c r="W171" i="5"/>
  <c r="W398" i="5"/>
  <c r="Y398" i="5" s="1"/>
  <c r="W489" i="5"/>
  <c r="W124" i="5"/>
  <c r="Y124" i="5" s="1"/>
  <c r="W485" i="5"/>
  <c r="X485" i="5" s="1"/>
  <c r="W541" i="5"/>
  <c r="Y541" i="5" s="1"/>
  <c r="W137" i="5"/>
  <c r="Y137" i="5" s="1"/>
  <c r="W354" i="5"/>
  <c r="Y354" i="5" s="1"/>
  <c r="W447" i="5"/>
  <c r="Y447" i="5" s="1"/>
  <c r="W295" i="5"/>
  <c r="Y295" i="5" s="1"/>
  <c r="W325" i="5"/>
  <c r="W33" i="5"/>
  <c r="X33" i="5" s="1"/>
  <c r="W357" i="5"/>
  <c r="X357" i="5" s="1"/>
  <c r="W380" i="5"/>
  <c r="X380" i="5" s="1"/>
  <c r="W85" i="5"/>
  <c r="Y85" i="5" s="1"/>
  <c r="W369" i="5"/>
  <c r="X369" i="5" s="1"/>
  <c r="W524" i="5"/>
  <c r="X524" i="5" s="1"/>
  <c r="W127" i="5"/>
  <c r="W180" i="5"/>
  <c r="X180" i="5" s="1"/>
  <c r="W547" i="5"/>
  <c r="W22" i="5"/>
  <c r="X22" i="5" s="1"/>
  <c r="W209" i="5"/>
  <c r="X209" i="5" s="1"/>
  <c r="W223" i="5"/>
  <c r="Y223" i="5" s="1"/>
  <c r="W558" i="5"/>
  <c r="X558" i="5" s="1"/>
  <c r="W316" i="5"/>
  <c r="Y316" i="5" s="1"/>
  <c r="W413" i="5"/>
  <c r="Y413" i="5" s="1"/>
  <c r="W57" i="5"/>
  <c r="X57" i="5" s="1"/>
  <c r="W421" i="5"/>
  <c r="X421" i="5" s="1"/>
  <c r="W463" i="5"/>
  <c r="X463" i="5" s="1"/>
  <c r="W540" i="5"/>
  <c r="Y540" i="5" s="1"/>
  <c r="W353" i="5"/>
  <c r="X353" i="5" s="1"/>
  <c r="W337" i="5"/>
  <c r="X337" i="5" s="1"/>
  <c r="W157" i="5"/>
  <c r="X157" i="5" s="1"/>
  <c r="W156" i="5"/>
  <c r="Y156" i="5" s="1"/>
  <c r="W437" i="5"/>
  <c r="X437" i="5" s="1"/>
  <c r="W31" i="5"/>
  <c r="Y31" i="5" s="1"/>
  <c r="W452" i="5"/>
  <c r="W234" i="5"/>
  <c r="Y234" i="5" s="1"/>
  <c r="W266" i="5"/>
  <c r="W370" i="5"/>
  <c r="W230" i="5"/>
  <c r="AQ134" i="4"/>
  <c r="W383" i="5"/>
  <c r="X383" i="5" s="1"/>
  <c r="O9" i="5"/>
  <c r="W533" i="5"/>
  <c r="Y533" i="5" s="1"/>
  <c r="W395" i="5"/>
  <c r="Y395" i="5" s="1"/>
  <c r="W199" i="5"/>
  <c r="X199" i="5" s="1"/>
  <c r="W215" i="5"/>
  <c r="Y215" i="5" s="1"/>
  <c r="W493" i="5"/>
  <c r="X493" i="5" s="1"/>
  <c r="W116" i="5"/>
  <c r="X116" i="5" s="1"/>
  <c r="W315" i="5"/>
  <c r="W345" i="5"/>
  <c r="W404" i="5"/>
  <c r="W499" i="5"/>
  <c r="AQ141" i="4"/>
  <c r="W363" i="5"/>
  <c r="W364" i="5"/>
  <c r="X364" i="5" s="1"/>
  <c r="W545" i="5"/>
  <c r="X545" i="5" s="1"/>
  <c r="W194" i="5"/>
  <c r="Y194" i="5" s="1"/>
  <c r="W131" i="5"/>
  <c r="X131" i="5" s="1"/>
  <c r="W188" i="5"/>
  <c r="X188" i="5" s="1"/>
  <c r="W555" i="5"/>
  <c r="X555" i="5" s="1"/>
  <c r="W41" i="5"/>
  <c r="X41" i="5" s="1"/>
  <c r="W202" i="5"/>
  <c r="Y202" i="5" s="1"/>
  <c r="W502" i="5"/>
  <c r="X502" i="5" s="1"/>
  <c r="W455" i="5"/>
  <c r="Y455" i="5" s="1"/>
  <c r="W514" i="5"/>
  <c r="X514" i="5" s="1"/>
  <c r="W495" i="5"/>
  <c r="Y495" i="5" s="1"/>
  <c r="W484" i="5"/>
  <c r="X484" i="5" s="1"/>
  <c r="W138" i="5"/>
  <c r="Y138" i="5" s="1"/>
  <c r="W155" i="5"/>
  <c r="Y155" i="5" s="1"/>
  <c r="W513" i="5"/>
  <c r="X513" i="5" s="1"/>
  <c r="W550" i="5"/>
  <c r="Y550" i="5" s="1"/>
  <c r="W87" i="5"/>
  <c r="X87" i="5" s="1"/>
  <c r="W482" i="5"/>
  <c r="Y482" i="5" s="1"/>
  <c r="W335" i="5"/>
  <c r="Y335" i="5" s="1"/>
  <c r="W427" i="5"/>
  <c r="V96" i="4"/>
  <c r="AM96" i="4" s="1"/>
  <c r="AN96" i="4" s="1"/>
  <c r="AQ73" i="4"/>
  <c r="U96" i="4"/>
  <c r="W420" i="5"/>
  <c r="Y420" i="5" s="1"/>
  <c r="W203" i="5"/>
  <c r="Y203" i="5" s="1"/>
  <c r="W434" i="5"/>
  <c r="Y434" i="5" s="1"/>
  <c r="W339" i="5"/>
  <c r="X339" i="5" s="1"/>
  <c r="W83" i="5"/>
  <c r="X83" i="5" s="1"/>
  <c r="W146" i="5"/>
  <c r="Y146" i="5" s="1"/>
  <c r="W529" i="5"/>
  <c r="X529" i="5" s="1"/>
  <c r="W284" i="5"/>
  <c r="X284" i="5" s="1"/>
  <c r="W186" i="5"/>
  <c r="X186" i="5" s="1"/>
  <c r="W516" i="5"/>
  <c r="Y516" i="5" s="1"/>
  <c r="W103" i="5"/>
  <c r="W73" i="5"/>
  <c r="Y73" i="5" s="1"/>
  <c r="W509" i="5"/>
  <c r="Y509" i="5" s="1"/>
  <c r="W227" i="5"/>
  <c r="Y227" i="5" s="1"/>
  <c r="W374" i="5"/>
  <c r="W42" i="5"/>
  <c r="X42" i="5" s="1"/>
  <c r="W70" i="5"/>
  <c r="X70" i="5" s="1"/>
  <c r="W418" i="5"/>
  <c r="X418" i="5" s="1"/>
  <c r="W217" i="5"/>
  <c r="X217" i="5" s="1"/>
  <c r="W446" i="5"/>
  <c r="X446" i="5" s="1"/>
  <c r="W470" i="5"/>
  <c r="Y470" i="5" s="1"/>
  <c r="W379" i="5"/>
  <c r="X379" i="5" s="1"/>
  <c r="W118" i="5"/>
  <c r="K36" i="5"/>
  <c r="K37" i="5" s="1"/>
  <c r="Q47" i="5"/>
  <c r="Q25" i="5"/>
  <c r="Q50" i="5"/>
  <c r="Q54" i="5"/>
  <c r="Q68" i="5"/>
  <c r="Q73" i="5"/>
  <c r="Q86" i="5"/>
  <c r="Q44" i="5"/>
  <c r="Q108" i="5"/>
  <c r="Q137" i="5"/>
  <c r="Q100" i="5"/>
  <c r="Q157" i="5"/>
  <c r="Q124" i="5"/>
  <c r="Q150" i="5"/>
  <c r="Q174" i="5"/>
  <c r="Q175" i="5"/>
  <c r="Q178" i="5"/>
  <c r="Q199" i="5"/>
  <c r="Q107" i="5"/>
  <c r="Q221" i="5"/>
  <c r="Q195" i="5"/>
  <c r="Q226" i="5"/>
  <c r="Q203" i="5"/>
  <c r="Q284" i="5"/>
  <c r="Q323" i="5"/>
  <c r="Q229" i="5"/>
  <c r="Q285" i="5"/>
  <c r="Q310" i="5"/>
  <c r="Q220" i="5"/>
  <c r="Q274" i="5"/>
  <c r="Q297" i="5"/>
  <c r="Q341" i="5"/>
  <c r="Q289" i="5"/>
  <c r="Q372" i="5"/>
  <c r="Q407" i="5"/>
  <c r="Q439" i="5"/>
  <c r="Q308" i="5"/>
  <c r="Q363" i="5"/>
  <c r="Q402" i="5"/>
  <c r="Q327" i="5"/>
  <c r="Q377" i="5"/>
  <c r="Q412" i="5"/>
  <c r="Q387" i="5"/>
  <c r="Q462" i="5"/>
  <c r="Q485" i="5"/>
  <c r="Q523" i="5"/>
  <c r="Q369" i="5"/>
  <c r="Q446" i="5"/>
  <c r="Q486" i="5"/>
  <c r="Q510" i="5"/>
  <c r="Q444" i="5"/>
  <c r="Q494" i="5"/>
  <c r="Q535" i="5"/>
  <c r="Q553" i="5"/>
  <c r="Q498" i="5"/>
  <c r="Q550" i="5"/>
  <c r="Q558" i="5"/>
  <c r="Q544" i="5"/>
  <c r="Q516" i="5"/>
  <c r="Q49" i="5"/>
  <c r="Q29" i="5"/>
  <c r="Q52" i="5"/>
  <c r="Q55" i="5"/>
  <c r="Q69" i="5"/>
  <c r="Q71" i="5"/>
  <c r="Q95" i="5"/>
  <c r="Q82" i="5"/>
  <c r="Q116" i="5"/>
  <c r="Q142" i="5"/>
  <c r="Q114" i="5"/>
  <c r="Q159" i="5"/>
  <c r="Q126" i="5"/>
  <c r="Q155" i="5"/>
  <c r="Q188" i="5"/>
  <c r="Q179" i="5"/>
  <c r="Q182" i="5"/>
  <c r="Q201" i="5"/>
  <c r="Q177" i="5"/>
  <c r="Q225" i="5"/>
  <c r="Q204" i="5"/>
  <c r="Q231" i="5"/>
  <c r="Q213" i="5"/>
  <c r="Q291" i="5"/>
  <c r="Q325" i="5"/>
  <c r="Q247" i="5"/>
  <c r="Q290" i="5"/>
  <c r="Q321" i="5"/>
  <c r="Q223" i="5"/>
  <c r="Q275" i="5"/>
  <c r="Q309" i="5"/>
  <c r="Q346" i="5"/>
  <c r="Q295" i="5"/>
  <c r="Q375" i="5"/>
  <c r="Q409" i="5"/>
  <c r="Q441" i="5"/>
  <c r="Q314" i="5"/>
  <c r="Q365" i="5"/>
  <c r="Q404" i="5"/>
  <c r="Q338" i="5"/>
  <c r="Q394" i="5"/>
  <c r="Q415" i="5"/>
  <c r="Q390" i="5"/>
  <c r="Q463" i="5"/>
  <c r="Q500" i="5"/>
  <c r="Q524" i="5"/>
  <c r="Q410" i="5"/>
  <c r="Q452" i="5"/>
  <c r="Q487" i="5"/>
  <c r="Q514" i="5"/>
  <c r="Q445" i="5"/>
  <c r="Q497" i="5"/>
  <c r="Q536" i="5"/>
  <c r="Q559" i="5"/>
  <c r="Q508" i="5"/>
  <c r="Q364" i="5"/>
  <c r="Q560" i="5"/>
  <c r="Q556" i="5"/>
  <c r="Q531" i="5"/>
  <c r="Q21" i="5"/>
  <c r="Q20" i="5"/>
  <c r="Q30" i="5"/>
  <c r="Q27" i="5"/>
  <c r="Q58" i="5"/>
  <c r="Q65" i="5"/>
  <c r="Q75" i="5"/>
  <c r="Q85" i="5"/>
  <c r="Q94" i="5"/>
  <c r="Q117" i="5"/>
  <c r="Q151" i="5"/>
  <c r="Q125" i="5"/>
  <c r="Q83" i="5"/>
  <c r="Q127" i="5"/>
  <c r="Q156" i="5"/>
  <c r="Q130" i="5"/>
  <c r="Q180" i="5"/>
  <c r="Q202" i="5"/>
  <c r="Q235" i="5"/>
  <c r="Q186" i="5"/>
  <c r="Q228" i="5"/>
  <c r="Q205" i="5"/>
  <c r="Q234" i="5"/>
  <c r="Q227" i="5"/>
  <c r="Q292" i="5"/>
  <c r="Q331" i="5"/>
  <c r="Q253" i="5"/>
  <c r="Q293" i="5"/>
  <c r="Q326" i="5"/>
  <c r="Q239" i="5"/>
  <c r="Q277" i="5"/>
  <c r="Q315" i="5"/>
  <c r="Q348" i="5"/>
  <c r="Q306" i="5"/>
  <c r="Q380" i="5"/>
  <c r="Q411" i="5"/>
  <c r="Q442" i="5"/>
  <c r="Q340" i="5"/>
  <c r="Q373" i="5"/>
  <c r="Q413" i="5"/>
  <c r="Q347" i="5"/>
  <c r="Q395" i="5"/>
  <c r="Q421" i="5"/>
  <c r="Q393" i="5"/>
  <c r="Q468" i="5"/>
  <c r="Q501" i="5"/>
  <c r="Q527" i="5"/>
  <c r="Q420" i="5"/>
  <c r="Q457" i="5"/>
  <c r="Q489" i="5"/>
  <c r="Q520" i="5"/>
  <c r="Q449" i="5"/>
  <c r="Q502" i="5"/>
  <c r="Q537" i="5"/>
  <c r="Q268" i="5"/>
  <c r="Q515" i="5"/>
  <c r="Q430" i="5"/>
  <c r="Q557" i="5"/>
  <c r="Q403" i="5"/>
  <c r="Q539" i="5"/>
  <c r="Q26" i="5"/>
  <c r="Q22" i="5"/>
  <c r="Q33" i="5"/>
  <c r="Q51" i="5"/>
  <c r="Q60" i="5"/>
  <c r="Q70" i="5"/>
  <c r="Q77" i="5"/>
  <c r="Q87" i="5"/>
  <c r="Q103" i="5"/>
  <c r="Q119" i="5"/>
  <c r="Q153" i="5"/>
  <c r="Q138" i="5"/>
  <c r="Q102" i="5"/>
  <c r="Q129" i="5"/>
  <c r="Q92" i="5"/>
  <c r="Q145" i="5"/>
  <c r="Q183" i="5"/>
  <c r="Q207" i="5"/>
  <c r="Q236" i="5"/>
  <c r="Q189" i="5"/>
  <c r="Q230" i="5"/>
  <c r="Q206" i="5"/>
  <c r="Q237" i="5"/>
  <c r="Q246" i="5"/>
  <c r="Q299" i="5"/>
  <c r="Q333" i="5"/>
  <c r="Q255" i="5"/>
  <c r="Q298" i="5"/>
  <c r="Q330" i="5"/>
  <c r="Q243" i="5"/>
  <c r="Q278" i="5"/>
  <c r="Q317" i="5"/>
  <c r="Q350" i="5"/>
  <c r="Q332" i="5"/>
  <c r="Q385" i="5"/>
  <c r="Q418" i="5"/>
  <c r="Q245" i="5"/>
  <c r="Q343" i="5"/>
  <c r="Q379" i="5"/>
  <c r="Q414" i="5"/>
  <c r="Q351" i="5"/>
  <c r="Q397" i="5"/>
  <c r="Q318" i="5"/>
  <c r="Q433" i="5"/>
  <c r="Q471" i="5"/>
  <c r="Q503" i="5"/>
  <c r="Q252" i="5"/>
  <c r="Q422" i="5"/>
  <c r="Q467" i="5"/>
  <c r="Q490" i="5"/>
  <c r="Q197" i="5"/>
  <c r="Q450" i="5"/>
  <c r="Q509" i="5"/>
  <c r="Q541" i="5"/>
  <c r="Q447" i="5"/>
  <c r="Q532" i="5"/>
  <c r="Q443" i="5"/>
  <c r="Q459" i="5"/>
  <c r="Q427" i="5"/>
  <c r="Q540" i="5"/>
  <c r="Q31" i="5"/>
  <c r="Q23" i="5"/>
  <c r="Q35" i="5"/>
  <c r="Q59" i="5"/>
  <c r="Q63" i="5"/>
  <c r="Q74" i="5"/>
  <c r="Q79" i="5"/>
  <c r="Q90" i="5"/>
  <c r="Q106" i="5"/>
  <c r="Q123" i="5"/>
  <c r="Q154" i="5"/>
  <c r="Q140" i="5"/>
  <c r="Q105" i="5"/>
  <c r="Q134" i="5"/>
  <c r="Q115" i="5"/>
  <c r="Q161" i="5"/>
  <c r="Q185" i="5"/>
  <c r="Q181" i="5"/>
  <c r="Q238" i="5"/>
  <c r="Q191" i="5"/>
  <c r="Q233" i="5"/>
  <c r="Q209" i="5"/>
  <c r="Q242" i="5"/>
  <c r="Q258" i="5"/>
  <c r="Q302" i="5"/>
  <c r="Q196" i="5"/>
  <c r="Q259" i="5"/>
  <c r="Q300" i="5"/>
  <c r="Q141" i="5"/>
  <c r="Q260" i="5"/>
  <c r="Q283" i="5"/>
  <c r="Q319" i="5"/>
  <c r="Q357" i="5"/>
  <c r="Q334" i="5"/>
  <c r="Q386" i="5"/>
  <c r="Q423" i="5"/>
  <c r="Q249" i="5"/>
  <c r="Q349" i="5"/>
  <c r="Q382" i="5"/>
  <c r="Q417" i="5"/>
  <c r="Q358" i="5"/>
  <c r="Q398" i="5"/>
  <c r="Q359" i="5"/>
  <c r="Q453" i="5"/>
  <c r="Q473" i="5"/>
  <c r="Q511" i="5"/>
  <c r="Q301" i="5"/>
  <c r="Q425" i="5"/>
  <c r="Q469" i="5"/>
  <c r="Q492" i="5"/>
  <c r="Q342" i="5"/>
  <c r="Q465" i="5"/>
  <c r="Q518" i="5"/>
  <c r="Q542" i="5"/>
  <c r="Q451" i="5"/>
  <c r="Q547" i="5"/>
  <c r="Q460" i="5"/>
  <c r="Q466" i="5"/>
  <c r="Q429" i="5"/>
  <c r="Q19" i="5"/>
  <c r="Q42" i="5"/>
  <c r="Q36" i="5"/>
  <c r="Q41" i="5"/>
  <c r="Q67" i="5"/>
  <c r="Q57" i="5"/>
  <c r="Q81" i="5"/>
  <c r="Q91" i="5"/>
  <c r="Q110" i="5"/>
  <c r="Q89" i="5"/>
  <c r="Q133" i="5"/>
  <c r="Q53" i="5"/>
  <c r="Q146" i="5"/>
  <c r="Q118" i="5"/>
  <c r="Q147" i="5"/>
  <c r="Q163" i="5"/>
  <c r="Q166" i="5"/>
  <c r="Q164" i="5"/>
  <c r="Q193" i="5"/>
  <c r="Q250" i="5"/>
  <c r="Q210" i="5"/>
  <c r="Q165" i="5"/>
  <c r="Q217" i="5"/>
  <c r="Q101" i="5"/>
  <c r="Q269" i="5"/>
  <c r="Q313" i="5"/>
  <c r="Q215" i="5"/>
  <c r="Q271" i="5"/>
  <c r="Q305" i="5"/>
  <c r="Q173" i="5"/>
  <c r="Q265" i="5"/>
  <c r="Q287" i="5"/>
  <c r="Q329" i="5"/>
  <c r="Q257" i="5"/>
  <c r="Q356" i="5"/>
  <c r="Q391" i="5"/>
  <c r="Q431" i="5"/>
  <c r="Q279" i="5"/>
  <c r="Q354" i="5"/>
  <c r="Q388" i="5"/>
  <c r="Q263" i="5"/>
  <c r="Q370" i="5"/>
  <c r="Q405" i="5"/>
  <c r="Q378" i="5"/>
  <c r="Q455" i="5"/>
  <c r="Q475" i="5"/>
  <c r="Q519" i="5"/>
  <c r="Q337" i="5"/>
  <c r="Q435" i="5"/>
  <c r="Q477" i="5"/>
  <c r="Q495" i="5"/>
  <c r="Q426" i="5"/>
  <c r="Q479" i="5"/>
  <c r="Q529" i="5"/>
  <c r="Q545" i="5"/>
  <c r="Q481" i="5"/>
  <c r="Q552" i="5"/>
  <c r="Q522" i="5"/>
  <c r="Q525" i="5"/>
  <c r="Q499" i="5"/>
  <c r="O11" i="5"/>
  <c r="Q45" i="5"/>
  <c r="Q43" i="5"/>
  <c r="Q46" i="5"/>
  <c r="Q38" i="5"/>
  <c r="Q61" i="5"/>
  <c r="Q28" i="5"/>
  <c r="Q76" i="5"/>
  <c r="Q111" i="5"/>
  <c r="Q99" i="5"/>
  <c r="Q135" i="5"/>
  <c r="Q98" i="5"/>
  <c r="Q149" i="5"/>
  <c r="Q121" i="5"/>
  <c r="Q148" i="5"/>
  <c r="Q169" i="5"/>
  <c r="Q172" i="5"/>
  <c r="Q170" i="5"/>
  <c r="Q198" i="5"/>
  <c r="Q251" i="5"/>
  <c r="Q219" i="5"/>
  <c r="Q171" i="5"/>
  <c r="Q222" i="5"/>
  <c r="Q187" i="5"/>
  <c r="Q276" i="5"/>
  <c r="Q316" i="5"/>
  <c r="Q218" i="5"/>
  <c r="Q281" i="5"/>
  <c r="Q307" i="5"/>
  <c r="Q211" i="5"/>
  <c r="Q267" i="5"/>
  <c r="Q294" i="5"/>
  <c r="Q339" i="5"/>
  <c r="Q273" i="5"/>
  <c r="Q371" i="5"/>
  <c r="Q396" i="5"/>
  <c r="Q438" i="5"/>
  <c r="Q282" i="5"/>
  <c r="Q361" i="5"/>
  <c r="Q399" i="5"/>
  <c r="Q322" i="5"/>
  <c r="Q374" i="5"/>
  <c r="Q406" i="5"/>
  <c r="Q381" i="5"/>
  <c r="Q461" i="5"/>
  <c r="Q483" i="5"/>
  <c r="Q521" i="5"/>
  <c r="Q345" i="5"/>
  <c r="Q436" i="5"/>
  <c r="Q482" i="5"/>
  <c r="Q506" i="5"/>
  <c r="Q437" i="5"/>
  <c r="Q484" i="5"/>
  <c r="Q530" i="5"/>
  <c r="Q548" i="5"/>
  <c r="Q491" i="5"/>
  <c r="Q555" i="5"/>
  <c r="Q549" i="5"/>
  <c r="Q533" i="5"/>
  <c r="Q505" i="5"/>
  <c r="Q93" i="5"/>
  <c r="Q162" i="5"/>
  <c r="Q266" i="5"/>
  <c r="Q324" i="5"/>
  <c r="Q419" i="5"/>
  <c r="Q434" i="5"/>
  <c r="Q551" i="5"/>
  <c r="Q39" i="5"/>
  <c r="Q109" i="5"/>
  <c r="Q132" i="5"/>
  <c r="Q311" i="5"/>
  <c r="Q254" i="5"/>
  <c r="Q367" i="5"/>
  <c r="Q470" i="5"/>
  <c r="Q507" i="5"/>
  <c r="Q34" i="5"/>
  <c r="Q131" i="5"/>
  <c r="Q190" i="5"/>
  <c r="Q212" i="5"/>
  <c r="Q355" i="5"/>
  <c r="Q401" i="5"/>
  <c r="Q493" i="5"/>
  <c r="Q513" i="5"/>
  <c r="Q37" i="5"/>
  <c r="Q158" i="5"/>
  <c r="Q241" i="5"/>
  <c r="Q261" i="5"/>
  <c r="Q389" i="5"/>
  <c r="Q366" i="5"/>
  <c r="Q362" i="5"/>
  <c r="Q458" i="5"/>
  <c r="Q78" i="5"/>
  <c r="Q139" i="5"/>
  <c r="Q214" i="5"/>
  <c r="Q262" i="5"/>
  <c r="Q353" i="5"/>
  <c r="Q517" i="5"/>
  <c r="Q543" i="5"/>
  <c r="Q84" i="5"/>
  <c r="Q122" i="5"/>
  <c r="Q244" i="5"/>
  <c r="Q286" i="5"/>
  <c r="Q383" i="5"/>
  <c r="Q335" i="5"/>
  <c r="Q478" i="5"/>
  <c r="Q167" i="5"/>
  <c r="Q62" i="5"/>
  <c r="Q428" i="5"/>
  <c r="Q66" i="5"/>
  <c r="Q270" i="5"/>
  <c r="Q474" i="5"/>
  <c r="Q143" i="5"/>
  <c r="Q454" i="5"/>
  <c r="Q113" i="5"/>
  <c r="Q97" i="5"/>
  <c r="Q528" i="5"/>
  <c r="Q303" i="5"/>
  <c r="Q194" i="5"/>
  <c r="Q476" i="5"/>
  <c r="B37" i="5"/>
  <c r="AI152" i="5"/>
  <c r="AH403" i="5"/>
  <c r="AO465" i="5"/>
  <c r="AH459" i="5"/>
  <c r="AN272" i="5"/>
  <c r="AO272" i="5"/>
  <c r="U64" i="5"/>
  <c r="V64" i="5"/>
  <c r="AM193" i="5"/>
  <c r="U64" i="4"/>
  <c r="AM59" i="5"/>
  <c r="T554" i="5"/>
  <c r="T546" i="5"/>
  <c r="T432" i="5"/>
  <c r="T448" i="5"/>
  <c r="T408" i="5"/>
  <c r="T280" i="5"/>
  <c r="T296" i="5"/>
  <c r="AH136" i="5"/>
  <c r="AI136" i="5"/>
  <c r="AM104" i="5"/>
  <c r="AM379" i="5"/>
  <c r="AM307" i="5"/>
  <c r="AM91" i="5"/>
  <c r="AM292" i="5"/>
  <c r="AM20" i="5"/>
  <c r="T38" i="5"/>
  <c r="T34" i="5"/>
  <c r="T70" i="5"/>
  <c r="T55" i="5"/>
  <c r="T89" i="5"/>
  <c r="T105" i="5"/>
  <c r="T87" i="5"/>
  <c r="T84" i="5"/>
  <c r="T43" i="5"/>
  <c r="T33" i="5"/>
  <c r="T66" i="5"/>
  <c r="T25" i="5"/>
  <c r="T83" i="5"/>
  <c r="T121" i="5"/>
  <c r="T26" i="5"/>
  <c r="T47" i="5"/>
  <c r="T27" i="5"/>
  <c r="T41" i="5"/>
  <c r="T94" i="5"/>
  <c r="T117" i="5"/>
  <c r="T52" i="5"/>
  <c r="T59" i="5"/>
  <c r="T74" i="5"/>
  <c r="T98" i="5"/>
  <c r="T91" i="5"/>
  <c r="T139" i="5"/>
  <c r="T39" i="5"/>
  <c r="T35" i="5"/>
  <c r="T95" i="5"/>
  <c r="T155" i="5"/>
  <c r="T151" i="5"/>
  <c r="T187" i="5"/>
  <c r="T154" i="5"/>
  <c r="T201" i="5"/>
  <c r="T211" i="5"/>
  <c r="T159" i="5"/>
  <c r="T243" i="5"/>
  <c r="T225" i="5"/>
  <c r="T249" i="5"/>
  <c r="T274" i="5"/>
  <c r="T318" i="5"/>
  <c r="T250" i="5"/>
  <c r="T292" i="5"/>
  <c r="T259" i="5"/>
  <c r="T290" i="5"/>
  <c r="T310" i="5"/>
  <c r="T354" i="5"/>
  <c r="T362" i="5"/>
  <c r="T393" i="5"/>
  <c r="T317" i="5"/>
  <c r="T385" i="5"/>
  <c r="T162" i="5"/>
  <c r="T340" i="5"/>
  <c r="T379" i="5"/>
  <c r="T451" i="5"/>
  <c r="T494" i="5"/>
  <c r="T525" i="5"/>
  <c r="T431" i="5"/>
  <c r="T517" i="5"/>
  <c r="T374" i="5"/>
  <c r="T425" i="5"/>
  <c r="T461" i="5"/>
  <c r="T487" i="5"/>
  <c r="T531" i="5"/>
  <c r="T346" i="5"/>
  <c r="T22" i="5"/>
  <c r="T63" i="5"/>
  <c r="T107" i="5"/>
  <c r="T106" i="5"/>
  <c r="T156" i="5"/>
  <c r="T125" i="5"/>
  <c r="T118" i="5"/>
  <c r="T161" i="5"/>
  <c r="T204" i="5"/>
  <c r="T215" i="5"/>
  <c r="T166" i="5"/>
  <c r="T174" i="5"/>
  <c r="T230" i="5"/>
  <c r="T252" i="5"/>
  <c r="T279" i="5"/>
  <c r="T322" i="5"/>
  <c r="T251" i="5"/>
  <c r="T299" i="5"/>
  <c r="T331" i="5"/>
  <c r="T261" i="5"/>
  <c r="T293" i="5"/>
  <c r="T356" i="5"/>
  <c r="T315" i="5"/>
  <c r="T364" i="5"/>
  <c r="T429" i="5"/>
  <c r="T341" i="5"/>
  <c r="T386" i="5"/>
  <c r="T195" i="5"/>
  <c r="T348" i="5"/>
  <c r="T382" i="5"/>
  <c r="T411" i="5"/>
  <c r="T428" i="5"/>
  <c r="T458" i="5"/>
  <c r="T499" i="5"/>
  <c r="T532" i="5"/>
  <c r="T438" i="5"/>
  <c r="T468" i="5"/>
  <c r="T498" i="5"/>
  <c r="T519" i="5"/>
  <c r="T377" i="5"/>
  <c r="T434" i="5"/>
  <c r="T463" i="5"/>
  <c r="T489" i="5"/>
  <c r="T540" i="5"/>
  <c r="T544" i="5"/>
  <c r="T514" i="5"/>
  <c r="T555" i="5"/>
  <c r="T549" i="5"/>
  <c r="T479" i="5"/>
  <c r="T36" i="5"/>
  <c r="T76" i="5"/>
  <c r="T85" i="5"/>
  <c r="T109" i="5"/>
  <c r="T114" i="5"/>
  <c r="T134" i="5"/>
  <c r="T133" i="5"/>
  <c r="T172" i="5"/>
  <c r="T206" i="5"/>
  <c r="T223" i="5"/>
  <c r="T199" i="5"/>
  <c r="T180" i="5"/>
  <c r="T233" i="5"/>
  <c r="T254" i="5"/>
  <c r="T282" i="5"/>
  <c r="T327" i="5"/>
  <c r="T258" i="5"/>
  <c r="T302" i="5"/>
  <c r="T321" i="5"/>
  <c r="T262" i="5"/>
  <c r="T329" i="5"/>
  <c r="T366" i="5"/>
  <c r="T403" i="5"/>
  <c r="T433" i="5"/>
  <c r="T369" i="5"/>
  <c r="T389" i="5"/>
  <c r="T228" i="5"/>
  <c r="T353" i="5"/>
  <c r="T383" i="5"/>
  <c r="T414" i="5"/>
  <c r="T430" i="5"/>
  <c r="T460" i="5"/>
  <c r="T505" i="5"/>
  <c r="T533" i="5"/>
  <c r="T442" i="5"/>
  <c r="T471" i="5"/>
  <c r="O10" i="5"/>
  <c r="AJ10" i="5" s="1"/>
  <c r="T53" i="5"/>
  <c r="T57" i="5"/>
  <c r="T101" i="5"/>
  <c r="T115" i="5"/>
  <c r="T149" i="5"/>
  <c r="T140" i="5"/>
  <c r="T183" i="5"/>
  <c r="T188" i="5"/>
  <c r="T212" i="5"/>
  <c r="T191" i="5"/>
  <c r="T235" i="5"/>
  <c r="T260" i="5"/>
  <c r="T289" i="5"/>
  <c r="T332" i="5"/>
  <c r="T266" i="5"/>
  <c r="T311" i="5"/>
  <c r="T226" i="5"/>
  <c r="T268" i="5"/>
  <c r="T298" i="5"/>
  <c r="T326" i="5"/>
  <c r="T267" i="5"/>
  <c r="T337" i="5"/>
  <c r="T367" i="5"/>
  <c r="T405" i="5"/>
  <c r="T436" i="5"/>
  <c r="T371" i="5"/>
  <c r="T391" i="5"/>
  <c r="T355" i="5"/>
  <c r="T388" i="5"/>
  <c r="T417" i="5"/>
  <c r="T466" i="5"/>
  <c r="T507" i="5"/>
  <c r="T537" i="5"/>
  <c r="T453" i="5"/>
  <c r="T474" i="5"/>
  <c r="T501" i="5"/>
  <c r="T522" i="5"/>
  <c r="T398" i="5"/>
  <c r="T439" i="5"/>
  <c r="T470" i="5"/>
  <c r="T493" i="5"/>
  <c r="T557" i="5"/>
  <c r="T465" i="5"/>
  <c r="T545" i="5"/>
  <c r="T406" i="5"/>
  <c r="T524" i="5"/>
  <c r="T559" i="5"/>
  <c r="T502" i="5"/>
  <c r="T61" i="5"/>
  <c r="T37" i="5"/>
  <c r="T123" i="5"/>
  <c r="T119" i="5"/>
  <c r="T171" i="5"/>
  <c r="T169" i="5"/>
  <c r="T185" i="5"/>
  <c r="T196" i="5"/>
  <c r="T227" i="5"/>
  <c r="T222" i="5"/>
  <c r="T236" i="5"/>
  <c r="T263" i="5"/>
  <c r="T295" i="5"/>
  <c r="T334" i="5"/>
  <c r="T276" i="5"/>
  <c r="T313" i="5"/>
  <c r="T231" i="5"/>
  <c r="T269" i="5"/>
  <c r="T300" i="5"/>
  <c r="T330" i="5"/>
  <c r="T342" i="5"/>
  <c r="T378" i="5"/>
  <c r="T410" i="5"/>
  <c r="T437" i="5"/>
  <c r="T372" i="5"/>
  <c r="T396" i="5"/>
  <c r="T275" i="5"/>
  <c r="T361" i="5"/>
  <c r="T287" i="5"/>
  <c r="T441" i="5"/>
  <c r="T508" i="5"/>
  <c r="T339" i="5"/>
  <c r="T454" i="5"/>
  <c r="T475" i="5"/>
  <c r="T503" i="5"/>
  <c r="T333" i="5"/>
  <c r="T401" i="5"/>
  <c r="T446" i="5"/>
  <c r="T473" i="5"/>
  <c r="T495" i="5"/>
  <c r="T560" i="5"/>
  <c r="T484" i="5"/>
  <c r="T412" i="5"/>
  <c r="T527" i="5"/>
  <c r="T449" i="5"/>
  <c r="T397" i="5"/>
  <c r="T509" i="5"/>
  <c r="T30" i="5"/>
  <c r="T92" i="5"/>
  <c r="T93" i="5"/>
  <c r="T131" i="5"/>
  <c r="T130" i="5"/>
  <c r="T173" i="5"/>
  <c r="T170" i="5"/>
  <c r="T186" i="5"/>
  <c r="T203" i="5"/>
  <c r="T239" i="5"/>
  <c r="T229" i="5"/>
  <c r="T207" i="5"/>
  <c r="T265" i="5"/>
  <c r="T301" i="5"/>
  <c r="T135" i="5"/>
  <c r="T284" i="5"/>
  <c r="T316" i="5"/>
  <c r="T246" i="5"/>
  <c r="T271" i="5"/>
  <c r="T303" i="5"/>
  <c r="T335" i="5"/>
  <c r="T283" i="5"/>
  <c r="T345" i="5"/>
  <c r="T381" i="5"/>
  <c r="T415" i="5"/>
  <c r="T214" i="5"/>
  <c r="T375" i="5"/>
  <c r="T407" i="5"/>
  <c r="T294" i="5"/>
  <c r="T363" i="5"/>
  <c r="T399" i="5"/>
  <c r="T324" i="5"/>
  <c r="T443" i="5"/>
  <c r="T478" i="5"/>
  <c r="T513" i="5"/>
  <c r="T347" i="5"/>
  <c r="T358" i="5"/>
  <c r="T413" i="5"/>
  <c r="T452" i="5"/>
  <c r="T477" i="5"/>
  <c r="T506" i="5"/>
  <c r="T529" i="5"/>
  <c r="T548" i="5"/>
  <c r="T426" i="5"/>
  <c r="T543" i="5"/>
  <c r="T528" i="5"/>
  <c r="T423" i="5"/>
  <c r="T520" i="5"/>
  <c r="T28" i="5"/>
  <c r="T50" i="5"/>
  <c r="T82" i="5"/>
  <c r="T126" i="5"/>
  <c r="T137" i="5"/>
  <c r="T138" i="5"/>
  <c r="T177" i="5"/>
  <c r="T79" i="5"/>
  <c r="T190" i="5"/>
  <c r="T205" i="5"/>
  <c r="T245" i="5"/>
  <c r="T210" i="5"/>
  <c r="T241" i="5"/>
  <c r="T270" i="5"/>
  <c r="T306" i="5"/>
  <c r="T237" i="5"/>
  <c r="T323" i="5"/>
  <c r="T253" i="5"/>
  <c r="T281" i="5"/>
  <c r="T305" i="5"/>
  <c r="T343" i="5"/>
  <c r="T286" i="5"/>
  <c r="T350" i="5"/>
  <c r="T387" i="5"/>
  <c r="T420" i="5"/>
  <c r="T247" i="5"/>
  <c r="T409" i="5"/>
  <c r="T319" i="5"/>
  <c r="T365" i="5"/>
  <c r="T402" i="5"/>
  <c r="T357" i="5"/>
  <c r="T447" i="5"/>
  <c r="T481" i="5"/>
  <c r="T515" i="5"/>
  <c r="T351" i="5"/>
  <c r="T459" i="5"/>
  <c r="T483" i="5"/>
  <c r="T511" i="5"/>
  <c r="T455" i="5"/>
  <c r="T482" i="5"/>
  <c r="T510" i="5"/>
  <c r="T338" i="5"/>
  <c r="T550" i="5"/>
  <c r="T450" i="5"/>
  <c r="T551" i="5"/>
  <c r="T530" i="5"/>
  <c r="T445" i="5"/>
  <c r="T523" i="5"/>
  <c r="T44" i="5"/>
  <c r="T194" i="5"/>
  <c r="T244" i="5"/>
  <c r="T359" i="5"/>
  <c r="T404" i="5"/>
  <c r="T500" i="5"/>
  <c r="T467" i="5"/>
  <c r="T539" i="5"/>
  <c r="T552" i="5"/>
  <c r="T67" i="5"/>
  <c r="T291" i="5"/>
  <c r="T390" i="5"/>
  <c r="T370" i="5"/>
  <c r="T486" i="5"/>
  <c r="T542" i="5"/>
  <c r="T553" i="5"/>
  <c r="T19" i="5"/>
  <c r="T69" i="5"/>
  <c r="T150" i="5"/>
  <c r="T325" i="5"/>
  <c r="T421" i="5"/>
  <c r="T521" i="5"/>
  <c r="T492" i="5"/>
  <c r="T419" i="5"/>
  <c r="T141" i="5"/>
  <c r="T242" i="5"/>
  <c r="T297" i="5"/>
  <c r="T491" i="5"/>
  <c r="T541" i="5"/>
  <c r="T535" i="5"/>
  <c r="T142" i="5"/>
  <c r="T221" i="5"/>
  <c r="T285" i="5"/>
  <c r="T380" i="5"/>
  <c r="T516" i="5"/>
  <c r="T395" i="5"/>
  <c r="T556" i="5"/>
  <c r="T394" i="5"/>
  <c r="T547" i="5"/>
  <c r="T146" i="5"/>
  <c r="T307" i="5"/>
  <c r="T418" i="5"/>
  <c r="T427" i="5"/>
  <c r="T422" i="5"/>
  <c r="T490" i="5"/>
  <c r="T558" i="5"/>
  <c r="T181" i="5"/>
  <c r="T273" i="5"/>
  <c r="T349" i="5"/>
  <c r="T462" i="5"/>
  <c r="T435" i="5"/>
  <c r="T444" i="5"/>
  <c r="T497" i="5"/>
  <c r="T469" i="5"/>
  <c r="T457" i="5"/>
  <c r="T536" i="5"/>
  <c r="T518" i="5"/>
  <c r="T100" i="5"/>
  <c r="T476" i="5"/>
  <c r="T314" i="5"/>
  <c r="T309" i="5"/>
  <c r="T373" i="5"/>
  <c r="T485" i="5"/>
  <c r="AM35" i="5"/>
  <c r="U8" i="4"/>
  <c r="V8" i="4"/>
  <c r="AS8" i="4"/>
  <c r="U44" i="4"/>
  <c r="AM99" i="5"/>
  <c r="AM448" i="5"/>
  <c r="T464" i="5"/>
  <c r="T480" i="5"/>
  <c r="T328" i="5"/>
  <c r="T344" i="5"/>
  <c r="T376" i="5"/>
  <c r="T392" i="5"/>
  <c r="T248" i="5"/>
  <c r="T264" i="5"/>
  <c r="AM280" i="5"/>
  <c r="AI120" i="5"/>
  <c r="T160" i="5"/>
  <c r="T24" i="5"/>
  <c r="U176" i="5"/>
  <c r="V176" i="5"/>
  <c r="AH40" i="5"/>
  <c r="AI40" i="5"/>
  <c r="AM387" i="5"/>
  <c r="AM123" i="5"/>
  <c r="AM107" i="5"/>
  <c r="AM300" i="5"/>
  <c r="AM177" i="5"/>
  <c r="AM57" i="5"/>
  <c r="AM464" i="5"/>
  <c r="AM480" i="5"/>
  <c r="T496" i="5"/>
  <c r="T512" i="5"/>
  <c r="T360" i="5"/>
  <c r="AM408" i="5"/>
  <c r="T224" i="5"/>
  <c r="AM248" i="5"/>
  <c r="AM120" i="5"/>
  <c r="AM184" i="5"/>
  <c r="T208" i="5"/>
  <c r="T88" i="5"/>
  <c r="AS93" i="4"/>
  <c r="V93" i="4"/>
  <c r="U93" i="4"/>
  <c r="AJ451" i="5"/>
  <c r="AL451" i="5" s="1"/>
  <c r="AJ465" i="5"/>
  <c r="AK465" i="5" s="1"/>
  <c r="AM308" i="5"/>
  <c r="AM121" i="5"/>
  <c r="AS22" i="4"/>
  <c r="T526" i="5"/>
  <c r="AM424" i="5"/>
  <c r="T440" i="5"/>
  <c r="AM344" i="5"/>
  <c r="AM376" i="5"/>
  <c r="T304" i="5"/>
  <c r="AM144" i="5"/>
  <c r="AI208" i="5"/>
  <c r="AH208" i="5"/>
  <c r="T32" i="5"/>
  <c r="T112" i="5"/>
  <c r="AO145" i="5"/>
  <c r="AI319" i="5"/>
  <c r="AH319" i="5"/>
  <c r="U150" i="4"/>
  <c r="U135" i="4"/>
  <c r="T424" i="5"/>
  <c r="T456" i="5"/>
  <c r="T336" i="5"/>
  <c r="T400" i="5"/>
  <c r="T272" i="5"/>
  <c r="AM208" i="5"/>
  <c r="T56" i="5"/>
  <c r="AM535" i="5"/>
  <c r="AM337" i="5"/>
  <c r="AM257" i="5"/>
  <c r="AM153" i="5"/>
  <c r="AM227" i="5"/>
  <c r="AM203" i="5"/>
  <c r="AM236" i="5"/>
  <c r="AM148" i="5"/>
  <c r="AM60" i="5"/>
  <c r="AH375" i="5"/>
  <c r="AI375" i="5"/>
  <c r="T538" i="5"/>
  <c r="AM440" i="5"/>
  <c r="T472" i="5"/>
  <c r="T504" i="5"/>
  <c r="AM336" i="5"/>
  <c r="T352" i="5"/>
  <c r="T368" i="5"/>
  <c r="T416" i="5"/>
  <c r="T232" i="5"/>
  <c r="T288" i="5"/>
  <c r="T192" i="5"/>
  <c r="T80" i="5"/>
  <c r="S96" i="5"/>
  <c r="R96" i="5"/>
  <c r="AS103" i="4"/>
  <c r="AS69" i="4"/>
  <c r="AM36" i="5"/>
  <c r="AM67" i="5"/>
  <c r="AM75" i="5"/>
  <c r="AM74" i="5"/>
  <c r="AM100" i="5"/>
  <c r="AM124" i="5"/>
  <c r="AM166" i="5"/>
  <c r="AM201" i="5"/>
  <c r="AM196" i="5"/>
  <c r="AM215" i="5"/>
  <c r="AM291" i="5"/>
  <c r="AM317" i="5"/>
  <c r="AM295" i="5"/>
  <c r="AM357" i="5"/>
  <c r="AM411" i="5"/>
  <c r="AM22" i="5"/>
  <c r="AM21" i="5"/>
  <c r="AM102" i="5"/>
  <c r="AM117" i="5"/>
  <c r="AM170" i="5"/>
  <c r="AM165" i="5"/>
  <c r="AM214" i="5"/>
  <c r="AM237" i="5"/>
  <c r="AM303" i="5"/>
  <c r="AM321" i="5"/>
  <c r="AM309" i="5"/>
  <c r="AM218" i="5"/>
  <c r="AM414" i="5"/>
  <c r="AM375" i="5"/>
  <c r="AM461" i="5"/>
  <c r="AM381" i="5"/>
  <c r="AM545" i="5"/>
  <c r="AM553" i="5"/>
  <c r="AM541" i="5"/>
  <c r="AM37" i="5"/>
  <c r="AM52" i="5"/>
  <c r="AM76" i="5"/>
  <c r="AM86" i="5"/>
  <c r="AM101" i="5"/>
  <c r="AM180" i="5"/>
  <c r="AM190" i="5"/>
  <c r="AM217" i="5"/>
  <c r="AM191" i="5"/>
  <c r="AM323" i="5"/>
  <c r="AM188" i="5"/>
  <c r="AM310" i="5"/>
  <c r="AM316" i="5"/>
  <c r="AM428" i="5"/>
  <c r="AM377" i="5"/>
  <c r="AM333" i="5"/>
  <c r="AM515" i="5"/>
  <c r="AM468" i="5"/>
  <c r="AM405" i="5"/>
  <c r="AM489" i="5"/>
  <c r="AM229" i="5"/>
  <c r="AM558" i="5"/>
  <c r="AM542" i="5"/>
  <c r="AM30" i="5"/>
  <c r="AM63" i="5"/>
  <c r="AM77" i="5"/>
  <c r="AM94" i="5"/>
  <c r="AM126" i="5"/>
  <c r="AM134" i="5"/>
  <c r="AM213" i="5"/>
  <c r="AM226" i="5"/>
  <c r="AM327" i="5"/>
  <c r="AM241" i="5"/>
  <c r="AM315" i="5"/>
  <c r="AM319" i="5"/>
  <c r="AM386" i="5"/>
  <c r="AM531" i="5"/>
  <c r="AM470" i="5"/>
  <c r="AM441" i="5"/>
  <c r="AM494" i="5"/>
  <c r="AM297" i="5"/>
  <c r="AM559" i="5"/>
  <c r="AM44" i="5"/>
  <c r="AM55" i="5"/>
  <c r="AM84" i="5"/>
  <c r="AM138" i="5"/>
  <c r="AM143" i="5"/>
  <c r="AM242" i="5"/>
  <c r="AM246" i="5"/>
  <c r="AM247" i="5"/>
  <c r="AM329" i="5"/>
  <c r="AM250" i="5"/>
  <c r="AM399" i="5"/>
  <c r="AM342" i="5"/>
  <c r="AM401" i="5"/>
  <c r="AM382" i="5"/>
  <c r="AM443" i="5"/>
  <c r="AM502" i="5"/>
  <c r="AM425" i="5"/>
  <c r="AM524" i="5"/>
  <c r="AM46" i="5"/>
  <c r="AM54" i="5"/>
  <c r="AM146" i="5"/>
  <c r="AM158" i="5"/>
  <c r="AM230" i="5"/>
  <c r="AM244" i="5"/>
  <c r="AM266" i="5"/>
  <c r="AM269" i="5"/>
  <c r="AM255" i="5"/>
  <c r="AM330" i="5"/>
  <c r="AM373" i="5"/>
  <c r="AM277" i="5"/>
  <c r="AM402" i="5"/>
  <c r="AM364" i="5"/>
  <c r="AM452" i="5"/>
  <c r="AM391" i="5"/>
  <c r="AM507" i="5"/>
  <c r="AM453" i="5"/>
  <c r="AM503" i="5"/>
  <c r="AM513" i="5"/>
  <c r="AM544" i="5"/>
  <c r="AM483" i="5"/>
  <c r="AM90" i="5"/>
  <c r="AM154" i="5"/>
  <c r="AM181" i="5"/>
  <c r="AM183" i="5"/>
  <c r="AM271" i="5"/>
  <c r="AM268" i="5"/>
  <c r="AM339" i="5"/>
  <c r="AM345" i="5"/>
  <c r="AM417" i="5"/>
  <c r="AM366" i="5"/>
  <c r="AM460" i="5"/>
  <c r="AM403" i="5"/>
  <c r="AM511" i="5"/>
  <c r="AM466" i="5"/>
  <c r="AM509" i="5"/>
  <c r="AM517" i="5"/>
  <c r="AM407" i="5"/>
  <c r="AM19" i="5"/>
  <c r="AM151" i="5"/>
  <c r="AM275" i="5"/>
  <c r="AM398" i="5"/>
  <c r="AM479" i="5"/>
  <c r="AM119" i="5"/>
  <c r="AM351" i="5"/>
  <c r="AM471" i="5"/>
  <c r="AM522" i="5"/>
  <c r="AM150" i="5"/>
  <c r="AM393" i="5"/>
  <c r="AM478" i="5"/>
  <c r="AM523" i="5"/>
  <c r="AM187" i="5"/>
  <c r="AM350" i="5"/>
  <c r="AM429" i="5"/>
  <c r="AM529" i="5"/>
  <c r="AM34" i="5"/>
  <c r="AM182" i="5"/>
  <c r="AM361" i="5"/>
  <c r="AM439" i="5"/>
  <c r="AM548" i="5"/>
  <c r="AM202" i="5"/>
  <c r="AM245" i="5"/>
  <c r="AM516" i="5"/>
  <c r="AM78" i="5"/>
  <c r="AM279" i="5"/>
  <c r="AM254" i="5"/>
  <c r="AM353" i="5"/>
  <c r="AM501" i="5"/>
  <c r="AM95" i="5"/>
  <c r="AM290" i="5"/>
  <c r="AM378" i="5"/>
  <c r="AM469" i="5"/>
  <c r="AM456" i="5"/>
  <c r="AH472" i="5"/>
  <c r="T488" i="5"/>
  <c r="T320" i="5"/>
  <c r="AM368" i="5"/>
  <c r="T384" i="5"/>
  <c r="AM400" i="5"/>
  <c r="AI416" i="5"/>
  <c r="AH416" i="5"/>
  <c r="T256" i="5"/>
  <c r="AM288" i="5"/>
  <c r="T312" i="5"/>
  <c r="T152" i="5"/>
  <c r="AM216" i="5"/>
  <c r="AH80" i="5"/>
  <c r="AI80" i="5"/>
  <c r="T8" i="5"/>
  <c r="B206" i="2"/>
  <c r="B255" i="2"/>
  <c r="AL64" i="5"/>
  <c r="AK64" i="5"/>
  <c r="U51" i="5"/>
  <c r="V51" i="5"/>
  <c r="AO409" i="5"/>
  <c r="AI299" i="5"/>
  <c r="AH299" i="5"/>
  <c r="AJ195" i="5"/>
  <c r="AJ519" i="5"/>
  <c r="AJ171" i="5"/>
  <c r="AJ457" i="5"/>
  <c r="AJ131" i="5"/>
  <c r="AJ59" i="5"/>
  <c r="AJ115" i="5"/>
  <c r="AH37" i="5"/>
  <c r="AI37" i="5"/>
  <c r="AI221" i="5"/>
  <c r="AH221" i="5"/>
  <c r="AH458" i="5"/>
  <c r="AH506" i="5"/>
  <c r="AI506" i="5"/>
  <c r="AN349" i="5"/>
  <c r="AO349" i="5"/>
  <c r="AO314" i="5"/>
  <c r="AN314" i="5"/>
  <c r="AO125" i="5"/>
  <c r="U92" i="4"/>
  <c r="V92" i="4"/>
  <c r="AS92" i="4"/>
  <c r="V81" i="4"/>
  <c r="AS81" i="4"/>
  <c r="U81" i="4"/>
  <c r="AJ533" i="5"/>
  <c r="AH439" i="5"/>
  <c r="AI439" i="5"/>
  <c r="AH463" i="5"/>
  <c r="AJ351" i="5"/>
  <c r="AJ383" i="5"/>
  <c r="AJ263" i="5"/>
  <c r="AJ159" i="5"/>
  <c r="AJ191" i="5"/>
  <c r="AJ95" i="5"/>
  <c r="U129" i="5"/>
  <c r="U20" i="5"/>
  <c r="V20" i="5"/>
  <c r="U164" i="5"/>
  <c r="V164" i="5"/>
  <c r="U113" i="5"/>
  <c r="V113" i="5"/>
  <c r="B51" i="2"/>
  <c r="B32" i="2" s="1"/>
  <c r="AJ448" i="5"/>
  <c r="AJ504" i="5"/>
  <c r="AJ376" i="5"/>
  <c r="AI256" i="5"/>
  <c r="AJ120" i="5"/>
  <c r="AJ176" i="5"/>
  <c r="U40" i="5"/>
  <c r="AJ112" i="5"/>
  <c r="AJ369" i="5"/>
  <c r="AJ281" i="5"/>
  <c r="AN185" i="5"/>
  <c r="AO185" i="5"/>
  <c r="AI81" i="5"/>
  <c r="AH81" i="5"/>
  <c r="AH499" i="5"/>
  <c r="AI499" i="5"/>
  <c r="AJ203" i="5"/>
  <c r="AJ395" i="5"/>
  <c r="AJ155" i="5"/>
  <c r="AH389" i="5"/>
  <c r="AI466" i="5"/>
  <c r="AH466" i="5"/>
  <c r="AH190" i="5"/>
  <c r="AI190" i="5"/>
  <c r="AI420" i="5"/>
  <c r="AH420" i="5"/>
  <c r="AI477" i="5"/>
  <c r="AH477" i="5"/>
  <c r="AI158" i="5"/>
  <c r="AH436" i="5"/>
  <c r="AI218" i="5"/>
  <c r="AH218" i="5"/>
  <c r="AH121" i="5"/>
  <c r="AI121" i="5"/>
  <c r="AO552" i="5"/>
  <c r="AN552" i="5"/>
  <c r="AO234" i="5"/>
  <c r="AS120" i="4"/>
  <c r="V120" i="4"/>
  <c r="AS129" i="4"/>
  <c r="V53" i="4"/>
  <c r="AS43" i="4"/>
  <c r="U13" i="4"/>
  <c r="V13" i="4"/>
  <c r="AS13" i="4"/>
  <c r="AJ447" i="5"/>
  <c r="AJ479" i="5"/>
  <c r="AJ231" i="5"/>
  <c r="AI135" i="5"/>
  <c r="AJ199" i="5"/>
  <c r="U71" i="5"/>
  <c r="V71" i="5"/>
  <c r="V153" i="5"/>
  <c r="U153" i="5"/>
  <c r="U132" i="5"/>
  <c r="V132" i="5"/>
  <c r="V308" i="5"/>
  <c r="U308" i="5"/>
  <c r="V165" i="5"/>
  <c r="U165" i="5"/>
  <c r="U42" i="5"/>
  <c r="V42" i="5"/>
  <c r="V189" i="5"/>
  <c r="U189" i="5"/>
  <c r="U90" i="5"/>
  <c r="V90" i="5"/>
  <c r="AJ512" i="5"/>
  <c r="AJ384" i="5"/>
  <c r="AJ256" i="5"/>
  <c r="AH128" i="5"/>
  <c r="U184" i="5"/>
  <c r="V184" i="5"/>
  <c r="U216" i="5"/>
  <c r="V216" i="5"/>
  <c r="U96" i="5"/>
  <c r="V96" i="5"/>
  <c r="AN519" i="5"/>
  <c r="AN281" i="5"/>
  <c r="AO281" i="5"/>
  <c r="AH291" i="5"/>
  <c r="AI291" i="5"/>
  <c r="AJ26" i="5"/>
  <c r="AJ33" i="5"/>
  <c r="AJ34" i="5"/>
  <c r="AJ36" i="5"/>
  <c r="AJ65" i="5"/>
  <c r="AJ58" i="5"/>
  <c r="AJ70" i="5"/>
  <c r="AJ141" i="5"/>
  <c r="AJ102" i="5"/>
  <c r="AJ188" i="5"/>
  <c r="AJ148" i="5"/>
  <c r="AJ214" i="5"/>
  <c r="AJ241" i="5"/>
  <c r="AJ253" i="5"/>
  <c r="AJ294" i="5"/>
  <c r="AJ329" i="5"/>
  <c r="AJ251" i="5"/>
  <c r="AJ213" i="5"/>
  <c r="AJ270" i="5"/>
  <c r="AJ297" i="5"/>
  <c r="AJ246" i="5"/>
  <c r="AJ345" i="5"/>
  <c r="AJ370" i="5"/>
  <c r="AJ38" i="5"/>
  <c r="AJ68" i="5"/>
  <c r="AJ101" i="5"/>
  <c r="AJ138" i="5"/>
  <c r="AJ116" i="5"/>
  <c r="AJ133" i="5"/>
  <c r="AJ180" i="5"/>
  <c r="AJ242" i="5"/>
  <c r="AJ234" i="5"/>
  <c r="AJ189" i="5"/>
  <c r="AJ218" i="5"/>
  <c r="AJ298" i="5"/>
  <c r="AJ330" i="5"/>
  <c r="AJ254" i="5"/>
  <c r="AJ314" i="5"/>
  <c r="AJ221" i="5"/>
  <c r="AJ333" i="5"/>
  <c r="AJ346" i="5"/>
  <c r="AJ342" i="5"/>
  <c r="AJ378" i="5"/>
  <c r="AJ420" i="5"/>
  <c r="AJ396" i="5"/>
  <c r="AJ338" i="5"/>
  <c r="AJ446" i="5"/>
  <c r="AJ506" i="5"/>
  <c r="AJ502" i="5"/>
  <c r="AJ517" i="5"/>
  <c r="AJ542" i="5"/>
  <c r="AJ550" i="5"/>
  <c r="AJ528" i="5"/>
  <c r="AJ548" i="5"/>
  <c r="AJ486" i="5"/>
  <c r="AJ44" i="5"/>
  <c r="AJ42" i="5"/>
  <c r="AJ50" i="5"/>
  <c r="AJ74" i="5"/>
  <c r="AJ78" i="5"/>
  <c r="AJ109" i="5"/>
  <c r="AJ100" i="5"/>
  <c r="AJ118" i="5"/>
  <c r="AJ149" i="5"/>
  <c r="AJ110" i="5"/>
  <c r="AJ186" i="5"/>
  <c r="AJ165" i="5"/>
  <c r="AJ194" i="5"/>
  <c r="AJ222" i="5"/>
  <c r="AJ193" i="5"/>
  <c r="AJ269" i="5"/>
  <c r="AJ305" i="5"/>
  <c r="AJ177" i="5"/>
  <c r="AJ257" i="5"/>
  <c r="AJ293" i="5"/>
  <c r="AJ250" i="5"/>
  <c r="AJ277" i="5"/>
  <c r="AJ308" i="5"/>
  <c r="AJ340" i="5"/>
  <c r="AJ356" i="5"/>
  <c r="AJ412" i="5"/>
  <c r="AJ349" i="5"/>
  <c r="AJ394" i="5"/>
  <c r="AJ401" i="5"/>
  <c r="AJ385" i="5"/>
  <c r="AJ461" i="5"/>
  <c r="AJ482" i="5"/>
  <c r="AJ418" i="5"/>
  <c r="AJ508" i="5"/>
  <c r="AJ417" i="5"/>
  <c r="AJ442" i="5"/>
  <c r="AJ527" i="5"/>
  <c r="AJ547" i="5"/>
  <c r="AJ556" i="5"/>
  <c r="AJ535" i="5"/>
  <c r="AJ497" i="5"/>
  <c r="AJ46" i="5"/>
  <c r="AJ45" i="5"/>
  <c r="AJ54" i="5"/>
  <c r="AJ84" i="5"/>
  <c r="AJ130" i="5"/>
  <c r="AJ157" i="5"/>
  <c r="AJ114" i="5"/>
  <c r="AJ164" i="5"/>
  <c r="AJ156" i="5"/>
  <c r="AJ170" i="5"/>
  <c r="AJ205" i="5"/>
  <c r="AJ226" i="5"/>
  <c r="AJ197" i="5"/>
  <c r="AJ198" i="5"/>
  <c r="AJ310" i="5"/>
  <c r="AJ322" i="5"/>
  <c r="AJ252" i="5"/>
  <c r="AJ282" i="5"/>
  <c r="AJ357" i="5"/>
  <c r="AJ380" i="5"/>
  <c r="AJ413" i="5"/>
  <c r="AJ354" i="5"/>
  <c r="AJ300" i="5"/>
  <c r="AJ381" i="5"/>
  <c r="AJ428" i="5"/>
  <c r="AJ484" i="5"/>
  <c r="AJ454" i="5"/>
  <c r="AJ509" i="5"/>
  <c r="AJ421" i="5"/>
  <c r="AJ445" i="5"/>
  <c r="AJ485" i="5"/>
  <c r="AJ552" i="5"/>
  <c r="AJ452" i="5"/>
  <c r="AJ22" i="5"/>
  <c r="AJ20" i="5"/>
  <c r="AJ21" i="5"/>
  <c r="AJ52" i="5"/>
  <c r="AJ61" i="5"/>
  <c r="AJ60" i="5"/>
  <c r="AJ85" i="5"/>
  <c r="AJ125" i="5"/>
  <c r="AJ158" i="5"/>
  <c r="AJ132" i="5"/>
  <c r="AJ150" i="5"/>
  <c r="AJ166" i="5"/>
  <c r="AJ173" i="5"/>
  <c r="AJ228" i="5"/>
  <c r="AJ172" i="5"/>
  <c r="AJ236" i="5"/>
  <c r="AJ278" i="5"/>
  <c r="AJ317" i="5"/>
  <c r="AJ230" i="5"/>
  <c r="AJ301" i="5"/>
  <c r="AJ324" i="5"/>
  <c r="AJ258" i="5"/>
  <c r="AJ286" i="5"/>
  <c r="AJ316" i="5"/>
  <c r="AJ274" i="5"/>
  <c r="AJ358" i="5"/>
  <c r="AJ398" i="5"/>
  <c r="AJ382" i="5"/>
  <c r="AJ405" i="5"/>
  <c r="AJ429" i="5"/>
  <c r="AJ492" i="5"/>
  <c r="AJ523" i="5"/>
  <c r="AJ436" i="5"/>
  <c r="AJ510" i="5"/>
  <c r="AJ422" i="5"/>
  <c r="AJ490" i="5"/>
  <c r="AJ558" i="5"/>
  <c r="AJ462" i="5"/>
  <c r="AJ514" i="5"/>
  <c r="AJ28" i="5"/>
  <c r="AJ57" i="5"/>
  <c r="AJ82" i="5"/>
  <c r="AJ106" i="5"/>
  <c r="AJ134" i="5"/>
  <c r="AJ140" i="5"/>
  <c r="AJ179" i="5"/>
  <c r="AJ204" i="5"/>
  <c r="AJ237" i="5"/>
  <c r="AJ232" i="5"/>
  <c r="AJ321" i="5"/>
  <c r="AJ287" i="5"/>
  <c r="AJ267" i="5"/>
  <c r="AJ355" i="5"/>
  <c r="AJ377" i="5"/>
  <c r="AJ434" i="5"/>
  <c r="AJ388" i="5"/>
  <c r="AJ372" i="5"/>
  <c r="AJ352" i="5"/>
  <c r="AJ480" i="5"/>
  <c r="AJ373" i="5"/>
  <c r="AJ481" i="5"/>
  <c r="AJ266" i="5"/>
  <c r="AJ437" i="5"/>
  <c r="AJ526" i="5"/>
  <c r="AJ404" i="5"/>
  <c r="AJ530" i="5"/>
  <c r="AJ498" i="5"/>
  <c r="AJ19" i="5"/>
  <c r="O13" i="5"/>
  <c r="AJ23" i="5"/>
  <c r="AJ39" i="5"/>
  <c r="AJ62" i="5"/>
  <c r="AJ93" i="5"/>
  <c r="AJ117" i="5"/>
  <c r="AJ136" i="5"/>
  <c r="AJ151" i="5"/>
  <c r="AJ137" i="5"/>
  <c r="AJ25" i="5"/>
  <c r="AJ63" i="5"/>
  <c r="AJ75" i="5"/>
  <c r="AJ94" i="5"/>
  <c r="AJ126" i="5"/>
  <c r="AJ145" i="5"/>
  <c r="AJ154" i="5"/>
  <c r="AJ182" i="5"/>
  <c r="AJ219" i="5"/>
  <c r="AJ181" i="5"/>
  <c r="AJ243" i="5"/>
  <c r="AJ331" i="5"/>
  <c r="AJ309" i="5"/>
  <c r="AJ289" i="5"/>
  <c r="AJ296" i="5"/>
  <c r="AJ390" i="5"/>
  <c r="AJ336" i="5"/>
  <c r="AJ406" i="5"/>
  <c r="AJ387" i="5"/>
  <c r="AJ440" i="5"/>
  <c r="AJ500" i="5"/>
  <c r="AJ441" i="5"/>
  <c r="AJ494" i="5"/>
  <c r="AJ393" i="5"/>
  <c r="AJ458" i="5"/>
  <c r="AJ538" i="5"/>
  <c r="AJ532" i="5"/>
  <c r="AJ551" i="5"/>
  <c r="AJ555" i="5"/>
  <c r="AJ37" i="5"/>
  <c r="AJ69" i="5"/>
  <c r="AJ76" i="5"/>
  <c r="AJ104" i="5"/>
  <c r="AJ128" i="5"/>
  <c r="AJ80" i="5"/>
  <c r="AJ139" i="5"/>
  <c r="AJ184" i="5"/>
  <c r="AJ235" i="5"/>
  <c r="AJ192" i="5"/>
  <c r="AJ247" i="5"/>
  <c r="AJ248" i="5"/>
  <c r="AJ315" i="5"/>
  <c r="AJ292" i="5"/>
  <c r="AJ337" i="5"/>
  <c r="AJ392" i="5"/>
  <c r="AJ341" i="5"/>
  <c r="AJ415" i="5"/>
  <c r="AJ391" i="5"/>
  <c r="AJ444" i="5"/>
  <c r="AJ505" i="5"/>
  <c r="AJ443" i="5"/>
  <c r="AJ499" i="5"/>
  <c r="AJ402" i="5"/>
  <c r="AJ460" i="5"/>
  <c r="AJ540" i="5"/>
  <c r="AJ549" i="5"/>
  <c r="AJ554" i="5"/>
  <c r="AJ557" i="5"/>
  <c r="AJ29" i="5"/>
  <c r="AJ53" i="5"/>
  <c r="AJ77" i="5"/>
  <c r="AJ90" i="5"/>
  <c r="AJ146" i="5"/>
  <c r="AJ86" i="5"/>
  <c r="AJ168" i="5"/>
  <c r="AJ196" i="5"/>
  <c r="AJ238" i="5"/>
  <c r="AJ206" i="5"/>
  <c r="AJ262" i="5"/>
  <c r="AJ249" i="5"/>
  <c r="AJ332" i="5"/>
  <c r="AJ304" i="5"/>
  <c r="AJ344" i="5"/>
  <c r="AJ408" i="5"/>
  <c r="AJ348" i="5"/>
  <c r="AJ259" i="5"/>
  <c r="AJ397" i="5"/>
  <c r="AJ453" i="5"/>
  <c r="AJ511" i="5"/>
  <c r="AJ450" i="5"/>
  <c r="AJ503" i="5"/>
  <c r="AJ414" i="5"/>
  <c r="AJ472" i="5"/>
  <c r="AJ544" i="5"/>
  <c r="AJ559" i="5"/>
  <c r="AJ560" i="5"/>
  <c r="AJ474" i="5"/>
  <c r="AJ30" i="5"/>
  <c r="AJ66" i="5"/>
  <c r="AJ73" i="5"/>
  <c r="AJ92" i="5"/>
  <c r="AJ161" i="5"/>
  <c r="AJ108" i="5"/>
  <c r="AJ174" i="5"/>
  <c r="AJ124" i="5"/>
  <c r="AJ244" i="5"/>
  <c r="AJ209" i="5"/>
  <c r="AJ284" i="5"/>
  <c r="AJ255" i="5"/>
  <c r="AJ190" i="5"/>
  <c r="AJ319" i="5"/>
  <c r="AJ350" i="5"/>
  <c r="AJ419" i="5"/>
  <c r="AJ364" i="5"/>
  <c r="AJ323" i="5"/>
  <c r="AJ407" i="5"/>
  <c r="AJ470" i="5"/>
  <c r="AJ537" i="5"/>
  <c r="AJ463" i="5"/>
  <c r="AJ513" i="5"/>
  <c r="AJ424" i="5"/>
  <c r="AJ491" i="5"/>
  <c r="AJ261" i="5"/>
  <c r="AJ468" i="5"/>
  <c r="AJ471" i="5"/>
  <c r="AJ529" i="5"/>
  <c r="AJ41" i="5"/>
  <c r="AJ27" i="5"/>
  <c r="AJ91" i="5"/>
  <c r="AJ98" i="5"/>
  <c r="AJ87" i="5"/>
  <c r="AJ123" i="5"/>
  <c r="AJ185" i="5"/>
  <c r="AJ142" i="5"/>
  <c r="AJ202" i="5"/>
  <c r="AJ220" i="5"/>
  <c r="AJ290" i="5"/>
  <c r="AJ268" i="5"/>
  <c r="AJ245" i="5"/>
  <c r="AJ325" i="5"/>
  <c r="AJ363" i="5"/>
  <c r="AJ426" i="5"/>
  <c r="AJ366" i="5"/>
  <c r="AJ343" i="5"/>
  <c r="AJ409" i="5"/>
  <c r="AJ476" i="5"/>
  <c r="AJ288" i="5"/>
  <c r="AJ466" i="5"/>
  <c r="AJ518" i="5"/>
  <c r="AJ425" i="5"/>
  <c r="AJ496" i="5"/>
  <c r="AJ279" i="5"/>
  <c r="AJ516" i="5"/>
  <c r="AJ475" i="5"/>
  <c r="AJ543" i="5"/>
  <c r="AJ24" i="5"/>
  <c r="AJ49" i="5"/>
  <c r="AJ67" i="5"/>
  <c r="AJ103" i="5"/>
  <c r="AJ122" i="5"/>
  <c r="AJ129" i="5"/>
  <c r="AJ178" i="5"/>
  <c r="AJ162" i="5"/>
  <c r="AJ215" i="5"/>
  <c r="AJ229" i="5"/>
  <c r="AJ302" i="5"/>
  <c r="AJ275" i="5"/>
  <c r="AJ260" i="5"/>
  <c r="AJ334" i="5"/>
  <c r="AJ365" i="5"/>
  <c r="AJ427" i="5"/>
  <c r="AJ374" i="5"/>
  <c r="AJ362" i="5"/>
  <c r="AJ410" i="5"/>
  <c r="AJ477" i="5"/>
  <c r="AJ361" i="5"/>
  <c r="AJ469" i="5"/>
  <c r="AJ520" i="5"/>
  <c r="AJ433" i="5"/>
  <c r="AJ501" i="5"/>
  <c r="AJ285" i="5"/>
  <c r="AJ522" i="5"/>
  <c r="AJ478" i="5"/>
  <c r="AJ545" i="5"/>
  <c r="AJ212" i="5"/>
  <c r="AJ493" i="5"/>
  <c r="AJ389" i="5"/>
  <c r="AJ375" i="5"/>
  <c r="AJ210" i="5"/>
  <c r="AJ318" i="5"/>
  <c r="AJ456" i="5"/>
  <c r="AJ175" i="5"/>
  <c r="AJ400" i="5"/>
  <c r="AJ536" i="5"/>
  <c r="AJ208" i="5"/>
  <c r="AJ386" i="5"/>
  <c r="AJ524" i="5"/>
  <c r="AJ326" i="5"/>
  <c r="AJ430" i="5"/>
  <c r="AJ546" i="5"/>
  <c r="AJ306" i="5"/>
  <c r="AJ495" i="5"/>
  <c r="AJ531" i="5"/>
  <c r="AJ276" i="5"/>
  <c r="AJ438" i="5"/>
  <c r="AH337" i="5"/>
  <c r="AJ233" i="5"/>
  <c r="AJ507" i="5"/>
  <c r="AJ201" i="5"/>
  <c r="AJ435" i="5"/>
  <c r="AJ163" i="5"/>
  <c r="B47" i="2"/>
  <c r="B28" i="2" s="1"/>
  <c r="AI552" i="5"/>
  <c r="AH552" i="5"/>
  <c r="AH404" i="5"/>
  <c r="AI404" i="5"/>
  <c r="AH558" i="5"/>
  <c r="AI558" i="5"/>
  <c r="AI182" i="5"/>
  <c r="AH182" i="5"/>
  <c r="AI522" i="5"/>
  <c r="AH522" i="5"/>
  <c r="AH394" i="5"/>
  <c r="AH258" i="5"/>
  <c r="AI258" i="5"/>
  <c r="AI370" i="5"/>
  <c r="AH370" i="5"/>
  <c r="AH378" i="5"/>
  <c r="AI378" i="5"/>
  <c r="AI93" i="5"/>
  <c r="AH93" i="5"/>
  <c r="AN362" i="5"/>
  <c r="AO362" i="5"/>
  <c r="AN69" i="5"/>
  <c r="AO69" i="5"/>
  <c r="AO486" i="5"/>
  <c r="AN486" i="5"/>
  <c r="AN365" i="5"/>
  <c r="AO365" i="5"/>
  <c r="AO510" i="5"/>
  <c r="AN490" i="5"/>
  <c r="AN178" i="5"/>
  <c r="V151" i="4"/>
  <c r="AS151" i="4"/>
  <c r="U151" i="4"/>
  <c r="U36" i="4"/>
  <c r="U144" i="4"/>
  <c r="V153" i="4"/>
  <c r="AS153" i="4"/>
  <c r="U153" i="4"/>
  <c r="AS138" i="4"/>
  <c r="U138" i="4"/>
  <c r="V138" i="4"/>
  <c r="U41" i="4"/>
  <c r="AJ553" i="5"/>
  <c r="AO487" i="5"/>
  <c r="AN487" i="5"/>
  <c r="AJ359" i="5"/>
  <c r="AJ271" i="5"/>
  <c r="AI219" i="5"/>
  <c r="AH219" i="5"/>
  <c r="AJ135" i="5"/>
  <c r="AJ167" i="5"/>
  <c r="U31" i="5"/>
  <c r="V31" i="5"/>
  <c r="U217" i="5"/>
  <c r="V217" i="5"/>
  <c r="U110" i="5"/>
  <c r="V110" i="5"/>
  <c r="U124" i="5"/>
  <c r="V124" i="5"/>
  <c r="U158" i="5"/>
  <c r="V158" i="5"/>
  <c r="AI464" i="5"/>
  <c r="AH464" i="5"/>
  <c r="AI304" i="5"/>
  <c r="AH304" i="5"/>
  <c r="AJ160" i="5"/>
  <c r="AJ216" i="5"/>
  <c r="AH96" i="5"/>
  <c r="AI96" i="5"/>
  <c r="AJ449" i="5"/>
  <c r="AJ81" i="5"/>
  <c r="AI113" i="5"/>
  <c r="AH113" i="5"/>
  <c r="AJ515" i="5"/>
  <c r="AI476" i="5"/>
  <c r="AH476" i="5"/>
  <c r="AH202" i="5"/>
  <c r="AI202" i="5"/>
  <c r="AH146" i="5"/>
  <c r="AI146" i="5"/>
  <c r="AI454" i="5"/>
  <c r="AH454" i="5"/>
  <c r="AI356" i="5"/>
  <c r="AH356" i="5"/>
  <c r="AI493" i="5"/>
  <c r="AH493" i="5"/>
  <c r="AI101" i="5"/>
  <c r="AH101" i="5"/>
  <c r="AH165" i="5"/>
  <c r="AI165" i="5"/>
  <c r="AN540" i="5"/>
  <c r="AO540" i="5"/>
  <c r="AN498" i="5"/>
  <c r="AO498" i="5"/>
  <c r="AN258" i="5"/>
  <c r="AO258" i="5"/>
  <c r="AN133" i="5"/>
  <c r="AO133" i="5"/>
  <c r="AN482" i="5"/>
  <c r="AO482" i="5"/>
  <c r="AO348" i="5"/>
  <c r="AN348" i="5"/>
  <c r="AN253" i="5"/>
  <c r="AO253" i="5"/>
  <c r="AN93" i="5"/>
  <c r="AO93" i="5"/>
  <c r="AN374" i="5"/>
  <c r="U56" i="4"/>
  <c r="V65" i="4"/>
  <c r="AS65" i="4"/>
  <c r="U65" i="4"/>
  <c r="AS119" i="4"/>
  <c r="AS112" i="4"/>
  <c r="U121" i="4"/>
  <c r="AJ423" i="5"/>
  <c r="AI447" i="5"/>
  <c r="AH447" i="5"/>
  <c r="AJ487" i="5"/>
  <c r="AJ327" i="5"/>
  <c r="AJ399" i="5"/>
  <c r="AH239" i="5"/>
  <c r="AI239" i="5"/>
  <c r="AJ31" i="5"/>
  <c r="AJ71" i="5"/>
  <c r="V220" i="5"/>
  <c r="V213" i="5"/>
  <c r="V108" i="5"/>
  <c r="U163" i="5"/>
  <c r="V163" i="5"/>
  <c r="V81" i="5"/>
  <c r="U81" i="5"/>
  <c r="AJ534" i="5"/>
  <c r="AJ464" i="5"/>
  <c r="AI360" i="5"/>
  <c r="AH360" i="5"/>
  <c r="U240" i="5"/>
  <c r="V240" i="5"/>
  <c r="V128" i="5"/>
  <c r="U128" i="5"/>
  <c r="AH24" i="5"/>
  <c r="AI24" i="5"/>
  <c r="U72" i="5"/>
  <c r="V72" i="5"/>
  <c r="AJ473" i="5"/>
  <c r="AJ121" i="5"/>
  <c r="AJ89" i="5"/>
  <c r="AH131" i="5"/>
  <c r="AI131" i="5"/>
  <c r="AJ347" i="5"/>
  <c r="U75" i="5"/>
  <c r="V75" i="5"/>
  <c r="AJ265" i="5"/>
  <c r="AJ411" i="5"/>
  <c r="AJ291" i="5"/>
  <c r="AH398" i="5"/>
  <c r="AI398" i="5"/>
  <c r="AI222" i="5"/>
  <c r="AH222" i="5"/>
  <c r="AH261" i="5"/>
  <c r="AI261" i="5"/>
  <c r="AI520" i="5"/>
  <c r="AH520" i="5"/>
  <c r="AI181" i="5"/>
  <c r="AH181" i="5"/>
  <c r="AH21" i="5"/>
  <c r="AI21" i="5"/>
  <c r="AI153" i="5"/>
  <c r="AH153" i="5"/>
  <c r="AN426" i="5"/>
  <c r="AO426" i="5"/>
  <c r="AO341" i="5"/>
  <c r="AN341" i="5"/>
  <c r="V154" i="4"/>
  <c r="AS154" i="4"/>
  <c r="U154" i="4"/>
  <c r="U15" i="4"/>
  <c r="B223" i="2"/>
  <c r="B200" i="2"/>
  <c r="B212" i="2" s="1"/>
  <c r="H65" i="1" s="1"/>
  <c r="AJ455" i="5"/>
  <c r="AI327" i="5"/>
  <c r="AH327" i="5"/>
  <c r="AO359" i="5"/>
  <c r="AN359" i="5"/>
  <c r="AJ239" i="5"/>
  <c r="V127" i="5"/>
  <c r="U127" i="5"/>
  <c r="AJ207" i="5"/>
  <c r="AJ47" i="5"/>
  <c r="V111" i="5"/>
  <c r="U111" i="5"/>
  <c r="U202" i="5"/>
  <c r="V202" i="5"/>
  <c r="U78" i="5"/>
  <c r="V78" i="5"/>
  <c r="V157" i="5"/>
  <c r="U157" i="5"/>
  <c r="V238" i="5"/>
  <c r="AN534" i="5"/>
  <c r="AO534" i="5"/>
  <c r="AJ488" i="5"/>
  <c r="AJ320" i="5"/>
  <c r="AN392" i="5"/>
  <c r="AI240" i="5"/>
  <c r="AJ264" i="5"/>
  <c r="AH312" i="5"/>
  <c r="AI312" i="5"/>
  <c r="U144" i="5"/>
  <c r="V144" i="5"/>
  <c r="U168" i="5"/>
  <c r="V168" i="5"/>
  <c r="AH192" i="5"/>
  <c r="AI192" i="5"/>
  <c r="AJ48" i="5"/>
  <c r="AJ72" i="5"/>
  <c r="AJ96" i="5"/>
  <c r="AJ489" i="5"/>
  <c r="AJ113" i="5"/>
  <c r="AJ83" i="5"/>
  <c r="AJ313" i="5"/>
  <c r="AI535" i="5"/>
  <c r="AH535" i="5"/>
  <c r="AJ353" i="5"/>
  <c r="B174" i="2"/>
  <c r="B175" i="2"/>
  <c r="H54" i="1"/>
  <c r="AJ299" i="5"/>
  <c r="AJ211" i="5"/>
  <c r="AI364" i="5"/>
  <c r="AH364" i="5"/>
  <c r="AI528" i="5"/>
  <c r="AH528" i="5"/>
  <c r="AH386" i="5"/>
  <c r="AI386" i="5"/>
  <c r="AH551" i="5"/>
  <c r="AI551" i="5"/>
  <c r="AI270" i="5"/>
  <c r="AH270" i="5"/>
  <c r="AI350" i="5"/>
  <c r="AH350" i="5"/>
  <c r="AH290" i="5"/>
  <c r="AI290" i="5"/>
  <c r="AH26" i="5"/>
  <c r="AI492" i="5"/>
  <c r="AH492" i="5"/>
  <c r="AI313" i="5"/>
  <c r="AH313" i="5"/>
  <c r="AN410" i="5"/>
  <c r="AO410" i="5"/>
  <c r="AN508" i="5"/>
  <c r="U33" i="4"/>
  <c r="AJ525" i="5"/>
  <c r="AJ431" i="5"/>
  <c r="AH455" i="5"/>
  <c r="AI455" i="5"/>
  <c r="AJ335" i="5"/>
  <c r="AN367" i="5"/>
  <c r="AO367" i="5"/>
  <c r="AJ295" i="5"/>
  <c r="AJ127" i="5"/>
  <c r="AJ143" i="5"/>
  <c r="V175" i="5"/>
  <c r="U175" i="5"/>
  <c r="AJ79" i="5"/>
  <c r="U198" i="5"/>
  <c r="V198" i="5"/>
  <c r="U65" i="5"/>
  <c r="V65" i="5"/>
  <c r="U218" i="5"/>
  <c r="V218" i="5"/>
  <c r="V73" i="5"/>
  <c r="U73" i="5"/>
  <c r="U193" i="5"/>
  <c r="V193" i="5"/>
  <c r="U58" i="5"/>
  <c r="AH488" i="5"/>
  <c r="AI488" i="5"/>
  <c r="AJ360" i="5"/>
  <c r="AJ272" i="5"/>
  <c r="AJ312" i="5"/>
  <c r="AI379" i="5"/>
  <c r="AH379" i="5"/>
  <c r="AH51" i="5"/>
  <c r="AI51" i="5"/>
  <c r="AO115" i="5"/>
  <c r="AN115" i="5"/>
  <c r="AJ107" i="5"/>
  <c r="AJ403" i="5"/>
  <c r="AH355" i="5"/>
  <c r="AI355" i="5"/>
  <c r="AJ467" i="5"/>
  <c r="AJ339" i="5"/>
  <c r="AJ119" i="5"/>
  <c r="AF539" i="5"/>
  <c r="AF448" i="5"/>
  <c r="AF467" i="5"/>
  <c r="AF256" i="5"/>
  <c r="AF511" i="5"/>
  <c r="AF248" i="5"/>
  <c r="AF298" i="5"/>
  <c r="AF444" i="5"/>
  <c r="AF281" i="5"/>
  <c r="AF398" i="5"/>
  <c r="AF523" i="5"/>
  <c r="AF526" i="5"/>
  <c r="AF293" i="5"/>
  <c r="AF207" i="5"/>
  <c r="AF81" i="5"/>
  <c r="AF455" i="5"/>
  <c r="AF364" i="5"/>
  <c r="AF313" i="5"/>
  <c r="AF128" i="5"/>
  <c r="AF544" i="5"/>
  <c r="AF488" i="5"/>
  <c r="AF473" i="5"/>
  <c r="AF459" i="5"/>
  <c r="AF434" i="5"/>
  <c r="AF306" i="5"/>
  <c r="AF272" i="5"/>
  <c r="AF205" i="5"/>
  <c r="AF132" i="5"/>
  <c r="AF27" i="5"/>
  <c r="AF525" i="5"/>
  <c r="AF520" i="5"/>
  <c r="AF512" i="5"/>
  <c r="AF516" i="5"/>
  <c r="AF320" i="5"/>
  <c r="AF265" i="5"/>
  <c r="AF304" i="5"/>
  <c r="AF173" i="5"/>
  <c r="AF64" i="5"/>
  <c r="AF46" i="5"/>
  <c r="AF93" i="5"/>
  <c r="AF167" i="5"/>
  <c r="AF213" i="5"/>
  <c r="AF266" i="5"/>
  <c r="AF288" i="5"/>
  <c r="AF331" i="5"/>
  <c r="AF393" i="5"/>
  <c r="AF383" i="5"/>
  <c r="AF413" i="5"/>
  <c r="AF490" i="5"/>
  <c r="AF79" i="5"/>
  <c r="AF155" i="5"/>
  <c r="AF186" i="5"/>
  <c r="AF194" i="5"/>
  <c r="AF311" i="5"/>
  <c r="AF247" i="5"/>
  <c r="AF277" i="5"/>
  <c r="AF257" i="5"/>
  <c r="AF335" i="5"/>
  <c r="AF406" i="5"/>
  <c r="AF134" i="5"/>
  <c r="AF117" i="5"/>
  <c r="AF74" i="5"/>
  <c r="AF40" i="5"/>
  <c r="AF130" i="5"/>
  <c r="AF121" i="5"/>
  <c r="AF160" i="5"/>
  <c r="AF75" i="5"/>
  <c r="AF44" i="5"/>
  <c r="AF7" i="5"/>
  <c r="AF9" i="5"/>
  <c r="AF430" i="5"/>
  <c r="AF362" i="5"/>
  <c r="AF514" i="5"/>
  <c r="AF316" i="5"/>
  <c r="AF461" i="5"/>
  <c r="AF318" i="5"/>
  <c r="AF228" i="5"/>
  <c r="AF478" i="5"/>
  <c r="AF250" i="5"/>
  <c r="AF513" i="5"/>
  <c r="AF500" i="5"/>
  <c r="AF485" i="5"/>
  <c r="AF330" i="5"/>
  <c r="AF157" i="5"/>
  <c r="AF70" i="5"/>
  <c r="AF426" i="5"/>
  <c r="AF377" i="5"/>
  <c r="AF227" i="5"/>
  <c r="AF54" i="5"/>
  <c r="AF518" i="5"/>
  <c r="AF429" i="5"/>
  <c r="AF463" i="5"/>
  <c r="AF439" i="5"/>
  <c r="AF397" i="5"/>
  <c r="AF208" i="5"/>
  <c r="AF215" i="5"/>
  <c r="AF240" i="5"/>
  <c r="AF144" i="5"/>
  <c r="AF550" i="5"/>
  <c r="AF451" i="5"/>
  <c r="AF506" i="5"/>
  <c r="AF498" i="5"/>
  <c r="AF496" i="5"/>
  <c r="AF402" i="5"/>
  <c r="AF350" i="5"/>
  <c r="AF278" i="5"/>
  <c r="AF159" i="5"/>
  <c r="AF63" i="5"/>
  <c r="AF33" i="5"/>
  <c r="AF116" i="5"/>
  <c r="AF164" i="5"/>
  <c r="AF225" i="5"/>
  <c r="AF279" i="5"/>
  <c r="AF303" i="5"/>
  <c r="AF352" i="5"/>
  <c r="AF409" i="5"/>
  <c r="AF404" i="5"/>
  <c r="AF336" i="5"/>
  <c r="AF39" i="5"/>
  <c r="AF96" i="5"/>
  <c r="AF127" i="5"/>
  <c r="AF216" i="5"/>
  <c r="AF203" i="5"/>
  <c r="AF327" i="5"/>
  <c r="AF268" i="5"/>
  <c r="AF324" i="5"/>
  <c r="AF295" i="5"/>
  <c r="AF357" i="5"/>
  <c r="AF433" i="5"/>
  <c r="AF182" i="5"/>
  <c r="AF107" i="5"/>
  <c r="AF78" i="5"/>
  <c r="AF42" i="5"/>
  <c r="AF172" i="5"/>
  <c r="AF103" i="5"/>
  <c r="AF142" i="5"/>
  <c r="AF35" i="5"/>
  <c r="AF37" i="5"/>
  <c r="AF12" i="5"/>
  <c r="AF471" i="5"/>
  <c r="AF243" i="5"/>
  <c r="AF517" i="5"/>
  <c r="AF199" i="5"/>
  <c r="AF437" i="5"/>
  <c r="AF235" i="5"/>
  <c r="AF510" i="5"/>
  <c r="AF483" i="5"/>
  <c r="AF146" i="5"/>
  <c r="AF559" i="5"/>
  <c r="AF446" i="5"/>
  <c r="AF412" i="5"/>
  <c r="AF285" i="5"/>
  <c r="AF91" i="5"/>
  <c r="AF560" i="5"/>
  <c r="AF468" i="5"/>
  <c r="AF332" i="5"/>
  <c r="AF226" i="5"/>
  <c r="AF55" i="5"/>
  <c r="AF541" i="5"/>
  <c r="AF545" i="5"/>
  <c r="AF432" i="5"/>
  <c r="AF536" i="5"/>
  <c r="AF389" i="5"/>
  <c r="AF372" i="5"/>
  <c r="AF261" i="5"/>
  <c r="AF187" i="5"/>
  <c r="AF109" i="5"/>
  <c r="AF549" i="5"/>
  <c r="AF499" i="5"/>
  <c r="AF476" i="5"/>
  <c r="AF462" i="5"/>
  <c r="AF435" i="5"/>
  <c r="AF309" i="5"/>
  <c r="AF275" i="5"/>
  <c r="AF210" i="5"/>
  <c r="AF136" i="5"/>
  <c r="AF28" i="5"/>
  <c r="AF71" i="5"/>
  <c r="AF153" i="5"/>
  <c r="AF179" i="5"/>
  <c r="AF177" i="5"/>
  <c r="AF308" i="5"/>
  <c r="AF234" i="5"/>
  <c r="AF274" i="5"/>
  <c r="AF254" i="5"/>
  <c r="AF334" i="5"/>
  <c r="AF403" i="5"/>
  <c r="AF41" i="5"/>
  <c r="AF106" i="5"/>
  <c r="AF181" i="5"/>
  <c r="AF178" i="5"/>
  <c r="AF237" i="5"/>
  <c r="AF259" i="5"/>
  <c r="AF305" i="5"/>
  <c r="AF368" i="5"/>
  <c r="AF347" i="5"/>
  <c r="AF384" i="5"/>
  <c r="AF458" i="5"/>
  <c r="AF143" i="5"/>
  <c r="AF124" i="5"/>
  <c r="AF66" i="5"/>
  <c r="AF211" i="5"/>
  <c r="AF122" i="5"/>
  <c r="AF147" i="5"/>
  <c r="AF99" i="5"/>
  <c r="AF53" i="5"/>
  <c r="AF36" i="5"/>
  <c r="AF13" i="5"/>
  <c r="AF537" i="5"/>
  <c r="AF540" i="5"/>
  <c r="AF415" i="5"/>
  <c r="AF151" i="5"/>
  <c r="AF501" i="5"/>
  <c r="AF180" i="5"/>
  <c r="AF547" i="5"/>
  <c r="AF408" i="5"/>
  <c r="AF24" i="5"/>
  <c r="AF548" i="5"/>
  <c r="AF223" i="5"/>
  <c r="AF338" i="5"/>
  <c r="AF319" i="5"/>
  <c r="AF92" i="5"/>
  <c r="AF502" i="5"/>
  <c r="AF424" i="5"/>
  <c r="AF428" i="5"/>
  <c r="AF233" i="5"/>
  <c r="AF67" i="5"/>
  <c r="AF557" i="5"/>
  <c r="AF528" i="5"/>
  <c r="AF345" i="5"/>
  <c r="AF527" i="5"/>
  <c r="AF363" i="5"/>
  <c r="AF340" i="5"/>
  <c r="AF328" i="5"/>
  <c r="AF220" i="5"/>
  <c r="AF98" i="5"/>
  <c r="AF538" i="5"/>
  <c r="AF431" i="5"/>
  <c r="AF465" i="5"/>
  <c r="AF452" i="5"/>
  <c r="AF400" i="5"/>
  <c r="AF239" i="5"/>
  <c r="AF218" i="5"/>
  <c r="AF139" i="5"/>
  <c r="AF150" i="5"/>
  <c r="AF32" i="5"/>
  <c r="AF87" i="5"/>
  <c r="AF114" i="5"/>
  <c r="AF209" i="5"/>
  <c r="AF202" i="5"/>
  <c r="AF325" i="5"/>
  <c r="AF267" i="5"/>
  <c r="AF301" i="5"/>
  <c r="AF283" i="5"/>
  <c r="AF346" i="5"/>
  <c r="AF425" i="5"/>
  <c r="AF60" i="5"/>
  <c r="AF148" i="5"/>
  <c r="AF137" i="5"/>
  <c r="AF195" i="5"/>
  <c r="AF246" i="5"/>
  <c r="AF271" i="5"/>
  <c r="AF326" i="5"/>
  <c r="AF386" i="5"/>
  <c r="AF369" i="5"/>
  <c r="AF399" i="5"/>
  <c r="AF475" i="5"/>
  <c r="AF115" i="5"/>
  <c r="AF104" i="5"/>
  <c r="AF47" i="5"/>
  <c r="AF189" i="5"/>
  <c r="AF184" i="5"/>
  <c r="AF133" i="5"/>
  <c r="AF100" i="5"/>
  <c r="AF30" i="5"/>
  <c r="AF45" i="5"/>
  <c r="AF11" i="5"/>
  <c r="AF534" i="5"/>
  <c r="AF531" i="5"/>
  <c r="AF337" i="5"/>
  <c r="AF494" i="5"/>
  <c r="AF382" i="5"/>
  <c r="AF89" i="5"/>
  <c r="AF551" i="5"/>
  <c r="AF373" i="5"/>
  <c r="AF553" i="5"/>
  <c r="AF552" i="5"/>
  <c r="AF480" i="5"/>
  <c r="AF375" i="5"/>
  <c r="AF258" i="5"/>
  <c r="AF23" i="5"/>
  <c r="AF535" i="5"/>
  <c r="AF533" i="5"/>
  <c r="AF355" i="5"/>
  <c r="AF242" i="5"/>
  <c r="AF20" i="5"/>
  <c r="AF508" i="5"/>
  <c r="AF519" i="5"/>
  <c r="AF507" i="5"/>
  <c r="AF515" i="5"/>
  <c r="AF314" i="5"/>
  <c r="AF260" i="5"/>
  <c r="AF299" i="5"/>
  <c r="AF82" i="5"/>
  <c r="AF29" i="5"/>
  <c r="AF443" i="5"/>
  <c r="AF374" i="5"/>
  <c r="AF454" i="5"/>
  <c r="AF423" i="5"/>
  <c r="AF263" i="5"/>
  <c r="AF407" i="5"/>
  <c r="AF300" i="5"/>
  <c r="AF222" i="5"/>
  <c r="AF111" i="5"/>
  <c r="AF34" i="5"/>
  <c r="AF84" i="5"/>
  <c r="AF145" i="5"/>
  <c r="AF229" i="5"/>
  <c r="AF214" i="5"/>
  <c r="AF171" i="5"/>
  <c r="AF284" i="5"/>
  <c r="AF349" i="5"/>
  <c r="AF312" i="5"/>
  <c r="AF370" i="5"/>
  <c r="AF436" i="5"/>
  <c r="AF49" i="5"/>
  <c r="AF102" i="5"/>
  <c r="AF175" i="5"/>
  <c r="AF217" i="5"/>
  <c r="AF270" i="5"/>
  <c r="AF291" i="5"/>
  <c r="AF341" i="5"/>
  <c r="AF396" i="5"/>
  <c r="AF385" i="5"/>
  <c r="AF416" i="5"/>
  <c r="AF174" i="5"/>
  <c r="AF88" i="5"/>
  <c r="AF95" i="5"/>
  <c r="AF65" i="5"/>
  <c r="AF158" i="5"/>
  <c r="AF169" i="5"/>
  <c r="AF125" i="5"/>
  <c r="AF83" i="5"/>
  <c r="AF58" i="5"/>
  <c r="AF482" i="5"/>
  <c r="AF487" i="5"/>
  <c r="AF90" i="5"/>
  <c r="AF481" i="5"/>
  <c r="AF280" i="5"/>
  <c r="AF19" i="5"/>
  <c r="AF294" i="5"/>
  <c r="AF356" i="5"/>
  <c r="AF421" i="5"/>
  <c r="AF310" i="5"/>
  <c r="AF59" i="5"/>
  <c r="AF492" i="5"/>
  <c r="AF365" i="5"/>
  <c r="AF190" i="5"/>
  <c r="AF73" i="5"/>
  <c r="AF191" i="5"/>
  <c r="AF302" i="5"/>
  <c r="AF418" i="5"/>
  <c r="AF77" i="5"/>
  <c r="AF230" i="5"/>
  <c r="AF290" i="5"/>
  <c r="AF249" i="5"/>
  <c r="AF149" i="5"/>
  <c r="AF21" i="5"/>
  <c r="AF105" i="5"/>
  <c r="AF245" i="5"/>
  <c r="AF427" i="5"/>
  <c r="AF555" i="5"/>
  <c r="AF543" i="5"/>
  <c r="AF391" i="5"/>
  <c r="AF509" i="5"/>
  <c r="AF286" i="5"/>
  <c r="AF530" i="5"/>
  <c r="AF491" i="5"/>
  <c r="AF296" i="5"/>
  <c r="AF50" i="5"/>
  <c r="AF440" i="5"/>
  <c r="AF353" i="5"/>
  <c r="AF224" i="5"/>
  <c r="AF94" i="5"/>
  <c r="AF236" i="5"/>
  <c r="AF321" i="5"/>
  <c r="AF380" i="5"/>
  <c r="AF86" i="5"/>
  <c r="AF238" i="5"/>
  <c r="AF358" i="5"/>
  <c r="AF371" i="5"/>
  <c r="AF131" i="5"/>
  <c r="AF192" i="5"/>
  <c r="AF85" i="5"/>
  <c r="AF445" i="5"/>
  <c r="AF505" i="5"/>
  <c r="AF495" i="5"/>
  <c r="AF469" i="5"/>
  <c r="AF262" i="5"/>
  <c r="AF479" i="5"/>
  <c r="AF176" i="5"/>
  <c r="AF322" i="5"/>
  <c r="AF460" i="5"/>
  <c r="AF276" i="5"/>
  <c r="AF493" i="5"/>
  <c r="AF420" i="5"/>
  <c r="AF376" i="5"/>
  <c r="AF108" i="5"/>
  <c r="AF126" i="5"/>
  <c r="AF231" i="5"/>
  <c r="AF252" i="5"/>
  <c r="AF395" i="5"/>
  <c r="AF123" i="5"/>
  <c r="AF219" i="5"/>
  <c r="AF255" i="5"/>
  <c r="AF348" i="5"/>
  <c r="AF156" i="5"/>
  <c r="AF168" i="5"/>
  <c r="AF97" i="5"/>
  <c r="AF10" i="5"/>
  <c r="AF521" i="5"/>
  <c r="AF417" i="5"/>
  <c r="AF366" i="5"/>
  <c r="AF556" i="5"/>
  <c r="AF197" i="5"/>
  <c r="AF504" i="5"/>
  <c r="AF161" i="5"/>
  <c r="AF503" i="5"/>
  <c r="AF419" i="5"/>
  <c r="AF241" i="5"/>
  <c r="AF542" i="5"/>
  <c r="AF477" i="5"/>
  <c r="AF342" i="5"/>
  <c r="AF101" i="5"/>
  <c r="AF135" i="5"/>
  <c r="AF201" i="5"/>
  <c r="AF367" i="5"/>
  <c r="AF388" i="5"/>
  <c r="AF140" i="5"/>
  <c r="AF282" i="5"/>
  <c r="AF354" i="5"/>
  <c r="AF394" i="5"/>
  <c r="AF57" i="5"/>
  <c r="AF152" i="5"/>
  <c r="AF48" i="5"/>
  <c r="AF31" i="5"/>
  <c r="AF453" i="5"/>
  <c r="AF438" i="5"/>
  <c r="AF387" i="5"/>
  <c r="AF470" i="5"/>
  <c r="AF212" i="5"/>
  <c r="AF497" i="5"/>
  <c r="AF68" i="5"/>
  <c r="AF484" i="5"/>
  <c r="AF390" i="5"/>
  <c r="AF221" i="5"/>
  <c r="AF558" i="5"/>
  <c r="AF359" i="5"/>
  <c r="AF317" i="5"/>
  <c r="AF80" i="5"/>
  <c r="AF170" i="5"/>
  <c r="AF292" i="5"/>
  <c r="AF381" i="5"/>
  <c r="AF456" i="5"/>
  <c r="AF120" i="5"/>
  <c r="AF297" i="5"/>
  <c r="AF410" i="5"/>
  <c r="AF442" i="5"/>
  <c r="AF61" i="5"/>
  <c r="AF138" i="5"/>
  <c r="AF76" i="5"/>
  <c r="AF8" i="5"/>
  <c r="AF273" i="5"/>
  <c r="AF289" i="5"/>
  <c r="AF329" i="5"/>
  <c r="AF457" i="5"/>
  <c r="AF113" i="5"/>
  <c r="AF447" i="5"/>
  <c r="AF524" i="5"/>
  <c r="AF449" i="5"/>
  <c r="AF351" i="5"/>
  <c r="AF185" i="5"/>
  <c r="AF546" i="5"/>
  <c r="AF532" i="5"/>
  <c r="AF264" i="5"/>
  <c r="AF51" i="5"/>
  <c r="AF119" i="5"/>
  <c r="AF253" i="5"/>
  <c r="AF441" i="5"/>
  <c r="AF472" i="5"/>
  <c r="AF166" i="5"/>
  <c r="AF183" i="5"/>
  <c r="AF193" i="5"/>
  <c r="AF118" i="5"/>
  <c r="AF69" i="5"/>
  <c r="AF141" i="5"/>
  <c r="AF72" i="5"/>
  <c r="AF522" i="5"/>
  <c r="AF287" i="5"/>
  <c r="AF379" i="5"/>
  <c r="AF206" i="5"/>
  <c r="AF378" i="5"/>
  <c r="AF165" i="5"/>
  <c r="AF414" i="5"/>
  <c r="AF489" i="5"/>
  <c r="AF486" i="5"/>
  <c r="AF405" i="5"/>
  <c r="AF188" i="5"/>
  <c r="AF554" i="5"/>
  <c r="AF464" i="5"/>
  <c r="AF333" i="5"/>
  <c r="AF26" i="5"/>
  <c r="AF200" i="5"/>
  <c r="AF269" i="5"/>
  <c r="AF343" i="5"/>
  <c r="AF43" i="5"/>
  <c r="AF204" i="5"/>
  <c r="AF307" i="5"/>
  <c r="AF315" i="5"/>
  <c r="AF162" i="5"/>
  <c r="AF52" i="5"/>
  <c r="AF154" i="5"/>
  <c r="AF62" i="5"/>
  <c r="AF466" i="5"/>
  <c r="AF196" i="5"/>
  <c r="AF339" i="5"/>
  <c r="AF450" i="5"/>
  <c r="AF422" i="5"/>
  <c r="AF129" i="5"/>
  <c r="AF360" i="5"/>
  <c r="AF401" i="5"/>
  <c r="AF474" i="5"/>
  <c r="AF344" i="5"/>
  <c r="AF110" i="5"/>
  <c r="AF529" i="5"/>
  <c r="AF392" i="5"/>
  <c r="AF244" i="5"/>
  <c r="AF56" i="5"/>
  <c r="AF251" i="5"/>
  <c r="AF323" i="5"/>
  <c r="AF361" i="5"/>
  <c r="AF38" i="5"/>
  <c r="AF232" i="5"/>
  <c r="AF198" i="5"/>
  <c r="AF411" i="5"/>
  <c r="AF163" i="5"/>
  <c r="AF25" i="5"/>
  <c r="AF112" i="5"/>
  <c r="AF22" i="5"/>
  <c r="AI338" i="5"/>
  <c r="AH338" i="5"/>
  <c r="AH245" i="5"/>
  <c r="AI245" i="5"/>
  <c r="AI340" i="5"/>
  <c r="AH340" i="5"/>
  <c r="AH78" i="5"/>
  <c r="AI78" i="5"/>
  <c r="AI524" i="5"/>
  <c r="AH524" i="5"/>
  <c r="AH138" i="5"/>
  <c r="AI138" i="5"/>
  <c r="AI418" i="5"/>
  <c r="AH418" i="5"/>
  <c r="AI348" i="5"/>
  <c r="AH348" i="5"/>
  <c r="AI45" i="5"/>
  <c r="AH45" i="5"/>
  <c r="AI380" i="5"/>
  <c r="AH380" i="5"/>
  <c r="AH281" i="5"/>
  <c r="AI281" i="5"/>
  <c r="AH233" i="5"/>
  <c r="AI233" i="5"/>
  <c r="AN298" i="5"/>
  <c r="AO298" i="5"/>
  <c r="AO358" i="5"/>
  <c r="AN358" i="5"/>
  <c r="AN161" i="5"/>
  <c r="AS83" i="4"/>
  <c r="AS17" i="4"/>
  <c r="U17" i="4"/>
  <c r="V17" i="4"/>
  <c r="V149" i="4"/>
  <c r="AS156" i="4"/>
  <c r="U156" i="4"/>
  <c r="U139" i="4"/>
  <c r="AS139" i="4"/>
  <c r="V139" i="4"/>
  <c r="U146" i="4"/>
  <c r="AN431" i="5"/>
  <c r="AJ367" i="5"/>
  <c r="AJ223" i="5"/>
  <c r="U255" i="5"/>
  <c r="V255" i="5"/>
  <c r="AJ303" i="5"/>
  <c r="AI175" i="5"/>
  <c r="AJ111" i="5"/>
  <c r="V179" i="5"/>
  <c r="U179" i="5"/>
  <c r="U49" i="5"/>
  <c r="V49" i="5"/>
  <c r="U197" i="5"/>
  <c r="V197" i="5"/>
  <c r="U148" i="5"/>
  <c r="V148" i="5"/>
  <c r="AJ7" i="5"/>
  <c r="AG7" i="5"/>
  <c r="AM7" i="5"/>
  <c r="T7" i="5"/>
  <c r="Q7" i="5"/>
  <c r="W7" i="5"/>
  <c r="AI432" i="5"/>
  <c r="AJ368" i="5"/>
  <c r="AJ416" i="5"/>
  <c r="AJ240" i="5"/>
  <c r="AJ144" i="5"/>
  <c r="U200" i="5"/>
  <c r="V200" i="5"/>
  <c r="AJ32" i="5"/>
  <c r="AJ56" i="5"/>
  <c r="AI104" i="5"/>
  <c r="AH104" i="5"/>
  <c r="AH129" i="5"/>
  <c r="AI129" i="5"/>
  <c r="AO235" i="5"/>
  <c r="AI283" i="5"/>
  <c r="AH283" i="5"/>
  <c r="AH387" i="5"/>
  <c r="AI387" i="5"/>
  <c r="AJ97" i="5"/>
  <c r="AJ459" i="5"/>
  <c r="AJ541" i="5"/>
  <c r="AJ35" i="5"/>
  <c r="AJ99" i="5"/>
  <c r="AJ8" i="5"/>
  <c r="AI560" i="5"/>
  <c r="AH560" i="5"/>
  <c r="AH300" i="5"/>
  <c r="AI300" i="5"/>
  <c r="AH262" i="5"/>
  <c r="AI262" i="5"/>
  <c r="AI238" i="5"/>
  <c r="AH238" i="5"/>
  <c r="AN26" i="5"/>
  <c r="AO26" i="5"/>
  <c r="AO206" i="5"/>
  <c r="AN149" i="5"/>
  <c r="AO149" i="5"/>
  <c r="AO105" i="5"/>
  <c r="U58" i="4"/>
  <c r="V124" i="4"/>
  <c r="AS124" i="4"/>
  <c r="U124" i="4"/>
  <c r="AS107" i="4"/>
  <c r="U107" i="4"/>
  <c r="V107" i="4"/>
  <c r="V104" i="4"/>
  <c r="AS104" i="4"/>
  <c r="U104" i="4"/>
  <c r="AO525" i="5"/>
  <c r="AN525" i="5"/>
  <c r="AJ439" i="5"/>
  <c r="AI223" i="5"/>
  <c r="AH223" i="5"/>
  <c r="AI255" i="5"/>
  <c r="AH255" i="5"/>
  <c r="AJ311" i="5"/>
  <c r="AJ183" i="5"/>
  <c r="AJ55" i="5"/>
  <c r="V278" i="5"/>
  <c r="U62" i="5"/>
  <c r="U209" i="5"/>
  <c r="V209" i="5"/>
  <c r="U116" i="5"/>
  <c r="V116" i="5"/>
  <c r="U29" i="5"/>
  <c r="V29" i="5"/>
  <c r="AJ432" i="5"/>
  <c r="AO496" i="5"/>
  <c r="AJ328" i="5"/>
  <c r="AJ224" i="5"/>
  <c r="AJ280" i="5"/>
  <c r="U120" i="5"/>
  <c r="V120" i="5"/>
  <c r="AJ152" i="5"/>
  <c r="AJ200" i="5"/>
  <c r="AJ40" i="5"/>
  <c r="AJ88" i="5"/>
  <c r="AJ217" i="5"/>
  <c r="AN179" i="5" l="1"/>
  <c r="AH495" i="5"/>
  <c r="AN476" i="5"/>
  <c r="AI405" i="5"/>
  <c r="AH58" i="5"/>
  <c r="AI91" i="5"/>
  <c r="AH368" i="5"/>
  <c r="AN423" i="5"/>
  <c r="AN485" i="5"/>
  <c r="AN537" i="5"/>
  <c r="AI134" i="5"/>
  <c r="AI333" i="5"/>
  <c r="AI148" i="5"/>
  <c r="AN437" i="5"/>
  <c r="AI42" i="5"/>
  <c r="AH485" i="5"/>
  <c r="AI284" i="5"/>
  <c r="AH533" i="5"/>
  <c r="AH452" i="5"/>
  <c r="AO41" i="5"/>
  <c r="AH149" i="5"/>
  <c r="AI324" i="5"/>
  <c r="AI229" i="5"/>
  <c r="AN435" i="5"/>
  <c r="AI548" i="5"/>
  <c r="AO45" i="5"/>
  <c r="AI332" i="5"/>
  <c r="AO543" i="5"/>
  <c r="AO395" i="5"/>
  <c r="AO320" i="5"/>
  <c r="AH267" i="5"/>
  <c r="AN122" i="5"/>
  <c r="AI301" i="5"/>
  <c r="AH55" i="5"/>
  <c r="AN332" i="5"/>
  <c r="AI69" i="5"/>
  <c r="AH118" i="5"/>
  <c r="AO71" i="5"/>
  <c r="AH295" i="5"/>
  <c r="AI287" i="5"/>
  <c r="AI512" i="5"/>
  <c r="AI237" i="5"/>
  <c r="AO50" i="5"/>
  <c r="AI516" i="5"/>
  <c r="AN156" i="5"/>
  <c r="AO394" i="5"/>
  <c r="AN500" i="5"/>
  <c r="AH56" i="5"/>
  <c r="AN346" i="5"/>
  <c r="AI119" i="5"/>
  <c r="AH109" i="5"/>
  <c r="AN157" i="5"/>
  <c r="AN48" i="5"/>
  <c r="AN142" i="5"/>
  <c r="AH305" i="5"/>
  <c r="AH177" i="5"/>
  <c r="AH97" i="5"/>
  <c r="AH441" i="5"/>
  <c r="AO551" i="5"/>
  <c r="AO335" i="5"/>
  <c r="AO354" i="5"/>
  <c r="AN442" i="5"/>
  <c r="AO492" i="5"/>
  <c r="AO128" i="5"/>
  <c r="AO159" i="5"/>
  <c r="AN302" i="5"/>
  <c r="AO82" i="5"/>
  <c r="AN32" i="5"/>
  <c r="AN259" i="5"/>
  <c r="AO282" i="5"/>
  <c r="AO481" i="5"/>
  <c r="AO31" i="5"/>
  <c r="AO458" i="5"/>
  <c r="AO287" i="5"/>
  <c r="AN325" i="5"/>
  <c r="AI161" i="5"/>
  <c r="AH396" i="5"/>
  <c r="AI105" i="5"/>
  <c r="AH116" i="5"/>
  <c r="AH397" i="5"/>
  <c r="AH89" i="5"/>
  <c r="AI395" i="5"/>
  <c r="AI166" i="5"/>
  <c r="AI509" i="5"/>
  <c r="AI527" i="5"/>
  <c r="AI65" i="5"/>
  <c r="AI62" i="5"/>
  <c r="AI176" i="5"/>
  <c r="AH504" i="5"/>
  <c r="AI99" i="5"/>
  <c r="AI84" i="5"/>
  <c r="AH110" i="5"/>
  <c r="AI515" i="5"/>
  <c r="AH526" i="5"/>
  <c r="AH184" i="5"/>
  <c r="AH167" i="5"/>
  <c r="AH444" i="5"/>
  <c r="AI30" i="5"/>
  <c r="AH480" i="5"/>
  <c r="AH323" i="5"/>
  <c r="AI140" i="5"/>
  <c r="AI513" i="5"/>
  <c r="AI199" i="5"/>
  <c r="AH155" i="5"/>
  <c r="AI8" i="5"/>
  <c r="AN39" i="5"/>
  <c r="AN162" i="5"/>
  <c r="AH213" i="5"/>
  <c r="AH308" i="5"/>
  <c r="AI534" i="5"/>
  <c r="AH519" i="5"/>
  <c r="AI537" i="5"/>
  <c r="AI39" i="5"/>
  <c r="AI363" i="5"/>
  <c r="AH98" i="5"/>
  <c r="AI484" i="5"/>
  <c r="AI163" i="5"/>
  <c r="AH549" i="5"/>
  <c r="AH393" i="5"/>
  <c r="AI168" i="5"/>
  <c r="AH64" i="5"/>
  <c r="AH343" i="5"/>
  <c r="AI197" i="5"/>
  <c r="AI94" i="5"/>
  <c r="AI77" i="5"/>
  <c r="AH440" i="5"/>
  <c r="AH59" i="5"/>
  <c r="AH328" i="5"/>
  <c r="AH216" i="5"/>
  <c r="AI137" i="5"/>
  <c r="AH334" i="5"/>
  <c r="AH66" i="5"/>
  <c r="AH23" i="5"/>
  <c r="AH194" i="5"/>
  <c r="AI22" i="5"/>
  <c r="AH183" i="5"/>
  <c r="AI196" i="5"/>
  <c r="AI249" i="5"/>
  <c r="AH422" i="5"/>
  <c r="AH530" i="5"/>
  <c r="AI507" i="5"/>
  <c r="AI335" i="5"/>
  <c r="AH352" i="5"/>
  <c r="AH107" i="5"/>
  <c r="AH47" i="5"/>
  <c r="AH486" i="5"/>
  <c r="AH144" i="5"/>
  <c r="AH31" i="5"/>
  <c r="AI310" i="5"/>
  <c r="AI68" i="5"/>
  <c r="AI124" i="5"/>
  <c r="AH257" i="5"/>
  <c r="AI510" i="5"/>
  <c r="AI244" i="5"/>
  <c r="AH461" i="5"/>
  <c r="AH19" i="5"/>
  <c r="AI415" i="5"/>
  <c r="AN296" i="5"/>
  <c r="AO284" i="5"/>
  <c r="AN449" i="5"/>
  <c r="AO520" i="5"/>
  <c r="AN40" i="5"/>
  <c r="AO174" i="5"/>
  <c r="AO87" i="5"/>
  <c r="AO85" i="5"/>
  <c r="AI330" i="5"/>
  <c r="AH354" i="5"/>
  <c r="AI438" i="5"/>
  <c r="AI247" i="5"/>
  <c r="AH282" i="5"/>
  <c r="AI41" i="5"/>
  <c r="AH127" i="5"/>
  <c r="AH173" i="5"/>
  <c r="AH358" i="5"/>
  <c r="AH211" i="5"/>
  <c r="AH321" i="5"/>
  <c r="AH205" i="5"/>
  <c r="AH347" i="5"/>
  <c r="AI50" i="5"/>
  <c r="AI322" i="5"/>
  <c r="AI448" i="5"/>
  <c r="AH517" i="5"/>
  <c r="AH341" i="5"/>
  <c r="AH339" i="5"/>
  <c r="AH289" i="5"/>
  <c r="AI445" i="5"/>
  <c r="AI248" i="5"/>
  <c r="AI450" i="5"/>
  <c r="AH130" i="5"/>
  <c r="AH246" i="5"/>
  <c r="V122" i="5"/>
  <c r="U277" i="5"/>
  <c r="V68" i="5"/>
  <c r="U178" i="5"/>
  <c r="AH48" i="5"/>
  <c r="AI296" i="5"/>
  <c r="AI141" i="5"/>
  <c r="AI320" i="5"/>
  <c r="AH302" i="5"/>
  <c r="AH297" i="5"/>
  <c r="AI100" i="5"/>
  <c r="AI318" i="5"/>
  <c r="AI25" i="5"/>
  <c r="AH344" i="5"/>
  <c r="AI54" i="5"/>
  <c r="AI79" i="5"/>
  <c r="AI265" i="5"/>
  <c r="AI460" i="5"/>
  <c r="AI286" i="5"/>
  <c r="AH83" i="5"/>
  <c r="AI132" i="5"/>
  <c r="AO328" i="5"/>
  <c r="AN130" i="5"/>
  <c r="AO538" i="5"/>
  <c r="AN306" i="5"/>
  <c r="AO360" i="5"/>
  <c r="AO66" i="5"/>
  <c r="AN265" i="5"/>
  <c r="AN547" i="5"/>
  <c r="AN251" i="5"/>
  <c r="AO457" i="5"/>
  <c r="AO169" i="5"/>
  <c r="AO404" i="5"/>
  <c r="AO261" i="5"/>
  <c r="AH362" i="5"/>
  <c r="AH200" i="5"/>
  <c r="AI487" i="5"/>
  <c r="AH316" i="5"/>
  <c r="AH33" i="5"/>
  <c r="AH276" i="5"/>
  <c r="AH353" i="5"/>
  <c r="AI429" i="5"/>
  <c r="AH406" i="5"/>
  <c r="AI306" i="5"/>
  <c r="AH490" i="5"/>
  <c r="AI226" i="5"/>
  <c r="AI456" i="5"/>
  <c r="AH501" i="5"/>
  <c r="AH108" i="5"/>
  <c r="AI273" i="5"/>
  <c r="AI20" i="5"/>
  <c r="AH426" i="5"/>
  <c r="AL379" i="5"/>
  <c r="AI170" i="5"/>
  <c r="AH546" i="5"/>
  <c r="AH193" i="5"/>
  <c r="AH27" i="5"/>
  <c r="AH498" i="5"/>
  <c r="AH419" i="5"/>
  <c r="AI427" i="5"/>
  <c r="AI274" i="5"/>
  <c r="AI169" i="5"/>
  <c r="AI90" i="5"/>
  <c r="AI151" i="5"/>
  <c r="AH417" i="5"/>
  <c r="AI259" i="5"/>
  <c r="AH372" i="5"/>
  <c r="AI49" i="5"/>
  <c r="AI303" i="5"/>
  <c r="AI102" i="5"/>
  <c r="AH442" i="5"/>
  <c r="AH400" i="5"/>
  <c r="AI178" i="5"/>
  <c r="AI82" i="5"/>
  <c r="AH491" i="5"/>
  <c r="AH260" i="5"/>
  <c r="AH473" i="5"/>
  <c r="AI34" i="5"/>
  <c r="AH217" i="5"/>
  <c r="AH326" i="5"/>
  <c r="AI288" i="5"/>
  <c r="AI278" i="5"/>
  <c r="AH142" i="5"/>
  <c r="AH365" i="5"/>
  <c r="AI542" i="5"/>
  <c r="AI410" i="5"/>
  <c r="AH376" i="5"/>
  <c r="AH228" i="5"/>
  <c r="AH174" i="5"/>
  <c r="AI336" i="5"/>
  <c r="AH345" i="5"/>
  <c r="AK187" i="5"/>
  <c r="AH225" i="5"/>
  <c r="AI508" i="5"/>
  <c r="AH266" i="5"/>
  <c r="AH377" i="5"/>
  <c r="AI264" i="5"/>
  <c r="AI294" i="5"/>
  <c r="AI36" i="5"/>
  <c r="AI203" i="5"/>
  <c r="AI35" i="5"/>
  <c r="AH470" i="5"/>
  <c r="AI210" i="5"/>
  <c r="AI382" i="5"/>
  <c r="AH214" i="5"/>
  <c r="AH465" i="5"/>
  <c r="AI531" i="5"/>
  <c r="AH384" i="5"/>
  <c r="AI29" i="5"/>
  <c r="AH451" i="5"/>
  <c r="AH547" i="5"/>
  <c r="AI357" i="5"/>
  <c r="AH280" i="5"/>
  <c r="AI72" i="5"/>
  <c r="AH425" i="5"/>
  <c r="AH28" i="5"/>
  <c r="AI180" i="5"/>
  <c r="AH317" i="5"/>
  <c r="AH474" i="5"/>
  <c r="AI554" i="5"/>
  <c r="AI385" i="5"/>
  <c r="AH235" i="5"/>
  <c r="AH366" i="5"/>
  <c r="AH76" i="5"/>
  <c r="AI391" i="5"/>
  <c r="AH209" i="5"/>
  <c r="AH159" i="5"/>
  <c r="AH232" i="5"/>
  <c r="AH71" i="5"/>
  <c r="AI88" i="5"/>
  <c r="AI511" i="5"/>
  <c r="AI103" i="5"/>
  <c r="AI160" i="5"/>
  <c r="AH449" i="5"/>
  <c r="AI253" i="5"/>
  <c r="AH361" i="5"/>
  <c r="AI63" i="5"/>
  <c r="AH489" i="5"/>
  <c r="AH236" i="5"/>
  <c r="AH157" i="5"/>
  <c r="AH544" i="5"/>
  <c r="AI252" i="5"/>
  <c r="AH114" i="5"/>
  <c r="AH529" i="5"/>
  <c r="AI198" i="5"/>
  <c r="AH408" i="5"/>
  <c r="AH373" i="5"/>
  <c r="AI550" i="5"/>
  <c r="AH434" i="5"/>
  <c r="AI189" i="5"/>
  <c r="AH285" i="5"/>
  <c r="AH424" i="5"/>
  <c r="AI220" i="5"/>
  <c r="AI60" i="5"/>
  <c r="AI437" i="5"/>
  <c r="AP187" i="5"/>
  <c r="AR187" i="5" s="1"/>
  <c r="AH539" i="5"/>
  <c r="AI525" i="5"/>
  <c r="AI392" i="5"/>
  <c r="AH557" i="5"/>
  <c r="AH359" i="5"/>
  <c r="AH250" i="5"/>
  <c r="AI556" i="5"/>
  <c r="AI383" i="5"/>
  <c r="AI126" i="5"/>
  <c r="AI478" i="5"/>
  <c r="AI125" i="5"/>
  <c r="AI204" i="5"/>
  <c r="AH536" i="5"/>
  <c r="AH402" i="5"/>
  <c r="AH351" i="5"/>
  <c r="AH315" i="5"/>
  <c r="AH346" i="5"/>
  <c r="AP234" i="5"/>
  <c r="AR234" i="5" s="1"/>
  <c r="AH154" i="5"/>
  <c r="AH234" i="5"/>
  <c r="AH46" i="5"/>
  <c r="AH201" i="5"/>
  <c r="AH32" i="5"/>
  <c r="AH268" i="5"/>
  <c r="AH133" i="5"/>
  <c r="AH87" i="5"/>
  <c r="AI428" i="5"/>
  <c r="AI38" i="5"/>
  <c r="AH381" i="5"/>
  <c r="AI482" i="5"/>
  <c r="AI545" i="5"/>
  <c r="AI227" i="5"/>
  <c r="AH443" i="5"/>
  <c r="AH411" i="5"/>
  <c r="AI92" i="5"/>
  <c r="AI496" i="5"/>
  <c r="AH412" i="5"/>
  <c r="AI553" i="5"/>
  <c r="AH164" i="5"/>
  <c r="AH371" i="5"/>
  <c r="AH500" i="5"/>
  <c r="AI271" i="5"/>
  <c r="AH271" i="5"/>
  <c r="AH367" i="5"/>
  <c r="AH207" i="5"/>
  <c r="AI207" i="5"/>
  <c r="AH514" i="5"/>
  <c r="AI475" i="5"/>
  <c r="AH475" i="5"/>
  <c r="AH538" i="5"/>
  <c r="AI279" i="5"/>
  <c r="AH61" i="5"/>
  <c r="AI61" i="5"/>
  <c r="AH414" i="5"/>
  <c r="AI414" i="5"/>
  <c r="AH314" i="5"/>
  <c r="AH143" i="5"/>
  <c r="AI230" i="5"/>
  <c r="AH230" i="5"/>
  <c r="AI44" i="5"/>
  <c r="AH309" i="5"/>
  <c r="AI311" i="5"/>
  <c r="AH311" i="5"/>
  <c r="AH457" i="5"/>
  <c r="AI139" i="5"/>
  <c r="AH243" i="5"/>
  <c r="AI468" i="5"/>
  <c r="AH433" i="5"/>
  <c r="AH215" i="5"/>
  <c r="AH212" i="5"/>
  <c r="AH523" i="5"/>
  <c r="AH494" i="5"/>
  <c r="AI269" i="5"/>
  <c r="AH224" i="5"/>
  <c r="AI224" i="5"/>
  <c r="AH421" i="5"/>
  <c r="AI254" i="5"/>
  <c r="AI481" i="5"/>
  <c r="AH481" i="5"/>
  <c r="AI292" i="5"/>
  <c r="AH292" i="5"/>
  <c r="AI307" i="5"/>
  <c r="AH374" i="5"/>
  <c r="AI497" i="5"/>
  <c r="AK307" i="5"/>
  <c r="AI172" i="5"/>
  <c r="AI67" i="5"/>
  <c r="AH70" i="5"/>
  <c r="AI521" i="5"/>
  <c r="AH469" i="5"/>
  <c r="AH540" i="5"/>
  <c r="AH162" i="5"/>
  <c r="AI555" i="5"/>
  <c r="AH293" i="5"/>
  <c r="AI293" i="5"/>
  <c r="AH106" i="5"/>
  <c r="AI117" i="5"/>
  <c r="AH115" i="5"/>
  <c r="AH407" i="5"/>
  <c r="AH462" i="5"/>
  <c r="AI413" i="5"/>
  <c r="AI453" i="5"/>
  <c r="AI503" i="5"/>
  <c r="AH390" i="5"/>
  <c r="AI112" i="5"/>
  <c r="AI401" i="5"/>
  <c r="AI86" i="5"/>
  <c r="AH185" i="5"/>
  <c r="AL283" i="5"/>
  <c r="AN42" i="5"/>
  <c r="AO243" i="5"/>
  <c r="AO89" i="5"/>
  <c r="AI298" i="5"/>
  <c r="AH298" i="5"/>
  <c r="AH251" i="5"/>
  <c r="AI251" i="5"/>
  <c r="AN220" i="5"/>
  <c r="AN546" i="5"/>
  <c r="AN189" i="5"/>
  <c r="AI272" i="5"/>
  <c r="AH272" i="5"/>
  <c r="AN249" i="5"/>
  <c r="AO283" i="5"/>
  <c r="AN472" i="5"/>
  <c r="AN139" i="5"/>
  <c r="AI275" i="5"/>
  <c r="AP510" i="5"/>
  <c r="AQ510" i="5" s="1"/>
  <c r="AO228" i="5"/>
  <c r="AN356" i="5"/>
  <c r="AN369" i="5"/>
  <c r="AH57" i="5"/>
  <c r="AI532" i="5"/>
  <c r="AI435" i="5"/>
  <c r="AH435" i="5"/>
  <c r="AN312" i="5"/>
  <c r="AP552" i="5"/>
  <c r="AR552" i="5" s="1"/>
  <c r="AO527" i="5"/>
  <c r="AH277" i="5"/>
  <c r="AN285" i="5"/>
  <c r="AN92" i="5"/>
  <c r="AH446" i="5"/>
  <c r="AN176" i="5"/>
  <c r="AP270" i="5"/>
  <c r="AQ270" i="5" s="1"/>
  <c r="AO274" i="5"/>
  <c r="AO260" i="5"/>
  <c r="AP176" i="5"/>
  <c r="AQ176" i="5" s="1"/>
  <c r="AN27" i="5"/>
  <c r="AP356" i="5"/>
  <c r="AR356" i="5" s="1"/>
  <c r="AN131" i="5"/>
  <c r="AP465" i="5"/>
  <c r="AQ465" i="5" s="1"/>
  <c r="AP109" i="5"/>
  <c r="AR109" i="5" s="1"/>
  <c r="AN474" i="5"/>
  <c r="AO167" i="5"/>
  <c r="AN103" i="5"/>
  <c r="AK539" i="5"/>
  <c r="AG12" i="5"/>
  <c r="AN47" i="5"/>
  <c r="AN219" i="5"/>
  <c r="AO343" i="5"/>
  <c r="AN194" i="5"/>
  <c r="AO372" i="5"/>
  <c r="AO430" i="5"/>
  <c r="AN512" i="5"/>
  <c r="AN370" i="5"/>
  <c r="AO172" i="5"/>
  <c r="AN445" i="5"/>
  <c r="AN533" i="5"/>
  <c r="AO422" i="5"/>
  <c r="AK273" i="5"/>
  <c r="AO278" i="5"/>
  <c r="AO301" i="5"/>
  <c r="AN231" i="5"/>
  <c r="AN530" i="5"/>
  <c r="AN270" i="5"/>
  <c r="AO334" i="5"/>
  <c r="AN222" i="5"/>
  <c r="AO536" i="5"/>
  <c r="AP283" i="5"/>
  <c r="AQ283" i="5" s="1"/>
  <c r="AO238" i="5"/>
  <c r="AP147" i="5"/>
  <c r="AR147" i="5" s="1"/>
  <c r="AN109" i="5"/>
  <c r="AK483" i="5"/>
  <c r="AP394" i="5"/>
  <c r="AQ394" i="5" s="1"/>
  <c r="AO495" i="5"/>
  <c r="AO147" i="5"/>
  <c r="AP516" i="5"/>
  <c r="AQ516" i="5" s="1"/>
  <c r="AN459" i="5"/>
  <c r="AN455" i="5"/>
  <c r="AN338" i="5"/>
  <c r="AO294" i="5"/>
  <c r="AO505" i="5"/>
  <c r="AO514" i="5"/>
  <c r="AP51" i="5"/>
  <c r="AQ51" i="5" s="1"/>
  <c r="AO113" i="5"/>
  <c r="AO488" i="5"/>
  <c r="AN355" i="5"/>
  <c r="AN68" i="5"/>
  <c r="AL465" i="5"/>
  <c r="AL51" i="5"/>
  <c r="AO326" i="5"/>
  <c r="AO164" i="5"/>
  <c r="AN211" i="5"/>
  <c r="AN112" i="5"/>
  <c r="AL147" i="5"/>
  <c r="AO173" i="5"/>
  <c r="AP129" i="5"/>
  <c r="AR129" i="5" s="1"/>
  <c r="AP222" i="5"/>
  <c r="AQ222" i="5" s="1"/>
  <c r="AP539" i="5"/>
  <c r="AQ539" i="5" s="1"/>
  <c r="AO446" i="5"/>
  <c r="AN160" i="5"/>
  <c r="AO477" i="5"/>
  <c r="AN129" i="5"/>
  <c r="AP386" i="5"/>
  <c r="AR386" i="5" s="1"/>
  <c r="AP437" i="5"/>
  <c r="AQ437" i="5" s="1"/>
  <c r="AN233" i="5"/>
  <c r="AN385" i="5"/>
  <c r="AO127" i="5"/>
  <c r="AO141" i="5"/>
  <c r="AN421" i="5"/>
  <c r="AK153" i="5"/>
  <c r="AO168" i="5"/>
  <c r="AO96" i="5"/>
  <c r="AP382" i="5"/>
  <c r="AR382" i="5" s="1"/>
  <c r="AP540" i="5"/>
  <c r="AR540" i="5" s="1"/>
  <c r="AO186" i="5"/>
  <c r="AN560" i="5"/>
  <c r="AN532" i="5"/>
  <c r="AN497" i="5"/>
  <c r="AN276" i="5"/>
  <c r="AO97" i="5"/>
  <c r="AM12" i="5"/>
  <c r="AN12" i="5" s="1"/>
  <c r="AO438" i="5"/>
  <c r="AP379" i="5"/>
  <c r="AR379" i="5" s="1"/>
  <c r="AO324" i="5"/>
  <c r="AN43" i="5"/>
  <c r="AN493" i="5"/>
  <c r="AN556" i="5"/>
  <c r="AN289" i="5"/>
  <c r="AO521" i="5"/>
  <c r="T12" i="5"/>
  <c r="U12" i="5" s="1"/>
  <c r="AN137" i="5"/>
  <c r="AN434" i="5"/>
  <c r="AL521" i="5"/>
  <c r="AP141" i="5"/>
  <c r="AQ141" i="5" s="1"/>
  <c r="AN286" i="5"/>
  <c r="AO528" i="5"/>
  <c r="AN554" i="5"/>
  <c r="AN28" i="5"/>
  <c r="AN198" i="5"/>
  <c r="AN232" i="5"/>
  <c r="AO210" i="5"/>
  <c r="AO80" i="5"/>
  <c r="AJ12" i="5"/>
  <c r="AK12" i="5" s="1"/>
  <c r="Q12" i="5"/>
  <c r="S12" i="5" s="1"/>
  <c r="AN62" i="5"/>
  <c r="AN25" i="5"/>
  <c r="AP307" i="5"/>
  <c r="AR307" i="5" s="1"/>
  <c r="AN207" i="5"/>
  <c r="AN454" i="5"/>
  <c r="AO299" i="5"/>
  <c r="AL169" i="5"/>
  <c r="AO155" i="5"/>
  <c r="AN352" i="5"/>
  <c r="AN475" i="5"/>
  <c r="AP383" i="5"/>
  <c r="AQ383" i="5" s="1"/>
  <c r="AO413" i="5"/>
  <c r="AN8" i="5"/>
  <c r="AO390" i="5"/>
  <c r="AN204" i="5"/>
  <c r="AP43" i="5"/>
  <c r="AR43" i="5" s="1"/>
  <c r="AN53" i="5"/>
  <c r="AN192" i="5"/>
  <c r="AO83" i="5"/>
  <c r="AO197" i="5"/>
  <c r="AN526" i="5"/>
  <c r="AO383" i="5"/>
  <c r="AO518" i="5"/>
  <c r="AO262" i="5"/>
  <c r="AO436" i="5"/>
  <c r="AN72" i="5"/>
  <c r="AN389" i="5"/>
  <c r="AP202" i="5"/>
  <c r="AQ202" i="5" s="1"/>
  <c r="AO322" i="5"/>
  <c r="AN135" i="5"/>
  <c r="AP133" i="5"/>
  <c r="AQ133" i="5" s="1"/>
  <c r="AK43" i="5"/>
  <c r="AN98" i="5"/>
  <c r="AP521" i="5"/>
  <c r="AQ521" i="5" s="1"/>
  <c r="AP192" i="5"/>
  <c r="AR192" i="5" s="1"/>
  <c r="AO484" i="5"/>
  <c r="AP26" i="5"/>
  <c r="AR26" i="5" s="1"/>
  <c r="AO419" i="5"/>
  <c r="AN380" i="5"/>
  <c r="AO340" i="5"/>
  <c r="AN224" i="5"/>
  <c r="AN311" i="5"/>
  <c r="AN418" i="5"/>
  <c r="AO175" i="5"/>
  <c r="AN304" i="5"/>
  <c r="AN318" i="5"/>
  <c r="AO29" i="5"/>
  <c r="AN223" i="5"/>
  <c r="AN163" i="5"/>
  <c r="AP548" i="5"/>
  <c r="AR548" i="5" s="1"/>
  <c r="AO110" i="5"/>
  <c r="AO38" i="5"/>
  <c r="AO205" i="5"/>
  <c r="AP169" i="5"/>
  <c r="AR169" i="5" s="1"/>
  <c r="AO79" i="5"/>
  <c r="AN506" i="5"/>
  <c r="AO549" i="5"/>
  <c r="AO473" i="5"/>
  <c r="AO263" i="5"/>
  <c r="AN152" i="5"/>
  <c r="AN347" i="5"/>
  <c r="AN200" i="5"/>
  <c r="AP148" i="5"/>
  <c r="AQ148" i="5" s="1"/>
  <c r="AP313" i="5"/>
  <c r="AQ313" i="5" s="1"/>
  <c r="AN388" i="5"/>
  <c r="AO463" i="5"/>
  <c r="AN136" i="5"/>
  <c r="AN195" i="5"/>
  <c r="AP227" i="5"/>
  <c r="AR227" i="5" s="1"/>
  <c r="AO23" i="5"/>
  <c r="AN111" i="5"/>
  <c r="AO70" i="5"/>
  <c r="AO33" i="5"/>
  <c r="AN221" i="5"/>
  <c r="AP281" i="5"/>
  <c r="AQ281" i="5" s="1"/>
  <c r="AO256" i="5"/>
  <c r="AO293" i="5"/>
  <c r="AO118" i="5"/>
  <c r="U85" i="4"/>
  <c r="AH85" i="4" s="1"/>
  <c r="V85" i="4"/>
  <c r="AM85" i="4" s="1"/>
  <c r="AN85" i="4" s="1"/>
  <c r="AS85" i="4"/>
  <c r="U11" i="4"/>
  <c r="V44" i="4"/>
  <c r="AM44" i="4" s="1"/>
  <c r="AN44" i="4" s="1"/>
  <c r="V78" i="4"/>
  <c r="AS78" i="4"/>
  <c r="V42" i="4"/>
  <c r="AS44" i="4"/>
  <c r="AS108" i="4"/>
  <c r="U27" i="4"/>
  <c r="AH27" i="4" s="1"/>
  <c r="AS148" i="4"/>
  <c r="AS27" i="4"/>
  <c r="U78" i="4"/>
  <c r="AH78" i="4" s="1"/>
  <c r="V27" i="4"/>
  <c r="AM27" i="4" s="1"/>
  <c r="AN27" i="4" s="1"/>
  <c r="AS122" i="4"/>
  <c r="AS99" i="4"/>
  <c r="V99" i="4"/>
  <c r="AM99" i="4" s="1"/>
  <c r="AN99" i="4" s="1"/>
  <c r="V45" i="4"/>
  <c r="W45" i="4" s="1"/>
  <c r="AS45" i="4"/>
  <c r="U82" i="4"/>
  <c r="AH82" i="4" s="1"/>
  <c r="AS82" i="4"/>
  <c r="AS86" i="4"/>
  <c r="V82" i="4"/>
  <c r="AM82" i="4" s="1"/>
  <c r="AN82" i="4" s="1"/>
  <c r="U80" i="4"/>
  <c r="AH80" i="4" s="1"/>
  <c r="U47" i="4"/>
  <c r="AH47" i="4" s="1"/>
  <c r="V122" i="4"/>
  <c r="W122" i="4" s="1"/>
  <c r="Y122" i="4" s="1"/>
  <c r="AS80" i="4"/>
  <c r="V136" i="4"/>
  <c r="AM136" i="4" s="1"/>
  <c r="AN136" i="4" s="1"/>
  <c r="V80" i="4"/>
  <c r="AS128" i="4"/>
  <c r="V28" i="4"/>
  <c r="AM28" i="4" s="1"/>
  <c r="AN28" i="4" s="1"/>
  <c r="U131" i="4"/>
  <c r="U28" i="4"/>
  <c r="AH28" i="4" s="1"/>
  <c r="V103" i="4"/>
  <c r="AM103" i="4" s="1"/>
  <c r="AN103" i="4" s="1"/>
  <c r="V150" i="4"/>
  <c r="AM150" i="4" s="1"/>
  <c r="AN150" i="4" s="1"/>
  <c r="AS136" i="4"/>
  <c r="V87" i="4"/>
  <c r="W87" i="4" s="1"/>
  <c r="Y87" i="4" s="1"/>
  <c r="AS30" i="4"/>
  <c r="V131" i="4"/>
  <c r="W131" i="4" s="1"/>
  <c r="Y131" i="4" s="1"/>
  <c r="AS28" i="4"/>
  <c r="U152" i="4"/>
  <c r="AH152" i="4" s="1"/>
  <c r="U103" i="4"/>
  <c r="AH103" i="4" s="1"/>
  <c r="AS150" i="4"/>
  <c r="V54" i="4"/>
  <c r="AM54" i="4" s="1"/>
  <c r="AN54" i="4" s="1"/>
  <c r="AS54" i="4"/>
  <c r="U54" i="4"/>
  <c r="AH54" i="4" s="1"/>
  <c r="U45" i="4"/>
  <c r="AH45" i="4" s="1"/>
  <c r="U136" i="4"/>
  <c r="AH136" i="4" s="1"/>
  <c r="U122" i="4"/>
  <c r="AH122" i="4" s="1"/>
  <c r="U99" i="4"/>
  <c r="AH99" i="4" s="1"/>
  <c r="AS24" i="4"/>
  <c r="V108" i="4"/>
  <c r="U108" i="4"/>
  <c r="U120" i="4"/>
  <c r="AH120" i="4" s="1"/>
  <c r="U72" i="4"/>
  <c r="AH72" i="4" s="1"/>
  <c r="U26" i="4"/>
  <c r="AS16" i="4"/>
  <c r="AS117" i="4"/>
  <c r="AS134" i="4"/>
  <c r="AS66" i="4"/>
  <c r="AS113" i="4"/>
  <c r="V113" i="4"/>
  <c r="AM113" i="4" s="1"/>
  <c r="AN113" i="4" s="1"/>
  <c r="U51" i="4"/>
  <c r="AH51" i="4" s="1"/>
  <c r="AS51" i="4"/>
  <c r="AS68" i="4"/>
  <c r="U90" i="4"/>
  <c r="AH90" i="4" s="1"/>
  <c r="V71" i="4"/>
  <c r="W71" i="4" s="1"/>
  <c r="Y71" i="4" s="1"/>
  <c r="U113" i="4"/>
  <c r="AH113" i="4" s="1"/>
  <c r="U83" i="4"/>
  <c r="AH83" i="4" s="1"/>
  <c r="V32" i="4"/>
  <c r="AM32" i="4" s="1"/>
  <c r="AN32" i="4" s="1"/>
  <c r="AS64" i="4"/>
  <c r="AS50" i="4"/>
  <c r="AS127" i="4"/>
  <c r="U50" i="4"/>
  <c r="AH50" i="4" s="1"/>
  <c r="U126" i="4"/>
  <c r="V98" i="4"/>
  <c r="W98" i="4" s="1"/>
  <c r="Y98" i="4" s="1"/>
  <c r="V51" i="4"/>
  <c r="W51" i="4" s="1"/>
  <c r="Y51" i="4" s="1"/>
  <c r="V68" i="4"/>
  <c r="AM68" i="4" s="1"/>
  <c r="AN68" i="4" s="1"/>
  <c r="V50" i="4"/>
  <c r="W50" i="4" s="1"/>
  <c r="Y50" i="4" s="1"/>
  <c r="V90" i="4"/>
  <c r="AM90" i="4" s="1"/>
  <c r="AN90" i="4" s="1"/>
  <c r="U32" i="4"/>
  <c r="AH32" i="4" s="1"/>
  <c r="AS90" i="4"/>
  <c r="AS32" i="4"/>
  <c r="V64" i="4"/>
  <c r="AM64" i="4" s="1"/>
  <c r="AN64" i="4" s="1"/>
  <c r="V147" i="4"/>
  <c r="AM147" i="4" s="1"/>
  <c r="AN147" i="4" s="1"/>
  <c r="U119" i="4"/>
  <c r="AH119" i="4" s="1"/>
  <c r="AS41" i="4"/>
  <c r="V36" i="4"/>
  <c r="W36" i="4" s="1"/>
  <c r="Y36" i="4" s="1"/>
  <c r="Z36" i="4" s="1"/>
  <c r="AF36" i="4" s="1"/>
  <c r="AS23" i="4"/>
  <c r="V114" i="4"/>
  <c r="AM114" i="4" s="1"/>
  <c r="AN114" i="4" s="1"/>
  <c r="AS147" i="4"/>
  <c r="V88" i="4"/>
  <c r="AM88" i="4" s="1"/>
  <c r="AN88" i="4" s="1"/>
  <c r="U60" i="4"/>
  <c r="AH60" i="4" s="1"/>
  <c r="U69" i="4"/>
  <c r="AH69" i="4" s="1"/>
  <c r="U114" i="4"/>
  <c r="AH114" i="4" s="1"/>
  <c r="AS114" i="4"/>
  <c r="V156" i="4"/>
  <c r="AM156" i="4" s="1"/>
  <c r="AN156" i="4" s="1"/>
  <c r="AS88" i="4"/>
  <c r="AS53" i="4"/>
  <c r="U19" i="4"/>
  <c r="U88" i="4"/>
  <c r="AH88" i="4" s="1"/>
  <c r="U53" i="4"/>
  <c r="AH53" i="4" s="1"/>
  <c r="AS19" i="4"/>
  <c r="U112" i="4"/>
  <c r="AH112" i="4" s="1"/>
  <c r="V69" i="4"/>
  <c r="AM69" i="4" s="1"/>
  <c r="AN69" i="4" s="1"/>
  <c r="V19" i="4"/>
  <c r="AM19" i="4" s="1"/>
  <c r="AN19" i="4" s="1"/>
  <c r="AS102" i="4"/>
  <c r="AS89" i="4"/>
  <c r="V112" i="4"/>
  <c r="AM112" i="4" s="1"/>
  <c r="AN112" i="4" s="1"/>
  <c r="AS144" i="4"/>
  <c r="V137" i="4"/>
  <c r="AM137" i="4" s="1"/>
  <c r="AN137" i="4" s="1"/>
  <c r="AS91" i="4"/>
  <c r="AS40" i="4"/>
  <c r="V89" i="4"/>
  <c r="AM89" i="4" s="1"/>
  <c r="AN89" i="4" s="1"/>
  <c r="U137" i="4"/>
  <c r="AH137" i="4" s="1"/>
  <c r="V23" i="4"/>
  <c r="W23" i="4" s="1"/>
  <c r="U89" i="4"/>
  <c r="AH89" i="4" s="1"/>
  <c r="V119" i="4"/>
  <c r="AM119" i="4" s="1"/>
  <c r="AN119" i="4" s="1"/>
  <c r="V41" i="4"/>
  <c r="AM41" i="4" s="1"/>
  <c r="AN41" i="4" s="1"/>
  <c r="AS36" i="4"/>
  <c r="U23" i="4"/>
  <c r="AH23" i="4" s="1"/>
  <c r="V143" i="4"/>
  <c r="AM143" i="4" s="1"/>
  <c r="V40" i="4"/>
  <c r="AM40" i="4" s="1"/>
  <c r="AN40" i="4" s="1"/>
  <c r="U147" i="4"/>
  <c r="AH147" i="4" s="1"/>
  <c r="U40" i="4"/>
  <c r="AH40" i="4" s="1"/>
  <c r="AH206" i="5"/>
  <c r="AI206" i="5"/>
  <c r="AI479" i="5"/>
  <c r="AH479" i="5"/>
  <c r="AH471" i="5"/>
  <c r="AI471" i="5"/>
  <c r="S526" i="5"/>
  <c r="AO209" i="5"/>
  <c r="AN462" i="5"/>
  <c r="AP371" i="5"/>
  <c r="AQ371" i="5" s="1"/>
  <c r="AN240" i="5"/>
  <c r="V219" i="5"/>
  <c r="AN467" i="5"/>
  <c r="AS126" i="4"/>
  <c r="U38" i="4"/>
  <c r="AH38" i="4" s="1"/>
  <c r="V102" i="4"/>
  <c r="W102" i="4" s="1"/>
  <c r="Y102" i="4" s="1"/>
  <c r="AO58" i="5"/>
  <c r="AN61" i="5"/>
  <c r="U77" i="5"/>
  <c r="AO132" i="5"/>
  <c r="AO114" i="5"/>
  <c r="AO106" i="5"/>
  <c r="V49" i="4"/>
  <c r="AM49" i="4" s="1"/>
  <c r="AN49" i="4" s="1"/>
  <c r="V47" i="4"/>
  <c r="AM47" i="4" s="1"/>
  <c r="AN47" i="4" s="1"/>
  <c r="AO433" i="5"/>
  <c r="U71" i="4"/>
  <c r="AH71" i="4" s="1"/>
  <c r="V91" i="4"/>
  <c r="AM91" i="4" s="1"/>
  <c r="AN91" i="4" s="1"/>
  <c r="V127" i="4"/>
  <c r="AM127" i="4" s="1"/>
  <c r="AN127" i="4" s="1"/>
  <c r="AS38" i="4"/>
  <c r="U141" i="4"/>
  <c r="AH141" i="4" s="1"/>
  <c r="U73" i="4"/>
  <c r="AH73" i="4" s="1"/>
  <c r="V29" i="4"/>
  <c r="W29" i="4" s="1"/>
  <c r="Y29" i="4" s="1"/>
  <c r="AL371" i="5"/>
  <c r="AN81" i="5"/>
  <c r="AS97" i="4"/>
  <c r="U49" i="4"/>
  <c r="AH49" i="4" s="1"/>
  <c r="U86" i="5"/>
  <c r="AS47" i="4"/>
  <c r="AS71" i="4"/>
  <c r="AS111" i="4"/>
  <c r="U70" i="4"/>
  <c r="AH70" i="4" s="1"/>
  <c r="U127" i="4"/>
  <c r="AH127" i="4" s="1"/>
  <c r="V38" i="4"/>
  <c r="AM38" i="4" s="1"/>
  <c r="AN38" i="4" s="1"/>
  <c r="V136" i="5"/>
  <c r="AO491" i="5"/>
  <c r="AS11" i="4"/>
  <c r="V182" i="5"/>
  <c r="U29" i="4"/>
  <c r="AH29" i="4" s="1"/>
  <c r="AO24" i="5"/>
  <c r="AN384" i="5"/>
  <c r="AN444" i="5"/>
  <c r="AO447" i="5"/>
  <c r="AS49" i="4"/>
  <c r="V116" i="4"/>
  <c r="W116" i="4" s="1"/>
  <c r="V111" i="4"/>
  <c r="AM111" i="4" s="1"/>
  <c r="AN111" i="4" s="1"/>
  <c r="AN140" i="5"/>
  <c r="U100" i="4"/>
  <c r="AH100" i="4" s="1"/>
  <c r="AN267" i="5"/>
  <c r="AO555" i="5"/>
  <c r="V18" i="4"/>
  <c r="AM18" i="4" s="1"/>
  <c r="AN18" i="4" s="1"/>
  <c r="V97" i="4"/>
  <c r="W97" i="4" s="1"/>
  <c r="Y97" i="4" s="1"/>
  <c r="AS29" i="4"/>
  <c r="AO550" i="5"/>
  <c r="AP166" i="5"/>
  <c r="AR166" i="5" s="1"/>
  <c r="AP65" i="5"/>
  <c r="AQ65" i="5" s="1"/>
  <c r="U55" i="4"/>
  <c r="AH55" i="4" s="1"/>
  <c r="AN396" i="5"/>
  <c r="U97" i="4"/>
  <c r="AH97" i="4" s="1"/>
  <c r="V167" i="5"/>
  <c r="AN412" i="5"/>
  <c r="AO450" i="5"/>
  <c r="U116" i="4"/>
  <c r="AH116" i="4" s="1"/>
  <c r="U30" i="4"/>
  <c r="AH30" i="4" s="1"/>
  <c r="U111" i="4"/>
  <c r="AH111" i="4" s="1"/>
  <c r="AS100" i="4"/>
  <c r="AO504" i="5"/>
  <c r="AN65" i="5"/>
  <c r="AO49" i="5"/>
  <c r="AN557" i="5"/>
  <c r="Y365" i="5"/>
  <c r="U76" i="4"/>
  <c r="AH76" i="4" s="1"/>
  <c r="AP491" i="5"/>
  <c r="AR491" i="5" s="1"/>
  <c r="AS55" i="4"/>
  <c r="AO116" i="5"/>
  <c r="V103" i="5"/>
  <c r="AS60" i="4"/>
  <c r="AN397" i="5"/>
  <c r="AS116" i="4"/>
  <c r="V86" i="4"/>
  <c r="AM86" i="4" s="1"/>
  <c r="AN86" i="4" s="1"/>
  <c r="V100" i="4"/>
  <c r="AM100" i="4" s="1"/>
  <c r="AN100" i="4" s="1"/>
  <c r="AS70" i="4"/>
  <c r="U10" i="4"/>
  <c r="AH10" i="4" s="1"/>
  <c r="AS76" i="4"/>
  <c r="V55" i="4"/>
  <c r="AM55" i="4" s="1"/>
  <c r="AN55" i="4" s="1"/>
  <c r="V11" i="4"/>
  <c r="AM11" i="4" s="1"/>
  <c r="AN11" i="4" s="1"/>
  <c r="V60" i="4"/>
  <c r="AM60" i="4" s="1"/>
  <c r="AN60" i="4" s="1"/>
  <c r="U68" i="4"/>
  <c r="AH68" i="4" s="1"/>
  <c r="V126" i="4"/>
  <c r="W126" i="4" s="1"/>
  <c r="X126" i="4" s="1"/>
  <c r="U86" i="4"/>
  <c r="V30" i="4"/>
  <c r="AM30" i="4" s="1"/>
  <c r="AN30" i="4" s="1"/>
  <c r="V70" i="4"/>
  <c r="W70" i="4" s="1"/>
  <c r="Y70" i="4" s="1"/>
  <c r="U102" i="4"/>
  <c r="AH102" i="4" s="1"/>
  <c r="AO225" i="5"/>
  <c r="AP273" i="5"/>
  <c r="AR273" i="5" s="1"/>
  <c r="V23" i="5"/>
  <c r="AS25" i="4"/>
  <c r="V104" i="5"/>
  <c r="AO432" i="5"/>
  <c r="U48" i="4"/>
  <c r="AH48" i="4" s="1"/>
  <c r="AO252" i="5"/>
  <c r="AO264" i="5"/>
  <c r="V106" i="4"/>
  <c r="AM106" i="4" s="1"/>
  <c r="AN106" i="4" s="1"/>
  <c r="V46" i="5"/>
  <c r="AN199" i="5"/>
  <c r="AO56" i="5"/>
  <c r="AN406" i="5"/>
  <c r="AS52" i="4"/>
  <c r="AO212" i="5"/>
  <c r="AO88" i="5"/>
  <c r="V146" i="4"/>
  <c r="AM146" i="4" s="1"/>
  <c r="AN146" i="4" s="1"/>
  <c r="AP25" i="5"/>
  <c r="AQ25" i="5" s="1"/>
  <c r="AP287" i="5"/>
  <c r="AR287" i="5" s="1"/>
  <c r="AP410" i="5"/>
  <c r="AR410" i="5" s="1"/>
  <c r="AP135" i="5"/>
  <c r="AR135" i="5" s="1"/>
  <c r="AP380" i="5"/>
  <c r="AQ380" i="5" s="1"/>
  <c r="AP153" i="5"/>
  <c r="AQ153" i="5" s="1"/>
  <c r="AS48" i="4"/>
  <c r="U106" i="4"/>
  <c r="AH106" i="4" s="1"/>
  <c r="AS31" i="4"/>
  <c r="AO371" i="5"/>
  <c r="AN363" i="5"/>
  <c r="AP225" i="5"/>
  <c r="AQ225" i="5" s="1"/>
  <c r="AO239" i="5"/>
  <c r="AN420" i="5"/>
  <c r="V60" i="5"/>
  <c r="V48" i="5"/>
  <c r="V147" i="5"/>
  <c r="V75" i="4"/>
  <c r="AM75" i="4" s="1"/>
  <c r="AN75" i="4" s="1"/>
  <c r="U95" i="4"/>
  <c r="AH95" i="4" s="1"/>
  <c r="AS146" i="4"/>
  <c r="AP105" i="5"/>
  <c r="AQ105" i="5" s="1"/>
  <c r="V234" i="5"/>
  <c r="AP214" i="5"/>
  <c r="AQ214" i="5" s="1"/>
  <c r="AP527" i="5"/>
  <c r="AQ527" i="5" s="1"/>
  <c r="AP199" i="5"/>
  <c r="AR199" i="5" s="1"/>
  <c r="AP250" i="5"/>
  <c r="AR250" i="5" s="1"/>
  <c r="AS110" i="4"/>
  <c r="U75" i="4"/>
  <c r="AH75" i="4" s="1"/>
  <c r="AS95" i="4"/>
  <c r="AO415" i="5"/>
  <c r="AN415" i="5"/>
  <c r="V74" i="4"/>
  <c r="AM74" i="4" s="1"/>
  <c r="AN74" i="4" s="1"/>
  <c r="U25" i="4"/>
  <c r="AH25" i="4" s="1"/>
  <c r="V110" i="4"/>
  <c r="W110" i="4" s="1"/>
  <c r="Y110" i="4" s="1"/>
  <c r="AL225" i="5"/>
  <c r="AO451" i="5"/>
  <c r="AN451" i="5"/>
  <c r="AS7" i="4"/>
  <c r="V118" i="4"/>
  <c r="AM118" i="4" s="1"/>
  <c r="AO331" i="5"/>
  <c r="AN331" i="5"/>
  <c r="AI388" i="5"/>
  <c r="AH388" i="5"/>
  <c r="AH331" i="5"/>
  <c r="AI331" i="5"/>
  <c r="AH52" i="5"/>
  <c r="AI52" i="5"/>
  <c r="AH263" i="5"/>
  <c r="AI263" i="5"/>
  <c r="AN51" i="5"/>
  <c r="AO51" i="5"/>
  <c r="AP556" i="5"/>
  <c r="AQ556" i="5" s="1"/>
  <c r="AP58" i="5"/>
  <c r="AR58" i="5" s="1"/>
  <c r="AP175" i="5"/>
  <c r="AQ175" i="5" s="1"/>
  <c r="AP130" i="5"/>
  <c r="AR130" i="5" s="1"/>
  <c r="V25" i="4"/>
  <c r="AM25" i="4" s="1"/>
  <c r="AN25" i="4" s="1"/>
  <c r="U257" i="5"/>
  <c r="AS75" i="4"/>
  <c r="V63" i="4"/>
  <c r="AM63" i="4" s="1"/>
  <c r="AN63" i="4" s="1"/>
  <c r="S480" i="5"/>
  <c r="V35" i="4"/>
  <c r="AM35" i="4" s="1"/>
  <c r="AN35" i="4" s="1"/>
  <c r="V76" i="4"/>
  <c r="AM76" i="4" s="1"/>
  <c r="AN76" i="4" s="1"/>
  <c r="AI399" i="5"/>
  <c r="AH399" i="5"/>
  <c r="AH329" i="5"/>
  <c r="AI329" i="5"/>
  <c r="AO499" i="5"/>
  <c r="AN499" i="5"/>
  <c r="AP333" i="5"/>
  <c r="AR333" i="5" s="1"/>
  <c r="U63" i="4"/>
  <c r="AH63" i="4" s="1"/>
  <c r="AS35" i="4"/>
  <c r="V9" i="4"/>
  <c r="AM9" i="4" s="1"/>
  <c r="AN9" i="4" s="1"/>
  <c r="AI369" i="5"/>
  <c r="AH369" i="5"/>
  <c r="AI241" i="5"/>
  <c r="AH241" i="5"/>
  <c r="AH431" i="5"/>
  <c r="AI431" i="5"/>
  <c r="AN427" i="5"/>
  <c r="AO427" i="5"/>
  <c r="AN539" i="5"/>
  <c r="AO539" i="5"/>
  <c r="AP354" i="5"/>
  <c r="AQ354" i="5" s="1"/>
  <c r="AP450" i="5"/>
  <c r="AQ450" i="5" s="1"/>
  <c r="AP324" i="5"/>
  <c r="AR324" i="5" s="1"/>
  <c r="U35" i="4"/>
  <c r="AH35" i="4" s="1"/>
  <c r="AS63" i="4"/>
  <c r="U12" i="4"/>
  <c r="AH12" i="4" s="1"/>
  <c r="U9" i="4"/>
  <c r="AH9" i="4" s="1"/>
  <c r="AO305" i="5"/>
  <c r="AH53" i="5"/>
  <c r="AI53" i="5"/>
  <c r="AI95" i="5"/>
  <c r="AH95" i="5"/>
  <c r="AI191" i="5"/>
  <c r="AH191" i="5"/>
  <c r="AN73" i="5"/>
  <c r="AO73" i="5"/>
  <c r="AP432" i="5"/>
  <c r="AQ432" i="5" s="1"/>
  <c r="AP69" i="5"/>
  <c r="AQ69" i="5" s="1"/>
  <c r="AP390" i="5"/>
  <c r="AR390" i="5" s="1"/>
  <c r="AP178" i="5"/>
  <c r="AR178" i="5" s="1"/>
  <c r="AP355" i="5"/>
  <c r="AR355" i="5" s="1"/>
  <c r="AP217" i="5"/>
  <c r="AQ217" i="5" s="1"/>
  <c r="AP290" i="5"/>
  <c r="AQ290" i="5" s="1"/>
  <c r="AP365" i="5"/>
  <c r="AQ365" i="5" s="1"/>
  <c r="AP396" i="5"/>
  <c r="AR396" i="5" s="1"/>
  <c r="AP314" i="5"/>
  <c r="AQ314" i="5" s="1"/>
  <c r="AP301" i="5"/>
  <c r="AR301" i="5" s="1"/>
  <c r="AP528" i="5"/>
  <c r="AR528" i="5" s="1"/>
  <c r="AP173" i="5"/>
  <c r="AR173" i="5" s="1"/>
  <c r="U74" i="4"/>
  <c r="AH74" i="4" s="1"/>
  <c r="AS106" i="4"/>
  <c r="V31" i="4"/>
  <c r="AM31" i="4" s="1"/>
  <c r="AN31" i="4" s="1"/>
  <c r="U110" i="4"/>
  <c r="AH110" i="4" s="1"/>
  <c r="AP348" i="5"/>
  <c r="AQ348" i="5" s="1"/>
  <c r="AP387" i="5"/>
  <c r="AR387" i="5" s="1"/>
  <c r="AK105" i="5"/>
  <c r="V123" i="4"/>
  <c r="AM123" i="4" s="1"/>
  <c r="AN123" i="4" s="1"/>
  <c r="R554" i="5"/>
  <c r="AS12" i="4"/>
  <c r="AS9" i="4"/>
  <c r="U84" i="4"/>
  <c r="AH84" i="4" s="1"/>
  <c r="AI543" i="5"/>
  <c r="AH543" i="5"/>
  <c r="AH150" i="5"/>
  <c r="AI150" i="5"/>
  <c r="AI43" i="5"/>
  <c r="AH43" i="5"/>
  <c r="AN313" i="5"/>
  <c r="AO313" i="5"/>
  <c r="AO108" i="5"/>
  <c r="AN108" i="5"/>
  <c r="AP494" i="5"/>
  <c r="AQ494" i="5" s="1"/>
  <c r="AP520" i="5"/>
  <c r="AQ520" i="5" s="1"/>
  <c r="AP48" i="5"/>
  <c r="AR48" i="5" s="1"/>
  <c r="AP267" i="5"/>
  <c r="AR267" i="5" s="1"/>
  <c r="AP338" i="5"/>
  <c r="AQ338" i="5" s="1"/>
  <c r="AP332" i="5"/>
  <c r="AQ332" i="5" s="1"/>
  <c r="AP157" i="5"/>
  <c r="AR157" i="5" s="1"/>
  <c r="AP304" i="5"/>
  <c r="AQ304" i="5" s="1"/>
  <c r="V48" i="4"/>
  <c r="AM48" i="4" s="1"/>
  <c r="AN48" i="4" s="1"/>
  <c r="AS74" i="4"/>
  <c r="U31" i="4"/>
  <c r="AH31" i="4" s="1"/>
  <c r="AP434" i="5"/>
  <c r="AQ434" i="5" s="1"/>
  <c r="U7" i="4"/>
  <c r="AH7" i="4" s="1"/>
  <c r="U123" i="4"/>
  <c r="AH123" i="4" s="1"/>
  <c r="V52" i="4"/>
  <c r="W52" i="4" s="1"/>
  <c r="AN273" i="5"/>
  <c r="AO416" i="5"/>
  <c r="AH325" i="5"/>
  <c r="AI325" i="5"/>
  <c r="AI541" i="5"/>
  <c r="AH541" i="5"/>
  <c r="AP405" i="5"/>
  <c r="AR405" i="5" s="1"/>
  <c r="AP212" i="5"/>
  <c r="AR212" i="5" s="1"/>
  <c r="AP461" i="5"/>
  <c r="AR461" i="5" s="1"/>
  <c r="V7" i="4"/>
  <c r="AM7" i="4" s="1"/>
  <c r="AN7" i="4" s="1"/>
  <c r="AS123" i="4"/>
  <c r="U52" i="4"/>
  <c r="AH52" i="4" s="1"/>
  <c r="V95" i="4"/>
  <c r="AM95" i="4" s="1"/>
  <c r="AN95" i="4" s="1"/>
  <c r="AH430" i="5"/>
  <c r="AI430" i="5"/>
  <c r="AI342" i="5"/>
  <c r="AH342" i="5"/>
  <c r="AN171" i="5"/>
  <c r="AO171" i="5"/>
  <c r="B24" i="2"/>
  <c r="R88" i="5"/>
  <c r="R328" i="5"/>
  <c r="Y65" i="5"/>
  <c r="Y135" i="5"/>
  <c r="Y181" i="5"/>
  <c r="Y416" i="5"/>
  <c r="X206" i="5"/>
  <c r="X204" i="5"/>
  <c r="X74" i="5"/>
  <c r="Z560" i="5"/>
  <c r="AA560" i="5" s="1"/>
  <c r="Z552" i="5"/>
  <c r="AB552" i="5" s="1"/>
  <c r="Z544" i="5"/>
  <c r="AB544" i="5" s="1"/>
  <c r="Z536" i="5"/>
  <c r="Z528" i="5"/>
  <c r="Z520" i="5"/>
  <c r="AB520" i="5" s="1"/>
  <c r="Z512" i="5"/>
  <c r="Z504" i="5"/>
  <c r="AB504" i="5" s="1"/>
  <c r="Z496" i="5"/>
  <c r="Z488" i="5"/>
  <c r="AB488" i="5" s="1"/>
  <c r="Z480" i="5"/>
  <c r="AB480" i="5" s="1"/>
  <c r="Z472" i="5"/>
  <c r="AA472" i="5" s="1"/>
  <c r="Z464" i="5"/>
  <c r="AA464" i="5" s="1"/>
  <c r="Z456" i="5"/>
  <c r="AA456" i="5" s="1"/>
  <c r="Z448" i="5"/>
  <c r="AA448" i="5" s="1"/>
  <c r="Z440" i="5"/>
  <c r="Z432" i="5"/>
  <c r="Z424" i="5"/>
  <c r="AB424" i="5" s="1"/>
  <c r="Z416" i="5"/>
  <c r="AA416" i="5" s="1"/>
  <c r="Z408" i="5"/>
  <c r="AB408" i="5" s="1"/>
  <c r="Z400" i="5"/>
  <c r="AA400" i="5" s="1"/>
  <c r="Z392" i="5"/>
  <c r="AB392" i="5" s="1"/>
  <c r="Z384" i="5"/>
  <c r="AA384" i="5" s="1"/>
  <c r="Z376" i="5"/>
  <c r="AB376" i="5" s="1"/>
  <c r="Z368" i="5"/>
  <c r="AA368" i="5" s="1"/>
  <c r="Z360" i="5"/>
  <c r="AA360" i="5" s="1"/>
  <c r="Z352" i="5"/>
  <c r="AB352" i="5" s="1"/>
  <c r="Z344" i="5"/>
  <c r="Z336" i="5"/>
  <c r="AB336" i="5" s="1"/>
  <c r="Z328" i="5"/>
  <c r="AB328" i="5" s="1"/>
  <c r="Z320" i="5"/>
  <c r="AA320" i="5" s="1"/>
  <c r="Z312" i="5"/>
  <c r="AA312" i="5" s="1"/>
  <c r="Z304" i="5"/>
  <c r="AB304" i="5" s="1"/>
  <c r="Z296" i="5"/>
  <c r="AB296" i="5" s="1"/>
  <c r="Z288" i="5"/>
  <c r="AA288" i="5" s="1"/>
  <c r="Z280" i="5"/>
  <c r="Z272" i="5"/>
  <c r="AA272" i="5" s="1"/>
  <c r="Z264" i="5"/>
  <c r="Z256" i="5"/>
  <c r="AB256" i="5" s="1"/>
  <c r="Z248" i="5"/>
  <c r="Z240" i="5"/>
  <c r="Z232" i="5"/>
  <c r="Z224" i="5"/>
  <c r="AB224" i="5" s="1"/>
  <c r="Z216" i="5"/>
  <c r="Z208" i="5"/>
  <c r="AA208" i="5" s="1"/>
  <c r="Z200" i="5"/>
  <c r="Z192" i="5"/>
  <c r="AB192" i="5" s="1"/>
  <c r="Z184" i="5"/>
  <c r="Z176" i="5"/>
  <c r="AB176" i="5" s="1"/>
  <c r="Z168" i="5"/>
  <c r="AB168" i="5" s="1"/>
  <c r="Z160" i="5"/>
  <c r="AB160" i="5" s="1"/>
  <c r="Z152" i="5"/>
  <c r="AB152" i="5" s="1"/>
  <c r="Z144" i="5"/>
  <c r="AA144" i="5" s="1"/>
  <c r="Z136" i="5"/>
  <c r="Z128" i="5"/>
  <c r="AA128" i="5" s="1"/>
  <c r="Z112" i="5"/>
  <c r="AA112" i="5" s="1"/>
  <c r="Z96" i="5"/>
  <c r="AA96" i="5" s="1"/>
  <c r="Z80" i="5"/>
  <c r="AA80" i="5" s="1"/>
  <c r="Z56" i="5"/>
  <c r="AB56" i="5" s="1"/>
  <c r="Z34" i="5"/>
  <c r="AA34" i="5" s="1"/>
  <c r="Z29" i="5"/>
  <c r="AB29" i="5" s="1"/>
  <c r="Z559" i="5"/>
  <c r="Z551" i="5"/>
  <c r="AB551" i="5" s="1"/>
  <c r="Z543" i="5"/>
  <c r="AB543" i="5" s="1"/>
  <c r="Z535" i="5"/>
  <c r="AA535" i="5" s="1"/>
  <c r="Z527" i="5"/>
  <c r="AA527" i="5" s="1"/>
  <c r="Z519" i="5"/>
  <c r="AB519" i="5" s="1"/>
  <c r="Z511" i="5"/>
  <c r="AA511" i="5" s="1"/>
  <c r="Z503" i="5"/>
  <c r="AB503" i="5" s="1"/>
  <c r="Z495" i="5"/>
  <c r="AB495" i="5" s="1"/>
  <c r="Z487" i="5"/>
  <c r="AA487" i="5" s="1"/>
  <c r="Z479" i="5"/>
  <c r="Z471" i="5"/>
  <c r="AA471" i="5" s="1"/>
  <c r="Z463" i="5"/>
  <c r="AA463" i="5" s="1"/>
  <c r="Z455" i="5"/>
  <c r="AB455" i="5" s="1"/>
  <c r="Z447" i="5"/>
  <c r="AA447" i="5" s="1"/>
  <c r="Z439" i="5"/>
  <c r="AA439" i="5" s="1"/>
  <c r="Z431" i="5"/>
  <c r="AA431" i="5" s="1"/>
  <c r="Z423" i="5"/>
  <c r="AB423" i="5" s="1"/>
  <c r="Z415" i="5"/>
  <c r="AB415" i="5" s="1"/>
  <c r="Z407" i="5"/>
  <c r="AB407" i="5" s="1"/>
  <c r="Z399" i="5"/>
  <c r="Z391" i="5"/>
  <c r="AB391" i="5" s="1"/>
  <c r="Z383" i="5"/>
  <c r="AB383" i="5" s="1"/>
  <c r="Z375" i="5"/>
  <c r="AB375" i="5" s="1"/>
  <c r="Z367" i="5"/>
  <c r="AA367" i="5" s="1"/>
  <c r="Z359" i="5"/>
  <c r="AA359" i="5" s="1"/>
  <c r="Z351" i="5"/>
  <c r="AA351" i="5" s="1"/>
  <c r="Z343" i="5"/>
  <c r="AB343" i="5" s="1"/>
  <c r="Z335" i="5"/>
  <c r="AA335" i="5" s="1"/>
  <c r="Z327" i="5"/>
  <c r="AA327" i="5" s="1"/>
  <c r="Z319" i="5"/>
  <c r="AB319" i="5" s="1"/>
  <c r="Z311" i="5"/>
  <c r="AB311" i="5" s="1"/>
  <c r="Z303" i="5"/>
  <c r="AB303" i="5" s="1"/>
  <c r="Z295" i="5"/>
  <c r="Z287" i="5"/>
  <c r="AA287" i="5" s="1"/>
  <c r="Z279" i="5"/>
  <c r="Z271" i="5"/>
  <c r="AA271" i="5" s="1"/>
  <c r="Z263" i="5"/>
  <c r="AB263" i="5" s="1"/>
  <c r="Z255" i="5"/>
  <c r="AA255" i="5" s="1"/>
  <c r="Z247" i="5"/>
  <c r="AA247" i="5" s="1"/>
  <c r="Z239" i="5"/>
  <c r="AB239" i="5" s="1"/>
  <c r="Z231" i="5"/>
  <c r="AB231" i="5" s="1"/>
  <c r="Z223" i="5"/>
  <c r="AB223" i="5" s="1"/>
  <c r="Z215" i="5"/>
  <c r="AA215" i="5" s="1"/>
  <c r="Z207" i="5"/>
  <c r="AB207" i="5" s="1"/>
  <c r="Z199" i="5"/>
  <c r="AB199" i="5" s="1"/>
  <c r="Z191" i="5"/>
  <c r="AA191" i="5" s="1"/>
  <c r="Z183" i="5"/>
  <c r="Z175" i="5"/>
  <c r="AB175" i="5" s="1"/>
  <c r="Z167" i="5"/>
  <c r="AB167" i="5" s="1"/>
  <c r="Z159" i="5"/>
  <c r="AA159" i="5" s="1"/>
  <c r="Z151" i="5"/>
  <c r="AA151" i="5" s="1"/>
  <c r="Z143" i="5"/>
  <c r="AA143" i="5" s="1"/>
  <c r="Z135" i="5"/>
  <c r="AA135" i="5" s="1"/>
  <c r="Z127" i="5"/>
  <c r="Z119" i="5"/>
  <c r="AB119" i="5" s="1"/>
  <c r="Z111" i="5"/>
  <c r="AB111" i="5" s="1"/>
  <c r="Z103" i="5"/>
  <c r="AA103" i="5" s="1"/>
  <c r="Z95" i="5"/>
  <c r="AB95" i="5" s="1"/>
  <c r="Z87" i="5"/>
  <c r="AB87" i="5" s="1"/>
  <c r="Z79" i="5"/>
  <c r="AB79" i="5" s="1"/>
  <c r="Z71" i="5"/>
  <c r="AA71" i="5" s="1"/>
  <c r="Z63" i="5"/>
  <c r="AB63" i="5" s="1"/>
  <c r="Z55" i="5"/>
  <c r="AB55" i="5" s="1"/>
  <c r="Z47" i="5"/>
  <c r="AB47" i="5" s="1"/>
  <c r="Z39" i="5"/>
  <c r="AA39" i="5" s="1"/>
  <c r="Z33" i="5"/>
  <c r="Z25" i="5"/>
  <c r="AA25" i="5" s="1"/>
  <c r="Z12" i="5"/>
  <c r="Z166" i="5"/>
  <c r="AA166" i="5" s="1"/>
  <c r="Z150" i="5"/>
  <c r="AA150" i="5" s="1"/>
  <c r="Z134" i="5"/>
  <c r="Z118" i="5"/>
  <c r="AB118" i="5" s="1"/>
  <c r="Z102" i="5"/>
  <c r="Z78" i="5"/>
  <c r="Z62" i="5"/>
  <c r="AB62" i="5" s="1"/>
  <c r="Z54" i="5"/>
  <c r="AA54" i="5" s="1"/>
  <c r="Z32" i="5"/>
  <c r="AB32" i="5" s="1"/>
  <c r="Z10" i="5"/>
  <c r="AB10" i="5" s="1"/>
  <c r="Z131" i="5"/>
  <c r="AA131" i="5" s="1"/>
  <c r="Z91" i="5"/>
  <c r="AA91" i="5" s="1"/>
  <c r="Z43" i="5"/>
  <c r="AB43" i="5" s="1"/>
  <c r="Z558" i="5"/>
  <c r="Z550" i="5"/>
  <c r="AB550" i="5" s="1"/>
  <c r="Z542" i="5"/>
  <c r="AA542" i="5" s="1"/>
  <c r="Z534" i="5"/>
  <c r="Z526" i="5"/>
  <c r="AA526" i="5" s="1"/>
  <c r="Z518" i="5"/>
  <c r="AB518" i="5" s="1"/>
  <c r="Z510" i="5"/>
  <c r="AB510" i="5" s="1"/>
  <c r="Z502" i="5"/>
  <c r="AB502" i="5" s="1"/>
  <c r="Z494" i="5"/>
  <c r="AB494" i="5" s="1"/>
  <c r="Z486" i="5"/>
  <c r="AB486" i="5" s="1"/>
  <c r="Z478" i="5"/>
  <c r="AB478" i="5" s="1"/>
  <c r="Z470" i="5"/>
  <c r="AB470" i="5" s="1"/>
  <c r="Z462" i="5"/>
  <c r="AB462" i="5" s="1"/>
  <c r="Z454" i="5"/>
  <c r="AB454" i="5" s="1"/>
  <c r="Z446" i="5"/>
  <c r="Z438" i="5"/>
  <c r="AB438" i="5" s="1"/>
  <c r="Z430" i="5"/>
  <c r="AA430" i="5" s="1"/>
  <c r="Z422" i="5"/>
  <c r="AB422" i="5" s="1"/>
  <c r="Z414" i="5"/>
  <c r="AB414" i="5" s="1"/>
  <c r="Z406" i="5"/>
  <c r="AA406" i="5" s="1"/>
  <c r="Z398" i="5"/>
  <c r="Z390" i="5"/>
  <c r="AA390" i="5" s="1"/>
  <c r="Z382" i="5"/>
  <c r="AB382" i="5" s="1"/>
  <c r="Z374" i="5"/>
  <c r="AB374" i="5" s="1"/>
  <c r="Z366" i="5"/>
  <c r="AA366" i="5" s="1"/>
  <c r="Z358" i="5"/>
  <c r="AB358" i="5" s="1"/>
  <c r="Z350" i="5"/>
  <c r="AA350" i="5" s="1"/>
  <c r="Z342" i="5"/>
  <c r="Z334" i="5"/>
  <c r="AB334" i="5" s="1"/>
  <c r="Z326" i="5"/>
  <c r="AA326" i="5" s="1"/>
  <c r="Z318" i="5"/>
  <c r="AB318" i="5" s="1"/>
  <c r="Z310" i="5"/>
  <c r="Z302" i="5"/>
  <c r="AA302" i="5" s="1"/>
  <c r="Z294" i="5"/>
  <c r="AB294" i="5" s="1"/>
  <c r="Z286" i="5"/>
  <c r="AB286" i="5" s="1"/>
  <c r="Z278" i="5"/>
  <c r="AA278" i="5" s="1"/>
  <c r="Z270" i="5"/>
  <c r="AA270" i="5" s="1"/>
  <c r="Z262" i="5"/>
  <c r="AA262" i="5" s="1"/>
  <c r="Z254" i="5"/>
  <c r="AA254" i="5" s="1"/>
  <c r="Z246" i="5"/>
  <c r="AA246" i="5" s="1"/>
  <c r="Z238" i="5"/>
  <c r="Z230" i="5"/>
  <c r="AA230" i="5" s="1"/>
  <c r="Z222" i="5"/>
  <c r="AB222" i="5" s="1"/>
  <c r="Z214" i="5"/>
  <c r="AA214" i="5" s="1"/>
  <c r="Z206" i="5"/>
  <c r="AA206" i="5" s="1"/>
  <c r="Z198" i="5"/>
  <c r="Z190" i="5"/>
  <c r="AB190" i="5" s="1"/>
  <c r="Z182" i="5"/>
  <c r="Z174" i="5"/>
  <c r="AA174" i="5" s="1"/>
  <c r="Z158" i="5"/>
  <c r="Z142" i="5"/>
  <c r="AB142" i="5" s="1"/>
  <c r="Z126" i="5"/>
  <c r="Z110" i="5"/>
  <c r="AA110" i="5" s="1"/>
  <c r="Z94" i="5"/>
  <c r="AA94" i="5" s="1"/>
  <c r="Z86" i="5"/>
  <c r="AA86" i="5" s="1"/>
  <c r="Z70" i="5"/>
  <c r="AB70" i="5" s="1"/>
  <c r="Z46" i="5"/>
  <c r="Z38" i="5"/>
  <c r="AA38" i="5" s="1"/>
  <c r="Z24" i="5"/>
  <c r="Z147" i="5"/>
  <c r="Z107" i="5"/>
  <c r="AB107" i="5" s="1"/>
  <c r="Z67" i="5"/>
  <c r="Z7" i="5"/>
  <c r="AB7" i="5" s="1"/>
  <c r="Z557" i="5"/>
  <c r="AA557" i="5" s="1"/>
  <c r="Z549" i="5"/>
  <c r="AB549" i="5" s="1"/>
  <c r="Z541" i="5"/>
  <c r="Z533" i="5"/>
  <c r="AA533" i="5" s="1"/>
  <c r="Z525" i="5"/>
  <c r="AA525" i="5" s="1"/>
  <c r="Z517" i="5"/>
  <c r="AB517" i="5" s="1"/>
  <c r="Z509" i="5"/>
  <c r="AA509" i="5" s="1"/>
  <c r="Z501" i="5"/>
  <c r="AB501" i="5" s="1"/>
  <c r="Z493" i="5"/>
  <c r="AA493" i="5" s="1"/>
  <c r="Z485" i="5"/>
  <c r="AA485" i="5" s="1"/>
  <c r="Z477" i="5"/>
  <c r="AA477" i="5" s="1"/>
  <c r="Z469" i="5"/>
  <c r="AA469" i="5" s="1"/>
  <c r="Z461" i="5"/>
  <c r="AB461" i="5" s="1"/>
  <c r="Z453" i="5"/>
  <c r="AA453" i="5" s="1"/>
  <c r="Z445" i="5"/>
  <c r="AB445" i="5" s="1"/>
  <c r="Z437" i="5"/>
  <c r="AA437" i="5" s="1"/>
  <c r="Z429" i="5"/>
  <c r="AA429" i="5" s="1"/>
  <c r="Z421" i="5"/>
  <c r="AA421" i="5" s="1"/>
  <c r="Z413" i="5"/>
  <c r="AA413" i="5" s="1"/>
  <c r="Z405" i="5"/>
  <c r="AB405" i="5" s="1"/>
  <c r="Z397" i="5"/>
  <c r="AB397" i="5" s="1"/>
  <c r="Z389" i="5"/>
  <c r="AA389" i="5" s="1"/>
  <c r="Z381" i="5"/>
  <c r="Z373" i="5"/>
  <c r="AB373" i="5" s="1"/>
  <c r="Z365" i="5"/>
  <c r="Z357" i="5"/>
  <c r="AA357" i="5" s="1"/>
  <c r="Z349" i="5"/>
  <c r="Z341" i="5"/>
  <c r="AA341" i="5" s="1"/>
  <c r="Z333" i="5"/>
  <c r="AB333" i="5" s="1"/>
  <c r="Z325" i="5"/>
  <c r="Z317" i="5"/>
  <c r="AB317" i="5" s="1"/>
  <c r="Z309" i="5"/>
  <c r="AA309" i="5" s="1"/>
  <c r="Z301" i="5"/>
  <c r="AA301" i="5" s="1"/>
  <c r="Z293" i="5"/>
  <c r="AA293" i="5" s="1"/>
  <c r="Z285" i="5"/>
  <c r="Z277" i="5"/>
  <c r="AB277" i="5" s="1"/>
  <c r="Z269" i="5"/>
  <c r="AB269" i="5" s="1"/>
  <c r="Z261" i="5"/>
  <c r="AA261" i="5" s="1"/>
  <c r="Z253" i="5"/>
  <c r="Z245" i="5"/>
  <c r="Z237" i="5"/>
  <c r="Z229" i="5"/>
  <c r="Z221" i="5"/>
  <c r="AB221" i="5" s="1"/>
  <c r="Z213" i="5"/>
  <c r="AB213" i="5" s="1"/>
  <c r="Z205" i="5"/>
  <c r="AB205" i="5" s="1"/>
  <c r="Z197" i="5"/>
  <c r="Z189" i="5"/>
  <c r="AA189" i="5" s="1"/>
  <c r="Z181" i="5"/>
  <c r="AA181" i="5" s="1"/>
  <c r="Z173" i="5"/>
  <c r="Z165" i="5"/>
  <c r="AA165" i="5" s="1"/>
  <c r="Z157" i="5"/>
  <c r="AB157" i="5" s="1"/>
  <c r="Z149" i="5"/>
  <c r="AB149" i="5" s="1"/>
  <c r="Z141" i="5"/>
  <c r="Z133" i="5"/>
  <c r="AA133" i="5" s="1"/>
  <c r="Z125" i="5"/>
  <c r="AB125" i="5" s="1"/>
  <c r="Z117" i="5"/>
  <c r="AA117" i="5" s="1"/>
  <c r="Z109" i="5"/>
  <c r="AA109" i="5" s="1"/>
  <c r="Z101" i="5"/>
  <c r="AA101" i="5" s="1"/>
  <c r="Z93" i="5"/>
  <c r="AA93" i="5" s="1"/>
  <c r="Z85" i="5"/>
  <c r="AA85" i="5" s="1"/>
  <c r="Z77" i="5"/>
  <c r="AA77" i="5" s="1"/>
  <c r="Z69" i="5"/>
  <c r="AB69" i="5" s="1"/>
  <c r="Z61" i="5"/>
  <c r="AA61" i="5" s="1"/>
  <c r="Z53" i="5"/>
  <c r="AB53" i="5" s="1"/>
  <c r="Z45" i="5"/>
  <c r="Z37" i="5"/>
  <c r="AA37" i="5" s="1"/>
  <c r="Z31" i="5"/>
  <c r="AA31" i="5" s="1"/>
  <c r="Z23" i="5"/>
  <c r="AB23" i="5" s="1"/>
  <c r="Z148" i="5"/>
  <c r="AB148" i="5" s="1"/>
  <c r="Z132" i="5"/>
  <c r="AA132" i="5" s="1"/>
  <c r="Z124" i="5"/>
  <c r="AA124" i="5" s="1"/>
  <c r="Z108" i="5"/>
  <c r="AB108" i="5" s="1"/>
  <c r="Z92" i="5"/>
  <c r="AA92" i="5" s="1"/>
  <c r="Z84" i="5"/>
  <c r="AB84" i="5" s="1"/>
  <c r="Z68" i="5"/>
  <c r="Z52" i="5"/>
  <c r="AB52" i="5" s="1"/>
  <c r="Z36" i="5"/>
  <c r="AB36" i="5" s="1"/>
  <c r="Z22" i="5"/>
  <c r="Z171" i="5"/>
  <c r="AA171" i="5" s="1"/>
  <c r="Z139" i="5"/>
  <c r="AA139" i="5" s="1"/>
  <c r="Z123" i="5"/>
  <c r="AA123" i="5" s="1"/>
  <c r="Z83" i="5"/>
  <c r="AA83" i="5" s="1"/>
  <c r="Z51" i="5"/>
  <c r="AA51" i="5" s="1"/>
  <c r="Z556" i="5"/>
  <c r="Z548" i="5"/>
  <c r="AB548" i="5" s="1"/>
  <c r="Z540" i="5"/>
  <c r="AB540" i="5" s="1"/>
  <c r="Z532" i="5"/>
  <c r="AA532" i="5" s="1"/>
  <c r="Z524" i="5"/>
  <c r="AA524" i="5" s="1"/>
  <c r="Z516" i="5"/>
  <c r="AB516" i="5" s="1"/>
  <c r="Z508" i="5"/>
  <c r="Z500" i="5"/>
  <c r="Z492" i="5"/>
  <c r="AB492" i="5" s="1"/>
  <c r="Z484" i="5"/>
  <c r="AB484" i="5" s="1"/>
  <c r="Z476" i="5"/>
  <c r="Z468" i="5"/>
  <c r="AB468" i="5" s="1"/>
  <c r="Z460" i="5"/>
  <c r="AA460" i="5" s="1"/>
  <c r="Z452" i="5"/>
  <c r="AA452" i="5" s="1"/>
  <c r="Z444" i="5"/>
  <c r="AB444" i="5" s="1"/>
  <c r="Z436" i="5"/>
  <c r="AA436" i="5" s="1"/>
  <c r="Z428" i="5"/>
  <c r="AB428" i="5" s="1"/>
  <c r="Z420" i="5"/>
  <c r="AB420" i="5" s="1"/>
  <c r="Z412" i="5"/>
  <c r="AA412" i="5" s="1"/>
  <c r="Z404" i="5"/>
  <c r="AB404" i="5" s="1"/>
  <c r="Z396" i="5"/>
  <c r="AA396" i="5" s="1"/>
  <c r="Z388" i="5"/>
  <c r="AA388" i="5" s="1"/>
  <c r="Z380" i="5"/>
  <c r="AA380" i="5" s="1"/>
  <c r="Z372" i="5"/>
  <c r="AB372" i="5" s="1"/>
  <c r="Z364" i="5"/>
  <c r="AB364" i="5" s="1"/>
  <c r="Z356" i="5"/>
  <c r="AA356" i="5" s="1"/>
  <c r="Z348" i="5"/>
  <c r="AA348" i="5" s="1"/>
  <c r="Z340" i="5"/>
  <c r="AB340" i="5" s="1"/>
  <c r="Z332" i="5"/>
  <c r="AA332" i="5" s="1"/>
  <c r="Z324" i="5"/>
  <c r="AB324" i="5" s="1"/>
  <c r="Z316" i="5"/>
  <c r="AA316" i="5" s="1"/>
  <c r="Z308" i="5"/>
  <c r="Z300" i="5"/>
  <c r="Z292" i="5"/>
  <c r="AA292" i="5" s="1"/>
  <c r="Z284" i="5"/>
  <c r="AB284" i="5" s="1"/>
  <c r="Z276" i="5"/>
  <c r="AB276" i="5" s="1"/>
  <c r="Z268" i="5"/>
  <c r="AA268" i="5" s="1"/>
  <c r="Z260" i="5"/>
  <c r="AB260" i="5" s="1"/>
  <c r="Z252" i="5"/>
  <c r="AB252" i="5" s="1"/>
  <c r="Z244" i="5"/>
  <c r="AB244" i="5" s="1"/>
  <c r="Z236" i="5"/>
  <c r="AB236" i="5" s="1"/>
  <c r="Z228" i="5"/>
  <c r="AA228" i="5" s="1"/>
  <c r="Z220" i="5"/>
  <c r="AA220" i="5" s="1"/>
  <c r="Z212" i="5"/>
  <c r="AB212" i="5" s="1"/>
  <c r="Z204" i="5"/>
  <c r="Z196" i="5"/>
  <c r="AA196" i="5" s="1"/>
  <c r="Z188" i="5"/>
  <c r="AB188" i="5" s="1"/>
  <c r="Z180" i="5"/>
  <c r="AB180" i="5" s="1"/>
  <c r="Z172" i="5"/>
  <c r="AB172" i="5" s="1"/>
  <c r="Z164" i="5"/>
  <c r="AB164" i="5" s="1"/>
  <c r="Z156" i="5"/>
  <c r="AA156" i="5" s="1"/>
  <c r="Z140" i="5"/>
  <c r="AB140" i="5" s="1"/>
  <c r="Z116" i="5"/>
  <c r="AB116" i="5" s="1"/>
  <c r="Z100" i="5"/>
  <c r="AB100" i="5" s="1"/>
  <c r="Z76" i="5"/>
  <c r="AA76" i="5" s="1"/>
  <c r="Z60" i="5"/>
  <c r="AB60" i="5" s="1"/>
  <c r="Z44" i="5"/>
  <c r="Z30" i="5"/>
  <c r="AA30" i="5" s="1"/>
  <c r="Z8" i="5"/>
  <c r="AA8" i="5" s="1"/>
  <c r="Z155" i="5"/>
  <c r="AB155" i="5" s="1"/>
  <c r="Z99" i="5"/>
  <c r="Z59" i="5"/>
  <c r="AB59" i="5" s="1"/>
  <c r="Z555" i="5"/>
  <c r="Z547" i="5"/>
  <c r="AB547" i="5" s="1"/>
  <c r="Z539" i="5"/>
  <c r="AB539" i="5" s="1"/>
  <c r="Z531" i="5"/>
  <c r="AB531" i="5" s="1"/>
  <c r="Z523" i="5"/>
  <c r="AB523" i="5" s="1"/>
  <c r="Z515" i="5"/>
  <c r="AB515" i="5" s="1"/>
  <c r="Z507" i="5"/>
  <c r="AA507" i="5" s="1"/>
  <c r="Z499" i="5"/>
  <c r="AB499" i="5" s="1"/>
  <c r="Z491" i="5"/>
  <c r="AA491" i="5" s="1"/>
  <c r="Z483" i="5"/>
  <c r="Z475" i="5"/>
  <c r="AB475" i="5" s="1"/>
  <c r="Z467" i="5"/>
  <c r="AB467" i="5" s="1"/>
  <c r="Z459" i="5"/>
  <c r="AA459" i="5" s="1"/>
  <c r="Z451" i="5"/>
  <c r="Z443" i="5"/>
  <c r="AA443" i="5" s="1"/>
  <c r="Z435" i="5"/>
  <c r="AB435" i="5" s="1"/>
  <c r="Z427" i="5"/>
  <c r="Z419" i="5"/>
  <c r="AA419" i="5" s="1"/>
  <c r="Z411" i="5"/>
  <c r="AA411" i="5" s="1"/>
  <c r="Z403" i="5"/>
  <c r="AA403" i="5" s="1"/>
  <c r="Z395" i="5"/>
  <c r="Z387" i="5"/>
  <c r="AB387" i="5" s="1"/>
  <c r="Z379" i="5"/>
  <c r="AA379" i="5" s="1"/>
  <c r="Z371" i="5"/>
  <c r="AA371" i="5" s="1"/>
  <c r="Z363" i="5"/>
  <c r="AB363" i="5" s="1"/>
  <c r="Z355" i="5"/>
  <c r="AB355" i="5" s="1"/>
  <c r="Z347" i="5"/>
  <c r="AA347" i="5" s="1"/>
  <c r="Z339" i="5"/>
  <c r="Z331" i="5"/>
  <c r="AA331" i="5" s="1"/>
  <c r="Z323" i="5"/>
  <c r="Z315" i="5"/>
  <c r="AB315" i="5" s="1"/>
  <c r="Z307" i="5"/>
  <c r="AA307" i="5" s="1"/>
  <c r="Z299" i="5"/>
  <c r="AA299" i="5" s="1"/>
  <c r="Z291" i="5"/>
  <c r="AA291" i="5" s="1"/>
  <c r="Z283" i="5"/>
  <c r="AB283" i="5" s="1"/>
  <c r="Z275" i="5"/>
  <c r="AB275" i="5" s="1"/>
  <c r="Z267" i="5"/>
  <c r="AB267" i="5" s="1"/>
  <c r="Z259" i="5"/>
  <c r="AA259" i="5" s="1"/>
  <c r="Z251" i="5"/>
  <c r="AB251" i="5" s="1"/>
  <c r="Z243" i="5"/>
  <c r="AB243" i="5" s="1"/>
  <c r="Z235" i="5"/>
  <c r="AA235" i="5" s="1"/>
  <c r="Z227" i="5"/>
  <c r="AB227" i="5" s="1"/>
  <c r="Z219" i="5"/>
  <c r="AA219" i="5" s="1"/>
  <c r="Z211" i="5"/>
  <c r="AA211" i="5" s="1"/>
  <c r="Z203" i="5"/>
  <c r="AA203" i="5" s="1"/>
  <c r="Z195" i="5"/>
  <c r="AA195" i="5" s="1"/>
  <c r="Z187" i="5"/>
  <c r="AB187" i="5" s="1"/>
  <c r="Z179" i="5"/>
  <c r="AA179" i="5" s="1"/>
  <c r="Z163" i="5"/>
  <c r="AA163" i="5" s="1"/>
  <c r="Z115" i="5"/>
  <c r="Z75" i="5"/>
  <c r="Z554" i="5"/>
  <c r="AA554" i="5" s="1"/>
  <c r="Z546" i="5"/>
  <c r="AA546" i="5" s="1"/>
  <c r="Z538" i="5"/>
  <c r="AB538" i="5" s="1"/>
  <c r="Z530" i="5"/>
  <c r="Z522" i="5"/>
  <c r="AA522" i="5" s="1"/>
  <c r="Z514" i="5"/>
  <c r="AB514" i="5" s="1"/>
  <c r="Z506" i="5"/>
  <c r="AB506" i="5" s="1"/>
  <c r="Z498" i="5"/>
  <c r="AA498" i="5" s="1"/>
  <c r="Z490" i="5"/>
  <c r="AB490" i="5" s="1"/>
  <c r="Z482" i="5"/>
  <c r="Z474" i="5"/>
  <c r="AA474" i="5" s="1"/>
  <c r="Z466" i="5"/>
  <c r="Z458" i="5"/>
  <c r="AA458" i="5" s="1"/>
  <c r="Z450" i="5"/>
  <c r="Z442" i="5"/>
  <c r="AB442" i="5" s="1"/>
  <c r="Z434" i="5"/>
  <c r="Z426" i="5"/>
  <c r="AA426" i="5" s="1"/>
  <c r="Z418" i="5"/>
  <c r="AB418" i="5" s="1"/>
  <c r="Z410" i="5"/>
  <c r="AB410" i="5" s="1"/>
  <c r="Z402" i="5"/>
  <c r="AB402" i="5" s="1"/>
  <c r="Z394" i="5"/>
  <c r="AB394" i="5" s="1"/>
  <c r="Z386" i="5"/>
  <c r="AA386" i="5" s="1"/>
  <c r="Z378" i="5"/>
  <c r="Z370" i="5"/>
  <c r="AA370" i="5" s="1"/>
  <c r="Z362" i="5"/>
  <c r="AA362" i="5" s="1"/>
  <c r="Z354" i="5"/>
  <c r="AA354" i="5" s="1"/>
  <c r="Z346" i="5"/>
  <c r="AB346" i="5" s="1"/>
  <c r="Z338" i="5"/>
  <c r="AB338" i="5" s="1"/>
  <c r="Z330" i="5"/>
  <c r="AB330" i="5" s="1"/>
  <c r="Z322" i="5"/>
  <c r="AA322" i="5" s="1"/>
  <c r="Z314" i="5"/>
  <c r="AB314" i="5" s="1"/>
  <c r="Z306" i="5"/>
  <c r="AB306" i="5" s="1"/>
  <c r="Z298" i="5"/>
  <c r="AA298" i="5" s="1"/>
  <c r="Z290" i="5"/>
  <c r="AB290" i="5" s="1"/>
  <c r="Z282" i="5"/>
  <c r="AB282" i="5" s="1"/>
  <c r="Z274" i="5"/>
  <c r="AA274" i="5" s="1"/>
  <c r="Z266" i="5"/>
  <c r="Z258" i="5"/>
  <c r="AB258" i="5" s="1"/>
  <c r="Z250" i="5"/>
  <c r="AB250" i="5" s="1"/>
  <c r="Z242" i="5"/>
  <c r="AA242" i="5" s="1"/>
  <c r="Z234" i="5"/>
  <c r="Z226" i="5"/>
  <c r="AA226" i="5" s="1"/>
  <c r="Z218" i="5"/>
  <c r="Z210" i="5"/>
  <c r="Z202" i="5"/>
  <c r="AA202" i="5" s="1"/>
  <c r="Z194" i="5"/>
  <c r="AB194" i="5" s="1"/>
  <c r="Z186" i="5"/>
  <c r="Z178" i="5"/>
  <c r="Z170" i="5"/>
  <c r="AB170" i="5" s="1"/>
  <c r="Z162" i="5"/>
  <c r="AB162" i="5" s="1"/>
  <c r="Z154" i="5"/>
  <c r="AA154" i="5" s="1"/>
  <c r="Z146" i="5"/>
  <c r="AB146" i="5" s="1"/>
  <c r="Z138" i="5"/>
  <c r="AB138" i="5" s="1"/>
  <c r="Z130" i="5"/>
  <c r="AA130" i="5" s="1"/>
  <c r="Z122" i="5"/>
  <c r="Z114" i="5"/>
  <c r="AB114" i="5" s="1"/>
  <c r="Z106" i="5"/>
  <c r="AB106" i="5" s="1"/>
  <c r="Z98" i="5"/>
  <c r="AA98" i="5" s="1"/>
  <c r="Z90" i="5"/>
  <c r="AB90" i="5" s="1"/>
  <c r="Z82" i="5"/>
  <c r="AB82" i="5" s="1"/>
  <c r="Z74" i="5"/>
  <c r="AA74" i="5" s="1"/>
  <c r="Z66" i="5"/>
  <c r="AB66" i="5" s="1"/>
  <c r="Z58" i="5"/>
  <c r="Z50" i="5"/>
  <c r="AB50" i="5" s="1"/>
  <c r="Z42" i="5"/>
  <c r="AA42" i="5" s="1"/>
  <c r="Z35" i="5"/>
  <c r="Z28" i="5"/>
  <c r="AB28" i="5" s="1"/>
  <c r="Z20" i="5"/>
  <c r="Z121" i="5"/>
  <c r="AA121" i="5" s="1"/>
  <c r="Z105" i="5"/>
  <c r="AA105" i="5" s="1"/>
  <c r="Z89" i="5"/>
  <c r="AB89" i="5" s="1"/>
  <c r="Z73" i="5"/>
  <c r="Z57" i="5"/>
  <c r="AB57" i="5" s="1"/>
  <c r="Z41" i="5"/>
  <c r="AA41" i="5" s="1"/>
  <c r="Z27" i="5"/>
  <c r="AB27" i="5" s="1"/>
  <c r="Z19" i="5"/>
  <c r="AA19" i="5" s="1"/>
  <c r="Z120" i="5"/>
  <c r="AA120" i="5" s="1"/>
  <c r="Z104" i="5"/>
  <c r="AB104" i="5" s="1"/>
  <c r="Z88" i="5"/>
  <c r="AA88" i="5" s="1"/>
  <c r="Z64" i="5"/>
  <c r="AB64" i="5" s="1"/>
  <c r="Z40" i="5"/>
  <c r="AA40" i="5" s="1"/>
  <c r="Z13" i="5"/>
  <c r="Z553" i="5"/>
  <c r="AB553" i="5" s="1"/>
  <c r="Z545" i="5"/>
  <c r="AA545" i="5" s="1"/>
  <c r="Z537" i="5"/>
  <c r="AA537" i="5" s="1"/>
  <c r="Z529" i="5"/>
  <c r="AA529" i="5" s="1"/>
  <c r="Z521" i="5"/>
  <c r="AA521" i="5" s="1"/>
  <c r="Z513" i="5"/>
  <c r="AA513" i="5" s="1"/>
  <c r="Z505" i="5"/>
  <c r="Z497" i="5"/>
  <c r="AB497" i="5" s="1"/>
  <c r="Z489" i="5"/>
  <c r="AB489" i="5" s="1"/>
  <c r="Z481" i="5"/>
  <c r="Z473" i="5"/>
  <c r="AA473" i="5" s="1"/>
  <c r="Z465" i="5"/>
  <c r="Z457" i="5"/>
  <c r="AB457" i="5" s="1"/>
  <c r="Z449" i="5"/>
  <c r="AA449" i="5" s="1"/>
  <c r="Z441" i="5"/>
  <c r="AB441" i="5" s="1"/>
  <c r="Z433" i="5"/>
  <c r="Z425" i="5"/>
  <c r="AA425" i="5" s="1"/>
  <c r="Z417" i="5"/>
  <c r="AA417" i="5" s="1"/>
  <c r="Z409" i="5"/>
  <c r="AB409" i="5" s="1"/>
  <c r="Z401" i="5"/>
  <c r="AA401" i="5" s="1"/>
  <c r="Z393" i="5"/>
  <c r="AA393" i="5" s="1"/>
  <c r="Z385" i="5"/>
  <c r="AB385" i="5" s="1"/>
  <c r="Z377" i="5"/>
  <c r="Z369" i="5"/>
  <c r="AB369" i="5" s="1"/>
  <c r="Z361" i="5"/>
  <c r="AB361" i="5" s="1"/>
  <c r="Z353" i="5"/>
  <c r="Z345" i="5"/>
  <c r="Z337" i="5"/>
  <c r="AB337" i="5" s="1"/>
  <c r="Z329" i="5"/>
  <c r="AB329" i="5" s="1"/>
  <c r="Z321" i="5"/>
  <c r="AB321" i="5" s="1"/>
  <c r="Z313" i="5"/>
  <c r="AB313" i="5" s="1"/>
  <c r="Z305" i="5"/>
  <c r="AB305" i="5" s="1"/>
  <c r="Z297" i="5"/>
  <c r="AB297" i="5" s="1"/>
  <c r="Z289" i="5"/>
  <c r="AB289" i="5" s="1"/>
  <c r="Z281" i="5"/>
  <c r="AB281" i="5" s="1"/>
  <c r="Z273" i="5"/>
  <c r="AB273" i="5" s="1"/>
  <c r="Z265" i="5"/>
  <c r="AB265" i="5" s="1"/>
  <c r="Z257" i="5"/>
  <c r="Z249" i="5"/>
  <c r="AA249" i="5" s="1"/>
  <c r="Z241" i="5"/>
  <c r="AB241" i="5" s="1"/>
  <c r="Z233" i="5"/>
  <c r="AA233" i="5" s="1"/>
  <c r="Z225" i="5"/>
  <c r="AB225" i="5" s="1"/>
  <c r="Z217" i="5"/>
  <c r="AA217" i="5" s="1"/>
  <c r="Z209" i="5"/>
  <c r="AA209" i="5" s="1"/>
  <c r="Z201" i="5"/>
  <c r="AB201" i="5" s="1"/>
  <c r="Z193" i="5"/>
  <c r="AB193" i="5" s="1"/>
  <c r="Z185" i="5"/>
  <c r="AB185" i="5" s="1"/>
  <c r="Z177" i="5"/>
  <c r="AB177" i="5" s="1"/>
  <c r="Z169" i="5"/>
  <c r="AA169" i="5" s="1"/>
  <c r="Z161" i="5"/>
  <c r="AA161" i="5" s="1"/>
  <c r="Z153" i="5"/>
  <c r="AB153" i="5" s="1"/>
  <c r="Z145" i="5"/>
  <c r="Z137" i="5"/>
  <c r="AB137" i="5" s="1"/>
  <c r="Z129" i="5"/>
  <c r="AB129" i="5" s="1"/>
  <c r="Z113" i="5"/>
  <c r="Z97" i="5"/>
  <c r="AB97" i="5" s="1"/>
  <c r="Z81" i="5"/>
  <c r="Z65" i="5"/>
  <c r="Z49" i="5"/>
  <c r="AA49" i="5" s="1"/>
  <c r="Z72" i="5"/>
  <c r="AB72" i="5" s="1"/>
  <c r="Z48" i="5"/>
  <c r="AB48" i="5" s="1"/>
  <c r="Z26" i="5"/>
  <c r="AB26" i="5" s="1"/>
  <c r="Z21" i="5"/>
  <c r="AJ9" i="5"/>
  <c r="AK9" i="5" s="1"/>
  <c r="Z9" i="5"/>
  <c r="S240" i="5"/>
  <c r="R312" i="5"/>
  <c r="T11" i="5"/>
  <c r="U11" i="5" s="1"/>
  <c r="Z11" i="5"/>
  <c r="AB11" i="5" s="1"/>
  <c r="R320" i="5"/>
  <c r="S128" i="5"/>
  <c r="U45" i="5"/>
  <c r="AP38" i="5"/>
  <c r="AQ38" i="5" s="1"/>
  <c r="AP110" i="5"/>
  <c r="AR110" i="5" s="1"/>
  <c r="AP47" i="5"/>
  <c r="AR47" i="5" s="1"/>
  <c r="AP92" i="5"/>
  <c r="AQ92" i="5" s="1"/>
  <c r="AP64" i="5"/>
  <c r="AQ64" i="5" s="1"/>
  <c r="V97" i="5"/>
  <c r="AP340" i="5"/>
  <c r="AR340" i="5" s="1"/>
  <c r="R472" i="5"/>
  <c r="V534" i="5"/>
  <c r="Y184" i="5"/>
  <c r="AP189" i="5"/>
  <c r="AQ189" i="5" s="1"/>
  <c r="V145" i="5"/>
  <c r="V54" i="5"/>
  <c r="AP238" i="5"/>
  <c r="AQ238" i="5" s="1"/>
  <c r="AP42" i="5"/>
  <c r="AR42" i="5" s="1"/>
  <c r="AP506" i="5"/>
  <c r="AQ506" i="5" s="1"/>
  <c r="U143" i="5"/>
  <c r="S224" i="5"/>
  <c r="Y179" i="5"/>
  <c r="Y326" i="5"/>
  <c r="AP112" i="5"/>
  <c r="AR112" i="5" s="1"/>
  <c r="AP497" i="5"/>
  <c r="AR497" i="5" s="1"/>
  <c r="AP276" i="5"/>
  <c r="AR276" i="5" s="1"/>
  <c r="AP146" i="5"/>
  <c r="AQ146" i="5" s="1"/>
  <c r="V99" i="5"/>
  <c r="AL227" i="5"/>
  <c r="S136" i="5"/>
  <c r="R216" i="5"/>
  <c r="R232" i="5"/>
  <c r="Y289" i="5"/>
  <c r="Y51" i="5"/>
  <c r="AP252" i="5"/>
  <c r="AR252" i="5" s="1"/>
  <c r="AP159" i="5"/>
  <c r="AR159" i="5" s="1"/>
  <c r="AP406" i="5"/>
  <c r="AQ406" i="5" s="1"/>
  <c r="V21" i="5"/>
  <c r="X553" i="5"/>
  <c r="Y554" i="5"/>
  <c r="X465" i="5"/>
  <c r="AN64" i="5"/>
  <c r="Y260" i="5"/>
  <c r="X274" i="5"/>
  <c r="AP119" i="5"/>
  <c r="AQ119" i="5" s="1"/>
  <c r="AP346" i="5"/>
  <c r="AR346" i="5" s="1"/>
  <c r="AP182" i="5"/>
  <c r="AR182" i="5" s="1"/>
  <c r="V102" i="5"/>
  <c r="AP72" i="5"/>
  <c r="AQ72" i="5" s="1"/>
  <c r="AP54" i="5"/>
  <c r="AR54" i="5" s="1"/>
  <c r="Y448" i="5"/>
  <c r="R280" i="5"/>
  <c r="R152" i="5"/>
  <c r="Y301" i="5"/>
  <c r="Y458" i="5"/>
  <c r="P487" i="5"/>
  <c r="S112" i="5"/>
  <c r="S208" i="5"/>
  <c r="S64" i="5"/>
  <c r="K28" i="2"/>
  <c r="K27" i="2"/>
  <c r="AP486" i="5"/>
  <c r="AQ486" i="5" s="1"/>
  <c r="AP359" i="5"/>
  <c r="AR359" i="5" s="1"/>
  <c r="AP470" i="5"/>
  <c r="AR470" i="5" s="1"/>
  <c r="AP245" i="5"/>
  <c r="AQ245" i="5" s="1"/>
  <c r="AP418" i="5"/>
  <c r="AQ418" i="5" s="1"/>
  <c r="AP258" i="5"/>
  <c r="AQ258" i="5" s="1"/>
  <c r="AP233" i="5"/>
  <c r="AQ233" i="5" s="1"/>
  <c r="AP476" i="5"/>
  <c r="AR476" i="5" s="1"/>
  <c r="AP536" i="5"/>
  <c r="AR536" i="5" s="1"/>
  <c r="AP560" i="5"/>
  <c r="AQ560" i="5" s="1"/>
  <c r="AP485" i="5"/>
  <c r="AQ485" i="5" s="1"/>
  <c r="AP335" i="5"/>
  <c r="AR335" i="5" s="1"/>
  <c r="AP398" i="5"/>
  <c r="AQ398" i="5" s="1"/>
  <c r="N31" i="2"/>
  <c r="AP284" i="5"/>
  <c r="AQ284" i="5" s="1"/>
  <c r="AP24" i="5"/>
  <c r="AR24" i="5" s="1"/>
  <c r="AP306" i="5"/>
  <c r="AR306" i="5" s="1"/>
  <c r="B50" i="5"/>
  <c r="M31" i="2"/>
  <c r="AP512" i="5"/>
  <c r="AQ512" i="5" s="1"/>
  <c r="B153" i="2"/>
  <c r="H39" i="1" s="1"/>
  <c r="L31" i="2"/>
  <c r="AP364" i="5"/>
  <c r="AQ364" i="5" s="1"/>
  <c r="AK451" i="5"/>
  <c r="AP300" i="5"/>
  <c r="AQ300" i="5" s="1"/>
  <c r="M35" i="2"/>
  <c r="N35" i="2" s="1"/>
  <c r="AP492" i="5"/>
  <c r="AR492" i="5" s="1"/>
  <c r="AP557" i="5"/>
  <c r="AQ557" i="5" s="1"/>
  <c r="AP451" i="5"/>
  <c r="AQ451" i="5" s="1"/>
  <c r="X96" i="5"/>
  <c r="X129" i="5"/>
  <c r="Y437" i="5"/>
  <c r="Y320" i="5"/>
  <c r="X319" i="5"/>
  <c r="R392" i="5"/>
  <c r="X156" i="5"/>
  <c r="X276" i="5"/>
  <c r="X399" i="5"/>
  <c r="Y342" i="5"/>
  <c r="S416" i="5"/>
  <c r="R432" i="5"/>
  <c r="Y35" i="5"/>
  <c r="X432" i="5"/>
  <c r="X451" i="5"/>
  <c r="Y28" i="5"/>
  <c r="X100" i="5"/>
  <c r="X394" i="5"/>
  <c r="Y286" i="5"/>
  <c r="R80" i="5"/>
  <c r="X491" i="5"/>
  <c r="S304" i="5"/>
  <c r="S8" i="5"/>
  <c r="Y211" i="5"/>
  <c r="Y69" i="5"/>
  <c r="X240" i="5"/>
  <c r="X355" i="5"/>
  <c r="Y214" i="5"/>
  <c r="X215" i="5"/>
  <c r="X412" i="5"/>
  <c r="Y126" i="5"/>
  <c r="Y517" i="5"/>
  <c r="X310" i="5"/>
  <c r="R488" i="5"/>
  <c r="S104" i="5"/>
  <c r="S344" i="5"/>
  <c r="R464" i="5"/>
  <c r="R32" i="5"/>
  <c r="R40" i="5"/>
  <c r="R456" i="5"/>
  <c r="R424" i="5"/>
  <c r="R168" i="5"/>
  <c r="X218" i="5"/>
  <c r="X259" i="5"/>
  <c r="X192" i="5"/>
  <c r="X52" i="5"/>
  <c r="X525" i="5"/>
  <c r="Y45" i="5"/>
  <c r="X434" i="5"/>
  <c r="Y531" i="5"/>
  <c r="Y55" i="5"/>
  <c r="Y158" i="5"/>
  <c r="X426" i="5"/>
  <c r="Y314" i="5"/>
  <c r="X95" i="5"/>
  <c r="X43" i="5"/>
  <c r="X518" i="5"/>
  <c r="Y264" i="5"/>
  <c r="S448" i="5"/>
  <c r="Y83" i="5"/>
  <c r="X313" i="5"/>
  <c r="Y389" i="5"/>
  <c r="Y383" i="5"/>
  <c r="R512" i="5"/>
  <c r="Y415" i="5"/>
  <c r="Y120" i="5"/>
  <c r="Y219" i="5"/>
  <c r="X128" i="5"/>
  <c r="X334" i="5"/>
  <c r="X117" i="5"/>
  <c r="X329" i="5"/>
  <c r="X155" i="5"/>
  <c r="X278" i="5"/>
  <c r="Y277" i="5"/>
  <c r="Y106" i="5"/>
  <c r="X533" i="5"/>
  <c r="R256" i="5"/>
  <c r="Y378" i="5"/>
  <c r="X302" i="5"/>
  <c r="V117" i="4"/>
  <c r="W117" i="4" s="1"/>
  <c r="Y117" i="4" s="1"/>
  <c r="AS26" i="4"/>
  <c r="U117" i="4"/>
  <c r="AH117" i="4" s="1"/>
  <c r="U115" i="4"/>
  <c r="AH115" i="4" s="1"/>
  <c r="AS87" i="4"/>
  <c r="AS37" i="4"/>
  <c r="U125" i="4"/>
  <c r="AH125" i="4" s="1"/>
  <c r="AS57" i="4"/>
  <c r="V46" i="4"/>
  <c r="AM46" i="4" s="1"/>
  <c r="AN46" i="4" s="1"/>
  <c r="AS115" i="4"/>
  <c r="V37" i="4"/>
  <c r="AM37" i="4" s="1"/>
  <c r="AN37" i="4" s="1"/>
  <c r="V61" i="4"/>
  <c r="AM61" i="4" s="1"/>
  <c r="AN61" i="4" s="1"/>
  <c r="V125" i="4"/>
  <c r="AM125" i="4" s="1"/>
  <c r="AN125" i="4" s="1"/>
  <c r="U14" i="4"/>
  <c r="AH14" i="4" s="1"/>
  <c r="V26" i="4"/>
  <c r="U37" i="4"/>
  <c r="AH37" i="4" s="1"/>
  <c r="V145" i="4"/>
  <c r="AM145" i="4" s="1"/>
  <c r="AN145" i="4" s="1"/>
  <c r="V57" i="4"/>
  <c r="AM57" i="4" s="1"/>
  <c r="AN57" i="4" s="1"/>
  <c r="U46" i="4"/>
  <c r="AH46" i="4" s="1"/>
  <c r="U20" i="4"/>
  <c r="AH20" i="4" s="1"/>
  <c r="U61" i="4"/>
  <c r="AH61" i="4" s="1"/>
  <c r="AS125" i="4"/>
  <c r="U134" i="4"/>
  <c r="AH134" i="4" s="1"/>
  <c r="U87" i="4"/>
  <c r="AH87" i="4" s="1"/>
  <c r="AS131" i="4"/>
  <c r="U145" i="4"/>
  <c r="AH145" i="4" s="1"/>
  <c r="AS46" i="4"/>
  <c r="U142" i="4"/>
  <c r="AH142" i="4" s="1"/>
  <c r="AS20" i="4"/>
  <c r="AS61" i="4"/>
  <c r="V12" i="4"/>
  <c r="AM12" i="4" s="1"/>
  <c r="AN12" i="4" s="1"/>
  <c r="V115" i="4"/>
  <c r="W115" i="4" s="1"/>
  <c r="Y115" i="4" s="1"/>
  <c r="AS145" i="4"/>
  <c r="V16" i="4"/>
  <c r="W16" i="4" s="1"/>
  <c r="Y16" i="4" s="1"/>
  <c r="AS142" i="4"/>
  <c r="V20" i="4"/>
  <c r="AM20" i="4" s="1"/>
  <c r="AN20" i="4" s="1"/>
  <c r="V14" i="4"/>
  <c r="AM14" i="4" s="1"/>
  <c r="AN14" i="4" s="1"/>
  <c r="V66" i="4"/>
  <c r="AM66" i="4" s="1"/>
  <c r="AN66" i="4" s="1"/>
  <c r="U18" i="4"/>
  <c r="U128" i="4"/>
  <c r="AH128" i="4" s="1"/>
  <c r="U57" i="4"/>
  <c r="AH57" i="4" s="1"/>
  <c r="V142" i="4"/>
  <c r="AM142" i="4" s="1"/>
  <c r="AN142" i="4" s="1"/>
  <c r="U16" i="4"/>
  <c r="AH16" i="4" s="1"/>
  <c r="V134" i="4"/>
  <c r="W134" i="4" s="1"/>
  <c r="V128" i="4"/>
  <c r="W128" i="4" s="1"/>
  <c r="AS14" i="4"/>
  <c r="U66" i="4"/>
  <c r="AH66" i="4" s="1"/>
  <c r="X395" i="5"/>
  <c r="Y363" i="5"/>
  <c r="X363" i="5"/>
  <c r="X167" i="5"/>
  <c r="Y167" i="5"/>
  <c r="S546" i="5"/>
  <c r="R546" i="5"/>
  <c r="Y145" i="5"/>
  <c r="X266" i="5"/>
  <c r="Y266" i="5"/>
  <c r="X479" i="5"/>
  <c r="Y479" i="5"/>
  <c r="Y373" i="5"/>
  <c r="X373" i="5"/>
  <c r="X68" i="5"/>
  <c r="Y68" i="5"/>
  <c r="X154" i="5"/>
  <c r="Y154" i="5"/>
  <c r="X132" i="5"/>
  <c r="Y132" i="5"/>
  <c r="X366" i="5"/>
  <c r="Y366" i="5"/>
  <c r="Y262" i="5"/>
  <c r="X262" i="5"/>
  <c r="R376" i="5"/>
  <c r="S376" i="5"/>
  <c r="Y110" i="5"/>
  <c r="X110" i="5"/>
  <c r="Y282" i="5"/>
  <c r="X282" i="5"/>
  <c r="R368" i="5"/>
  <c r="S368" i="5"/>
  <c r="Y331" i="5"/>
  <c r="X331" i="5"/>
  <c r="Y557" i="5"/>
  <c r="X557" i="5"/>
  <c r="R176" i="5"/>
  <c r="S176" i="5"/>
  <c r="S200" i="5"/>
  <c r="R200" i="5"/>
  <c r="S534" i="5"/>
  <c r="R534" i="5"/>
  <c r="X112" i="5"/>
  <c r="Y112" i="5"/>
  <c r="X456" i="5"/>
  <c r="Y456" i="5"/>
  <c r="X343" i="5"/>
  <c r="Y343" i="5"/>
  <c r="S248" i="5"/>
  <c r="Y427" i="5"/>
  <c r="X427" i="5"/>
  <c r="R384" i="5"/>
  <c r="X29" i="5"/>
  <c r="Y56" i="5"/>
  <c r="X56" i="5"/>
  <c r="Y290" i="5"/>
  <c r="X290" i="5"/>
  <c r="Y272" i="5"/>
  <c r="X272" i="5"/>
  <c r="X85" i="5"/>
  <c r="Y50" i="5"/>
  <c r="X50" i="5"/>
  <c r="X269" i="5"/>
  <c r="Y269" i="5"/>
  <c r="Y125" i="5"/>
  <c r="X125" i="5"/>
  <c r="Y212" i="5"/>
  <c r="X212" i="5"/>
  <c r="R48" i="5"/>
  <c r="X137" i="5"/>
  <c r="Y484" i="5"/>
  <c r="Y441" i="5"/>
  <c r="R408" i="5"/>
  <c r="R72" i="5"/>
  <c r="Y323" i="5"/>
  <c r="X435" i="5"/>
  <c r="Y435" i="5"/>
  <c r="X405" i="5"/>
  <c r="Y405" i="5"/>
  <c r="X453" i="5"/>
  <c r="Y115" i="5"/>
  <c r="Y403" i="5"/>
  <c r="X403" i="5"/>
  <c r="R360" i="5"/>
  <c r="X202" i="5"/>
  <c r="S296" i="5"/>
  <c r="Y82" i="5"/>
  <c r="X200" i="5"/>
  <c r="R504" i="5"/>
  <c r="R336" i="5"/>
  <c r="S144" i="5"/>
  <c r="R496" i="5"/>
  <c r="Y332" i="5"/>
  <c r="X409" i="5"/>
  <c r="X86" i="5"/>
  <c r="Y130" i="5"/>
  <c r="Y321" i="5"/>
  <c r="Y288" i="5"/>
  <c r="X358" i="5"/>
  <c r="X541" i="5"/>
  <c r="Y510" i="5"/>
  <c r="R440" i="5"/>
  <c r="Y386" i="5"/>
  <c r="Y424" i="5"/>
  <c r="R264" i="5"/>
  <c r="X78" i="5"/>
  <c r="Y555" i="5"/>
  <c r="Y98" i="5"/>
  <c r="R24" i="5"/>
  <c r="Y63" i="5"/>
  <c r="X298" i="5"/>
  <c r="Y391" i="5"/>
  <c r="X299" i="5"/>
  <c r="Y72" i="5"/>
  <c r="Y361" i="5"/>
  <c r="X549" i="5"/>
  <c r="X60" i="5"/>
  <c r="X257" i="5"/>
  <c r="Y464" i="5"/>
  <c r="X229" i="5"/>
  <c r="X62" i="5"/>
  <c r="X537" i="5"/>
  <c r="Y542" i="5"/>
  <c r="Y287" i="5"/>
  <c r="X387" i="5"/>
  <c r="Y199" i="5"/>
  <c r="Y119" i="5"/>
  <c r="Y253" i="5"/>
  <c r="X198" i="5"/>
  <c r="Y506" i="5"/>
  <c r="X178" i="5"/>
  <c r="Y486" i="5"/>
  <c r="X505" i="5"/>
  <c r="Y189" i="5"/>
  <c r="Y237" i="5"/>
  <c r="X270" i="5"/>
  <c r="X89" i="5"/>
  <c r="Y454" i="5"/>
  <c r="X275" i="5"/>
  <c r="Y139" i="5"/>
  <c r="Y543" i="5"/>
  <c r="X478" i="5"/>
  <c r="X466" i="5"/>
  <c r="X21" i="5"/>
  <c r="Y281" i="5"/>
  <c r="X551" i="5"/>
  <c r="X23" i="5"/>
  <c r="Y38" i="5"/>
  <c r="X247" i="5"/>
  <c r="Y208" i="5"/>
  <c r="X482" i="5"/>
  <c r="Y433" i="5"/>
  <c r="R400" i="5"/>
  <c r="Y480" i="5"/>
  <c r="X511" i="5"/>
  <c r="S56" i="5"/>
  <c r="S272" i="5"/>
  <c r="Y382" i="5"/>
  <c r="Y473" i="5"/>
  <c r="X341" i="5"/>
  <c r="Y271" i="5"/>
  <c r="X300" i="5"/>
  <c r="Y172" i="5"/>
  <c r="Y460" i="5"/>
  <c r="Y305" i="5"/>
  <c r="X400" i="5"/>
  <c r="Y490" i="5"/>
  <c r="X390" i="5"/>
  <c r="X470" i="5"/>
  <c r="Y153" i="5"/>
  <c r="X222" i="5"/>
  <c r="X509" i="5"/>
  <c r="X393" i="5"/>
  <c r="X550" i="5"/>
  <c r="S120" i="5"/>
  <c r="Y293" i="5"/>
  <c r="X445" i="5"/>
  <c r="Y93" i="5"/>
  <c r="X351" i="5"/>
  <c r="Y353" i="5"/>
  <c r="X481" i="5"/>
  <c r="X223" i="5"/>
  <c r="X519" i="5"/>
  <c r="Y169" i="5"/>
  <c r="Y530" i="5"/>
  <c r="X174" i="5"/>
  <c r="X512" i="5"/>
  <c r="X428" i="5"/>
  <c r="X64" i="5"/>
  <c r="X248" i="5"/>
  <c r="X243" i="5"/>
  <c r="Y57" i="5"/>
  <c r="Y444" i="5"/>
  <c r="Y26" i="5"/>
  <c r="Y233" i="5"/>
  <c r="X58" i="5"/>
  <c r="X273" i="5"/>
  <c r="X475" i="5"/>
  <c r="X194" i="5"/>
  <c r="Y46" i="5"/>
  <c r="Y401" i="5"/>
  <c r="Y312" i="5"/>
  <c r="Y180" i="5"/>
  <c r="Y142" i="5"/>
  <c r="X304" i="5"/>
  <c r="W96" i="4"/>
  <c r="Y96" i="4" s="1"/>
  <c r="Z96" i="4" s="1"/>
  <c r="AF96" i="4" s="1"/>
  <c r="AO96" i="4" s="1"/>
  <c r="Y529" i="5"/>
  <c r="Y425" i="5"/>
  <c r="X498" i="5"/>
  <c r="Y131" i="5"/>
  <c r="W73" i="4"/>
  <c r="X73" i="4" s="1"/>
  <c r="X108" i="5"/>
  <c r="Y77" i="5"/>
  <c r="X102" i="5"/>
  <c r="X438" i="5"/>
  <c r="Y197" i="5"/>
  <c r="Y359" i="5"/>
  <c r="X552" i="5"/>
  <c r="X263" i="5"/>
  <c r="Y152" i="5"/>
  <c r="X535" i="5"/>
  <c r="X472" i="5"/>
  <c r="Y42" i="5"/>
  <c r="X36" i="5"/>
  <c r="X546" i="5"/>
  <c r="Y339" i="5"/>
  <c r="X254" i="5"/>
  <c r="Y196" i="5"/>
  <c r="X73" i="5"/>
  <c r="Y239" i="5"/>
  <c r="Y173" i="5"/>
  <c r="X61" i="5"/>
  <c r="Y296" i="5"/>
  <c r="Y381" i="5"/>
  <c r="Y48" i="5"/>
  <c r="X244" i="5"/>
  <c r="Y99" i="5"/>
  <c r="X258" i="5"/>
  <c r="Y22" i="5"/>
  <c r="X536" i="5"/>
  <c r="Y493" i="5"/>
  <c r="X133" i="5"/>
  <c r="Y284" i="5"/>
  <c r="Y463" i="5"/>
  <c r="Y350" i="5"/>
  <c r="Y357" i="5"/>
  <c r="Y317" i="5"/>
  <c r="Y187" i="5"/>
  <c r="Y485" i="5"/>
  <c r="X280" i="5"/>
  <c r="Y500" i="5"/>
  <c r="X507" i="5"/>
  <c r="Y291" i="5"/>
  <c r="X66" i="5"/>
  <c r="Y520" i="5"/>
  <c r="R184" i="5"/>
  <c r="X477" i="5"/>
  <c r="Y402" i="5"/>
  <c r="Y216" i="5"/>
  <c r="R538" i="5"/>
  <c r="Y440" i="5"/>
  <c r="Y101" i="5"/>
  <c r="X327" i="5"/>
  <c r="Y408" i="5"/>
  <c r="Y436" i="5"/>
  <c r="X191" i="5"/>
  <c r="Y376" i="5"/>
  <c r="X515" i="5"/>
  <c r="Y213" i="5"/>
  <c r="X474" i="5"/>
  <c r="Y84" i="5"/>
  <c r="Y346" i="5"/>
  <c r="X261" i="5"/>
  <c r="Y81" i="5"/>
  <c r="Y175" i="5"/>
  <c r="Y526" i="5"/>
  <c r="X392" i="5"/>
  <c r="X354" i="5"/>
  <c r="Y75" i="5"/>
  <c r="Y97" i="5"/>
  <c r="X372" i="5"/>
  <c r="X442" i="5"/>
  <c r="X249" i="5"/>
  <c r="Y487" i="5"/>
  <c r="Y492" i="5"/>
  <c r="Y410" i="5"/>
  <c r="R192" i="5"/>
  <c r="R160" i="5"/>
  <c r="Y238" i="5"/>
  <c r="Y92" i="5"/>
  <c r="Y148" i="5"/>
  <c r="Y20" i="5"/>
  <c r="Y422" i="5"/>
  <c r="Y59" i="5"/>
  <c r="Y267" i="5"/>
  <c r="X32" i="5"/>
  <c r="X79" i="5"/>
  <c r="X201" i="5"/>
  <c r="R352" i="5"/>
  <c r="Y360" i="5"/>
  <c r="X210" i="5"/>
  <c r="X183" i="5"/>
  <c r="Y385" i="5"/>
  <c r="Y279" i="5"/>
  <c r="X504" i="5"/>
  <c r="X88" i="5"/>
  <c r="X559" i="5"/>
  <c r="X170" i="5"/>
  <c r="X283" i="5"/>
  <c r="Y39" i="5"/>
  <c r="X234" i="5"/>
  <c r="X501" i="5"/>
  <c r="X232" i="5"/>
  <c r="X538" i="5"/>
  <c r="X344" i="5"/>
  <c r="Y503" i="5"/>
  <c r="X165" i="5"/>
  <c r="X168" i="5"/>
  <c r="Y265" i="5"/>
  <c r="Y255" i="5"/>
  <c r="X488" i="5"/>
  <c r="X483" i="5"/>
  <c r="X497" i="5"/>
  <c r="X160" i="5"/>
  <c r="X136" i="5"/>
  <c r="Y423" i="5"/>
  <c r="Y121" i="5"/>
  <c r="X455" i="5"/>
  <c r="X508" i="5"/>
  <c r="X164" i="5"/>
  <c r="X375" i="5"/>
  <c r="X540" i="5"/>
  <c r="Y417" i="5"/>
  <c r="X151" i="5"/>
  <c r="Y76" i="5"/>
  <c r="Y371" i="5"/>
  <c r="Y330" i="5"/>
  <c r="X388" i="5"/>
  <c r="Y252" i="5"/>
  <c r="X532" i="5"/>
  <c r="X27" i="5"/>
  <c r="Y54" i="5"/>
  <c r="X207" i="5"/>
  <c r="X449" i="5"/>
  <c r="Y545" i="5"/>
  <c r="Y380" i="5"/>
  <c r="X104" i="5"/>
  <c r="Y30" i="5"/>
  <c r="X306" i="5"/>
  <c r="Y241" i="5"/>
  <c r="X349" i="5"/>
  <c r="X406" i="5"/>
  <c r="Y70" i="5"/>
  <c r="W140" i="4"/>
  <c r="Y140" i="4" s="1"/>
  <c r="AM140" i="4"/>
  <c r="W105" i="4"/>
  <c r="AM105" i="4"/>
  <c r="AS58" i="4"/>
  <c r="AS149" i="4"/>
  <c r="AS157" i="4"/>
  <c r="AS77" i="4"/>
  <c r="V22" i="4"/>
  <c r="AM22" i="4" s="1"/>
  <c r="AN22" i="4" s="1"/>
  <c r="AS39" i="4"/>
  <c r="V109" i="4"/>
  <c r="AM109" i="4" s="1"/>
  <c r="AN109" i="4" s="1"/>
  <c r="X496" i="5"/>
  <c r="Y217" i="5"/>
  <c r="Y221" i="5"/>
  <c r="X333" i="5"/>
  <c r="Y242" i="5"/>
  <c r="Y220" i="5"/>
  <c r="X471" i="5"/>
  <c r="Y150" i="5"/>
  <c r="X140" i="5"/>
  <c r="U24" i="4"/>
  <c r="AH24" i="4" s="1"/>
  <c r="AL84" i="4"/>
  <c r="AS84" i="4"/>
  <c r="AL155" i="4"/>
  <c r="U155" i="4"/>
  <c r="AL118" i="4"/>
  <c r="AS118" i="4"/>
  <c r="Y122" i="5"/>
  <c r="X122" i="5"/>
  <c r="V83" i="4"/>
  <c r="V67" i="4"/>
  <c r="AM67" i="4" s="1"/>
  <c r="AN67" i="4" s="1"/>
  <c r="X328" i="5"/>
  <c r="R288" i="5"/>
  <c r="V39" i="4"/>
  <c r="AM39" i="4" s="1"/>
  <c r="AN39" i="4" s="1"/>
  <c r="AS109" i="4"/>
  <c r="Y467" i="5"/>
  <c r="Y439" i="5"/>
  <c r="Y188" i="5"/>
  <c r="Y236" i="5"/>
  <c r="Y356" i="5"/>
  <c r="Y268" i="5"/>
  <c r="Y159" i="5"/>
  <c r="X476" i="5"/>
  <c r="U109" i="4"/>
  <c r="AH109" i="4" s="1"/>
  <c r="AL10" i="4"/>
  <c r="V10" i="4"/>
  <c r="AL101" i="4"/>
  <c r="U101" i="4"/>
  <c r="AH101" i="4" s="1"/>
  <c r="V101" i="4"/>
  <c r="AL62" i="4"/>
  <c r="AS62" i="4"/>
  <c r="V62" i="4"/>
  <c r="AS96" i="4"/>
  <c r="AL157" i="4"/>
  <c r="U157" i="4"/>
  <c r="AH157" i="4" s="1"/>
  <c r="AL77" i="4"/>
  <c r="U77" i="4"/>
  <c r="AH77" i="4" s="1"/>
  <c r="U42" i="4"/>
  <c r="AH42" i="4" s="1"/>
  <c r="AS33" i="4"/>
  <c r="U67" i="4"/>
  <c r="AH67" i="4" s="1"/>
  <c r="V15" i="4"/>
  <c r="AM15" i="4" s="1"/>
  <c r="AN15" i="4" s="1"/>
  <c r="AS121" i="4"/>
  <c r="V43" i="4"/>
  <c r="W43" i="4" s="1"/>
  <c r="Y43" i="4" s="1"/>
  <c r="X24" i="5"/>
  <c r="X256" i="5"/>
  <c r="AS135" i="4"/>
  <c r="Y352" i="5"/>
  <c r="U39" i="4"/>
  <c r="AH39" i="4" s="1"/>
  <c r="X123" i="5"/>
  <c r="Y246" i="5"/>
  <c r="Y523" i="5"/>
  <c r="Y190" i="5"/>
  <c r="X34" i="5"/>
  <c r="Y544" i="5"/>
  <c r="Y513" i="5"/>
  <c r="X149" i="5"/>
  <c r="V58" i="4"/>
  <c r="U91" i="4"/>
  <c r="AH91" i="4" s="1"/>
  <c r="AS101" i="4"/>
  <c r="AS137" i="4"/>
  <c r="AS42" i="4"/>
  <c r="V33" i="4"/>
  <c r="W33" i="4" s="1"/>
  <c r="Y33" i="4" s="1"/>
  <c r="Z33" i="4" s="1"/>
  <c r="AS67" i="4"/>
  <c r="AS15" i="4"/>
  <c r="V121" i="4"/>
  <c r="W121" i="4" s="1"/>
  <c r="Y121" i="4" s="1"/>
  <c r="Z121" i="4" s="1"/>
  <c r="U43" i="4"/>
  <c r="AH43" i="4" s="1"/>
  <c r="U129" i="4"/>
  <c r="AH129" i="4" s="1"/>
  <c r="AM9" i="5"/>
  <c r="AN9" i="5" s="1"/>
  <c r="V135" i="4"/>
  <c r="AM135" i="4" s="1"/>
  <c r="AN135" i="4" s="1"/>
  <c r="X447" i="5"/>
  <c r="X19" i="5"/>
  <c r="Y407" i="5"/>
  <c r="Y251" i="5"/>
  <c r="Y157" i="5"/>
  <c r="Y80" i="5"/>
  <c r="Y143" i="5"/>
  <c r="AL132" i="4"/>
  <c r="V132" i="4"/>
  <c r="U132" i="4"/>
  <c r="AH132" i="4" s="1"/>
  <c r="AL130" i="4"/>
  <c r="V130" i="4"/>
  <c r="AL98" i="4"/>
  <c r="AS98" i="4"/>
  <c r="Y469" i="5"/>
  <c r="X560" i="5"/>
  <c r="U94" i="4"/>
  <c r="AH94" i="4" s="1"/>
  <c r="V94" i="4"/>
  <c r="AS94" i="4"/>
  <c r="AL94" i="4"/>
  <c r="V155" i="4"/>
  <c r="V24" i="4"/>
  <c r="V129" i="4"/>
  <c r="AM129" i="4" s="1"/>
  <c r="AN129" i="4" s="1"/>
  <c r="AS72" i="4"/>
  <c r="V152" i="4"/>
  <c r="AM152" i="4" s="1"/>
  <c r="AN152" i="4" s="1"/>
  <c r="V148" i="4"/>
  <c r="AM148" i="4" s="1"/>
  <c r="AN148" i="4" s="1"/>
  <c r="X316" i="5"/>
  <c r="Y141" i="5"/>
  <c r="Y67" i="5"/>
  <c r="X177" i="5"/>
  <c r="Y429" i="5"/>
  <c r="Y521" i="5"/>
  <c r="Y430" i="5"/>
  <c r="Y556" i="5"/>
  <c r="X71" i="5"/>
  <c r="X348" i="5"/>
  <c r="X124" i="5"/>
  <c r="AS59" i="4"/>
  <c r="AL59" i="4"/>
  <c r="V59" i="4"/>
  <c r="U59" i="4"/>
  <c r="AH59" i="4" s="1"/>
  <c r="AS79" i="4"/>
  <c r="AL79" i="4"/>
  <c r="U79" i="4"/>
  <c r="AH79" i="4" s="1"/>
  <c r="V79" i="4"/>
  <c r="AL141" i="4"/>
  <c r="V141" i="4"/>
  <c r="AS73" i="4"/>
  <c r="AL73" i="4"/>
  <c r="AN73" i="4" s="1"/>
  <c r="AL133" i="4"/>
  <c r="U133" i="4"/>
  <c r="AH133" i="4" s="1"/>
  <c r="V133" i="4"/>
  <c r="AS18" i="4"/>
  <c r="AS130" i="4"/>
  <c r="AM11" i="5"/>
  <c r="AO11" i="5" s="1"/>
  <c r="V56" i="4"/>
  <c r="W56" i="4" s="1"/>
  <c r="Y56" i="4" s="1"/>
  <c r="Z56" i="4" s="1"/>
  <c r="AH138" i="4"/>
  <c r="U149" i="4"/>
  <c r="AH149" i="4" s="1"/>
  <c r="AS56" i="4"/>
  <c r="V72" i="4"/>
  <c r="AM72" i="4" s="1"/>
  <c r="AN72" i="4" s="1"/>
  <c r="AS152" i="4"/>
  <c r="U148" i="4"/>
  <c r="AH148" i="4" s="1"/>
  <c r="U22" i="4"/>
  <c r="AH22" i="4" s="1"/>
  <c r="Y384" i="5"/>
  <c r="X340" i="5"/>
  <c r="X114" i="5"/>
  <c r="AH96" i="4"/>
  <c r="AL34" i="4"/>
  <c r="AS34" i="4"/>
  <c r="V34" i="4"/>
  <c r="U34" i="4"/>
  <c r="AH34" i="4" s="1"/>
  <c r="AL140" i="4"/>
  <c r="U140" i="4"/>
  <c r="AH140" i="4" s="1"/>
  <c r="AS140" i="4"/>
  <c r="AL143" i="4"/>
  <c r="AS143" i="4"/>
  <c r="AL105" i="4"/>
  <c r="AS105" i="4"/>
  <c r="U105" i="4"/>
  <c r="AL21" i="4"/>
  <c r="V21" i="4"/>
  <c r="U21" i="4"/>
  <c r="AH21" i="4" s="1"/>
  <c r="AS21" i="4"/>
  <c r="AS132" i="4"/>
  <c r="V144" i="4"/>
  <c r="Y8" i="5"/>
  <c r="X338" i="5"/>
  <c r="Y53" i="5"/>
  <c r="X420" i="5"/>
  <c r="X431" i="5"/>
  <c r="Y369" i="5"/>
  <c r="Y90" i="5"/>
  <c r="X548" i="5"/>
  <c r="X522" i="5"/>
  <c r="Y186" i="5"/>
  <c r="X468" i="5"/>
  <c r="X324" i="5"/>
  <c r="X226" i="5"/>
  <c r="X31" i="5"/>
  <c r="Y245" i="5"/>
  <c r="Y33" i="5"/>
  <c r="X195" i="5"/>
  <c r="X311" i="5"/>
  <c r="Y294" i="5"/>
  <c r="Y182" i="5"/>
  <c r="X25" i="5"/>
  <c r="Y494" i="5"/>
  <c r="Y443" i="5"/>
  <c r="X303" i="5"/>
  <c r="Y421" i="5"/>
  <c r="Y524" i="5"/>
  <c r="Y176" i="5"/>
  <c r="X44" i="5"/>
  <c r="Y418" i="5"/>
  <c r="X40" i="5"/>
  <c r="X91" i="5"/>
  <c r="X528" i="5"/>
  <c r="X368" i="5"/>
  <c r="X228" i="5"/>
  <c r="X127" i="5"/>
  <c r="Y127" i="5"/>
  <c r="X461" i="5"/>
  <c r="Y461" i="5"/>
  <c r="Y502" i="5"/>
  <c r="Y450" i="5"/>
  <c r="X309" i="5"/>
  <c r="X146" i="5"/>
  <c r="X166" i="5"/>
  <c r="Y109" i="5"/>
  <c r="Y230" i="5"/>
  <c r="X230" i="5"/>
  <c r="X171" i="5"/>
  <c r="Y171" i="5"/>
  <c r="Y113" i="5"/>
  <c r="X113" i="5"/>
  <c r="Y377" i="5"/>
  <c r="X377" i="5"/>
  <c r="Y193" i="5"/>
  <c r="X193" i="5"/>
  <c r="Y285" i="5"/>
  <c r="X285" i="5"/>
  <c r="X235" i="5"/>
  <c r="Y235" i="5"/>
  <c r="X94" i="5"/>
  <c r="Y370" i="5"/>
  <c r="X370" i="5"/>
  <c r="AH11" i="4"/>
  <c r="Y397" i="5"/>
  <c r="X111" i="5"/>
  <c r="X495" i="5"/>
  <c r="Y105" i="5"/>
  <c r="Y396" i="5"/>
  <c r="X367" i="5"/>
  <c r="X414" i="5"/>
  <c r="X462" i="5"/>
  <c r="Y209" i="5"/>
  <c r="X459" i="5"/>
  <c r="Y459" i="5"/>
  <c r="X307" i="5"/>
  <c r="Y307" i="5"/>
  <c r="Y527" i="5"/>
  <c r="AH15" i="4"/>
  <c r="X534" i="5"/>
  <c r="X227" i="5"/>
  <c r="Y116" i="5"/>
  <c r="Y250" i="5"/>
  <c r="Y107" i="5"/>
  <c r="Y162" i="5"/>
  <c r="X295" i="5"/>
  <c r="Y49" i="5"/>
  <c r="X49" i="5"/>
  <c r="X413" i="5"/>
  <c r="X398" i="5"/>
  <c r="Y419" i="5"/>
  <c r="Y558" i="5"/>
  <c r="Y452" i="5"/>
  <c r="X452" i="5"/>
  <c r="X147" i="5"/>
  <c r="Y147" i="5"/>
  <c r="X47" i="5"/>
  <c r="Y47" i="5"/>
  <c r="Y446" i="5"/>
  <c r="X292" i="5"/>
  <c r="Y336" i="5"/>
  <c r="Y41" i="5"/>
  <c r="X347" i="5"/>
  <c r="Y364" i="5"/>
  <c r="Y185" i="5"/>
  <c r="Y37" i="5"/>
  <c r="Y362" i="5"/>
  <c r="Y411" i="5"/>
  <c r="Y144" i="5"/>
  <c r="Y308" i="5"/>
  <c r="X224" i="5"/>
  <c r="Y337" i="5"/>
  <c r="X231" i="5"/>
  <c r="X335" i="5"/>
  <c r="Y297" i="5"/>
  <c r="Y87" i="5"/>
  <c r="Y547" i="5"/>
  <c r="X547" i="5"/>
  <c r="AH8" i="4"/>
  <c r="Y318" i="5"/>
  <c r="X322" i="5"/>
  <c r="Y134" i="5"/>
  <c r="Y163" i="5"/>
  <c r="Y539" i="5"/>
  <c r="Y379" i="5"/>
  <c r="Y225" i="5"/>
  <c r="X457" i="5"/>
  <c r="Y325" i="5"/>
  <c r="X325" i="5"/>
  <c r="X489" i="5"/>
  <c r="Y489" i="5"/>
  <c r="X205" i="5"/>
  <c r="Y205" i="5"/>
  <c r="AJ11" i="5"/>
  <c r="AK11" i="5" s="1"/>
  <c r="AM84" i="4"/>
  <c r="W84" i="4"/>
  <c r="X138" i="5"/>
  <c r="Y499" i="5"/>
  <c r="X499" i="5"/>
  <c r="Y514" i="5"/>
  <c r="X203" i="5"/>
  <c r="Y103" i="5"/>
  <c r="X103" i="5"/>
  <c r="Y404" i="5"/>
  <c r="X404" i="5"/>
  <c r="X345" i="5"/>
  <c r="Y345" i="5"/>
  <c r="W9" i="5"/>
  <c r="T9" i="5"/>
  <c r="AG9" i="5"/>
  <c r="Q9" i="5"/>
  <c r="X118" i="5"/>
  <c r="Y118" i="5"/>
  <c r="X374" i="5"/>
  <c r="Y374" i="5"/>
  <c r="Y315" i="5"/>
  <c r="X315" i="5"/>
  <c r="X516" i="5"/>
  <c r="P326" i="5"/>
  <c r="P32" i="5"/>
  <c r="P375" i="5"/>
  <c r="P445" i="5"/>
  <c r="P93" i="5"/>
  <c r="P342" i="5"/>
  <c r="P195" i="5"/>
  <c r="P279" i="5"/>
  <c r="P242" i="5"/>
  <c r="P465" i="5"/>
  <c r="P263" i="5"/>
  <c r="P210" i="5"/>
  <c r="P72" i="5"/>
  <c r="P454" i="5"/>
  <c r="P270" i="5"/>
  <c r="P475" i="5"/>
  <c r="P254" i="5"/>
  <c r="P98" i="5"/>
  <c r="P460" i="5"/>
  <c r="P492" i="5"/>
  <c r="P282" i="5"/>
  <c r="P172" i="5"/>
  <c r="P132" i="5"/>
  <c r="P413" i="5"/>
  <c r="P438" i="5"/>
  <c r="P336" i="5"/>
  <c r="P428" i="5"/>
  <c r="P115" i="5"/>
  <c r="P140" i="5"/>
  <c r="P154" i="5"/>
  <c r="P528" i="5"/>
  <c r="P322" i="5"/>
  <c r="P398" i="5"/>
  <c r="P327" i="5"/>
  <c r="P332" i="5"/>
  <c r="P53" i="5"/>
  <c r="P213" i="5"/>
  <c r="P409" i="5"/>
  <c r="P385" i="5"/>
  <c r="P557" i="5"/>
  <c r="P560" i="5"/>
  <c r="P27" i="5"/>
  <c r="P36" i="5"/>
  <c r="P504" i="5"/>
  <c r="P266" i="5"/>
  <c r="P264" i="5"/>
  <c r="P468" i="5"/>
  <c r="P11" i="5"/>
  <c r="P476" i="5"/>
  <c r="P436" i="5"/>
  <c r="P146" i="5"/>
  <c r="P548" i="5"/>
  <c r="P78" i="5"/>
  <c r="P352" i="5"/>
  <c r="P104" i="5"/>
  <c r="P404" i="5"/>
  <c r="P382" i="5"/>
  <c r="P239" i="5"/>
  <c r="P33" i="5"/>
  <c r="P479" i="5"/>
  <c r="P247" i="5"/>
  <c r="P477" i="5"/>
  <c r="P143" i="5"/>
  <c r="P505" i="5"/>
  <c r="P538" i="5"/>
  <c r="P376" i="5"/>
  <c r="P121" i="5"/>
  <c r="P109" i="5"/>
  <c r="P388" i="5"/>
  <c r="P131" i="5"/>
  <c r="P373" i="5"/>
  <c r="P116" i="5"/>
  <c r="P537" i="5"/>
  <c r="P514" i="5"/>
  <c r="P499" i="5"/>
  <c r="P311" i="5"/>
  <c r="P387" i="5"/>
  <c r="P170" i="5"/>
  <c r="P248" i="5"/>
  <c r="P318" i="5"/>
  <c r="P293" i="5"/>
  <c r="P464" i="5"/>
  <c r="P128" i="5"/>
  <c r="P35" i="5"/>
  <c r="P22" i="5"/>
  <c r="P364" i="5"/>
  <c r="P530" i="5"/>
  <c r="P296" i="5"/>
  <c r="P486" i="5"/>
  <c r="P230" i="5"/>
  <c r="P452" i="5"/>
  <c r="P295" i="5"/>
  <c r="P187" i="5"/>
  <c r="P163" i="5"/>
  <c r="P66" i="5"/>
  <c r="P356" i="5"/>
  <c r="P369" i="5"/>
  <c r="P312" i="5"/>
  <c r="P51" i="5"/>
  <c r="P467" i="5"/>
  <c r="P12" i="5"/>
  <c r="P134" i="5"/>
  <c r="P501" i="5"/>
  <c r="P315" i="5"/>
  <c r="P152" i="5"/>
  <c r="P106" i="5"/>
  <c r="P67" i="5"/>
  <c r="P240" i="5"/>
  <c r="P553" i="5"/>
  <c r="P357" i="5"/>
  <c r="P473" i="5"/>
  <c r="P105" i="5"/>
  <c r="P396" i="5"/>
  <c r="P215" i="5"/>
  <c r="P150" i="5"/>
  <c r="P194" i="5"/>
  <c r="P103" i="5"/>
  <c r="P304" i="5"/>
  <c r="P75" i="5"/>
  <c r="P201" i="5"/>
  <c r="P298" i="5"/>
  <c r="P457" i="5"/>
  <c r="P395" i="5"/>
  <c r="P427" i="5"/>
  <c r="P156" i="5"/>
  <c r="P56" i="5"/>
  <c r="P219" i="5"/>
  <c r="P258" i="5"/>
  <c r="P453" i="5"/>
  <c r="P419" i="5"/>
  <c r="P440" i="5"/>
  <c r="P372" i="5"/>
  <c r="P144" i="5"/>
  <c r="P439" i="5"/>
  <c r="P273" i="5"/>
  <c r="P392" i="5"/>
  <c r="P28" i="5"/>
  <c r="P435" i="5"/>
  <c r="P474" i="5"/>
  <c r="P490" i="5"/>
  <c r="P100" i="5"/>
  <c r="P168" i="5"/>
  <c r="P19" i="5"/>
  <c r="P360" i="5"/>
  <c r="P193" i="5"/>
  <c r="P160" i="5"/>
  <c r="P124" i="5"/>
  <c r="P229" i="5"/>
  <c r="P255" i="5"/>
  <c r="P299" i="5"/>
  <c r="P268" i="5"/>
  <c r="P54" i="5"/>
  <c r="P503" i="5"/>
  <c r="P207" i="5"/>
  <c r="P543" i="5"/>
  <c r="P149" i="5"/>
  <c r="P44" i="5"/>
  <c r="P80" i="5"/>
  <c r="P269" i="5"/>
  <c r="P158" i="5"/>
  <c r="P523" i="5"/>
  <c r="P233" i="5"/>
  <c r="P330" i="5"/>
  <c r="P378" i="5"/>
  <c r="P192" i="5"/>
  <c r="P246" i="5"/>
  <c r="P200" i="5"/>
  <c r="P287" i="5"/>
  <c r="P232" i="5"/>
  <c r="P88" i="5"/>
  <c r="P218" i="5"/>
  <c r="P259" i="5"/>
  <c r="P231" i="5"/>
  <c r="P161" i="5"/>
  <c r="P549" i="5"/>
  <c r="P175" i="5"/>
  <c r="P433" i="5"/>
  <c r="P281" i="5"/>
  <c r="P502" i="5"/>
  <c r="P24" i="5"/>
  <c r="P120" i="5"/>
  <c r="P506" i="5"/>
  <c r="P112" i="5"/>
  <c r="P97" i="5"/>
  <c r="P459" i="5"/>
  <c r="P173" i="5"/>
  <c r="P74" i="5"/>
  <c r="P493" i="5"/>
  <c r="P344" i="5"/>
  <c r="P186" i="5"/>
  <c r="P339" i="5"/>
  <c r="P346" i="5"/>
  <c r="P145" i="5"/>
  <c r="P226" i="5"/>
  <c r="P489" i="5"/>
  <c r="P261" i="5"/>
  <c r="P370" i="5"/>
  <c r="P283" i="5"/>
  <c r="P221" i="5"/>
  <c r="P46" i="5"/>
  <c r="P554" i="5"/>
  <c r="P177" i="5"/>
  <c r="P516" i="5"/>
  <c r="P358" i="5"/>
  <c r="P447" i="5"/>
  <c r="P204" i="5"/>
  <c r="P275" i="5"/>
  <c r="P434" i="5"/>
  <c r="P211" i="5"/>
  <c r="P85" i="5"/>
  <c r="P38" i="5"/>
  <c r="P350" i="5"/>
  <c r="P71" i="5"/>
  <c r="P485" i="5"/>
  <c r="P271" i="5"/>
  <c r="P43" i="5"/>
  <c r="P250" i="5"/>
  <c r="P559" i="5"/>
  <c r="P73" i="5"/>
  <c r="P347" i="5"/>
  <c r="P49" i="5"/>
  <c r="P472" i="5"/>
  <c r="P48" i="5"/>
  <c r="P110" i="5"/>
  <c r="P442" i="5"/>
  <c r="P420" i="5"/>
  <c r="P400" i="5"/>
  <c r="P397" i="5"/>
  <c r="P34" i="5"/>
  <c r="P203" i="5"/>
  <c r="P519" i="5"/>
  <c r="P123" i="5"/>
  <c r="P113" i="5"/>
  <c r="P305" i="5"/>
  <c r="P243" i="5"/>
  <c r="P47" i="5"/>
  <c r="P386" i="5"/>
  <c r="P313" i="5"/>
  <c r="P424" i="5"/>
  <c r="P328" i="5"/>
  <c r="P402" i="5"/>
  <c r="P294" i="5"/>
  <c r="P343" i="5"/>
  <c r="P359" i="5"/>
  <c r="P61" i="5"/>
  <c r="P354" i="5"/>
  <c r="P544" i="5"/>
  <c r="P345" i="5"/>
  <c r="P63" i="5"/>
  <c r="P135" i="5"/>
  <c r="P362" i="5"/>
  <c r="P165" i="5"/>
  <c r="P507" i="5"/>
  <c r="P338" i="5"/>
  <c r="P518" i="5"/>
  <c r="P421" i="5"/>
  <c r="P69" i="5"/>
  <c r="P183" i="5"/>
  <c r="P290" i="5"/>
  <c r="P510" i="5"/>
  <c r="P300" i="5"/>
  <c r="P189" i="5"/>
  <c r="P23" i="5"/>
  <c r="P462" i="5"/>
  <c r="P59" i="5"/>
  <c r="P450" i="5"/>
  <c r="P306" i="5"/>
  <c r="P374" i="5"/>
  <c r="P353" i="5"/>
  <c r="P535" i="5"/>
  <c r="P235" i="5"/>
  <c r="P301" i="5"/>
  <c r="P209" i="5"/>
  <c r="P390" i="5"/>
  <c r="P65" i="5"/>
  <c r="P317" i="5"/>
  <c r="P81" i="5"/>
  <c r="P237" i="5"/>
  <c r="P202" i="5"/>
  <c r="P176" i="5"/>
  <c r="P236" i="5"/>
  <c r="P188" i="5"/>
  <c r="P451" i="5"/>
  <c r="P411" i="5"/>
  <c r="P122" i="5"/>
  <c r="P547" i="5"/>
  <c r="P83" i="5"/>
  <c r="P274" i="5"/>
  <c r="P129" i="5"/>
  <c r="P111" i="5"/>
  <c r="P491" i="5"/>
  <c r="P166" i="5"/>
  <c r="P288" i="5"/>
  <c r="P214" i="5"/>
  <c r="P449" i="5"/>
  <c r="P363" i="5"/>
  <c r="P77" i="5"/>
  <c r="P171" i="5"/>
  <c r="P216" i="5"/>
  <c r="P431" i="5"/>
  <c r="P119" i="5"/>
  <c r="P245" i="5"/>
  <c r="P463" i="5"/>
  <c r="P222" i="5"/>
  <c r="P118" i="5"/>
  <c r="P552" i="5"/>
  <c r="P205" i="5"/>
  <c r="P401" i="5"/>
  <c r="P280" i="5"/>
  <c r="P522" i="5"/>
  <c r="P422" i="5"/>
  <c r="P84" i="5"/>
  <c r="P94" i="5"/>
  <c r="P368" i="5"/>
  <c r="P456" i="5"/>
  <c r="P86" i="5"/>
  <c r="P414" i="5"/>
  <c r="P515" i="5"/>
  <c r="P162" i="5"/>
  <c r="P92" i="5"/>
  <c r="P484" i="5"/>
  <c r="P31" i="5"/>
  <c r="P334" i="5"/>
  <c r="P52" i="5"/>
  <c r="P406" i="5"/>
  <c r="P249" i="5"/>
  <c r="P126" i="5"/>
  <c r="P418" i="5"/>
  <c r="P212" i="5"/>
  <c r="P366" i="5"/>
  <c r="P417" i="5"/>
  <c r="P539" i="5"/>
  <c r="P365" i="5"/>
  <c r="P335" i="5"/>
  <c r="P348" i="5"/>
  <c r="P310" i="5"/>
  <c r="P542" i="5"/>
  <c r="P532" i="5"/>
  <c r="P470" i="5"/>
  <c r="P130" i="5"/>
  <c r="P89" i="5"/>
  <c r="P276" i="5"/>
  <c r="P471" i="5"/>
  <c r="P399" i="5"/>
  <c r="P29" i="5"/>
  <c r="P244" i="5"/>
  <c r="P410" i="5"/>
  <c r="P153" i="5"/>
  <c r="P308" i="5"/>
  <c r="P540" i="5"/>
  <c r="P147" i="5"/>
  <c r="P164" i="5"/>
  <c r="P408" i="5"/>
  <c r="P319" i="5"/>
  <c r="P511" i="5"/>
  <c r="P320" i="5"/>
  <c r="P443" i="5"/>
  <c r="P289" i="5"/>
  <c r="P50" i="5"/>
  <c r="P151" i="5"/>
  <c r="P291" i="5"/>
  <c r="P480" i="5"/>
  <c r="P37" i="5"/>
  <c r="P531" i="5"/>
  <c r="P534" i="5"/>
  <c r="P225" i="5"/>
  <c r="P136" i="5"/>
  <c r="P526" i="5"/>
  <c r="P224" i="5"/>
  <c r="P333" i="5"/>
  <c r="P340" i="5"/>
  <c r="P556" i="5"/>
  <c r="P430" i="5"/>
  <c r="P96" i="5"/>
  <c r="P139" i="5"/>
  <c r="P384" i="5"/>
  <c r="P496" i="5"/>
  <c r="P91" i="5"/>
  <c r="P355" i="5"/>
  <c r="P558" i="5"/>
  <c r="P208" i="5"/>
  <c r="P142" i="5"/>
  <c r="P533" i="5"/>
  <c r="P181" i="5"/>
  <c r="P377" i="5"/>
  <c r="P198" i="5"/>
  <c r="P498" i="5"/>
  <c r="P278" i="5"/>
  <c r="P10" i="5"/>
  <c r="P114" i="5"/>
  <c r="P323" i="5"/>
  <c r="P525" i="5"/>
  <c r="P513" i="5"/>
  <c r="P512" i="5"/>
  <c r="P367" i="5"/>
  <c r="P90" i="5"/>
  <c r="P196" i="5"/>
  <c r="P316" i="5"/>
  <c r="P536" i="5"/>
  <c r="P148" i="5"/>
  <c r="P551" i="5"/>
  <c r="P546" i="5"/>
  <c r="P455" i="5"/>
  <c r="P79" i="5"/>
  <c r="P541" i="5"/>
  <c r="P241" i="5"/>
  <c r="P314" i="5"/>
  <c r="P285" i="5"/>
  <c r="P500" i="5"/>
  <c r="P302" i="5"/>
  <c r="P39" i="5"/>
  <c r="P101" i="5"/>
  <c r="P303" i="5"/>
  <c r="P371" i="5"/>
  <c r="P62" i="5"/>
  <c r="P307" i="5"/>
  <c r="P68" i="5"/>
  <c r="P169" i="5"/>
  <c r="P416" i="5"/>
  <c r="P412" i="5"/>
  <c r="P41" i="5"/>
  <c r="P555" i="5"/>
  <c r="P127" i="5"/>
  <c r="P379" i="5"/>
  <c r="P117" i="5"/>
  <c r="P297" i="5"/>
  <c r="P260" i="5"/>
  <c r="P8" i="5"/>
  <c r="P108" i="5"/>
  <c r="P337" i="5"/>
  <c r="P481" i="5"/>
  <c r="P448" i="5"/>
  <c r="P125" i="5"/>
  <c r="P425" i="5"/>
  <c r="P178" i="5"/>
  <c r="P157" i="5"/>
  <c r="P466" i="5"/>
  <c r="P137" i="5"/>
  <c r="P426" i="5"/>
  <c r="P228" i="5"/>
  <c r="P380" i="5"/>
  <c r="P361" i="5"/>
  <c r="P42" i="5"/>
  <c r="P159" i="5"/>
  <c r="P383" i="5"/>
  <c r="P461" i="5"/>
  <c r="P441" i="5"/>
  <c r="P517" i="5"/>
  <c r="P381" i="5"/>
  <c r="P190" i="5"/>
  <c r="P107" i="5"/>
  <c r="P509" i="5"/>
  <c r="P99" i="5"/>
  <c r="P238" i="5"/>
  <c r="P95" i="5"/>
  <c r="P284" i="5"/>
  <c r="P253" i="5"/>
  <c r="P217" i="5"/>
  <c r="P21" i="5"/>
  <c r="P286" i="5"/>
  <c r="P437" i="5"/>
  <c r="P469" i="5"/>
  <c r="P394" i="5"/>
  <c r="P251" i="5"/>
  <c r="P60" i="5"/>
  <c r="P155" i="5"/>
  <c r="P331" i="5"/>
  <c r="P521" i="5"/>
  <c r="P58" i="5"/>
  <c r="P446" i="5"/>
  <c r="P432" i="5"/>
  <c r="P483" i="5"/>
  <c r="P351" i="5"/>
  <c r="P527" i="5"/>
  <c r="P257" i="5"/>
  <c r="P197" i="5"/>
  <c r="P482" i="5"/>
  <c r="P444" i="5"/>
  <c r="P429" i="5"/>
  <c r="P234" i="5"/>
  <c r="P184" i="5"/>
  <c r="P141" i="5"/>
  <c r="P277" i="5"/>
  <c r="P341" i="5"/>
  <c r="P87" i="5"/>
  <c r="P185" i="5"/>
  <c r="P64" i="5"/>
  <c r="P70" i="5"/>
  <c r="P550" i="5"/>
  <c r="P138" i="5"/>
  <c r="P191" i="5"/>
  <c r="P30" i="5"/>
  <c r="P524" i="5"/>
  <c r="P13" i="5"/>
  <c r="P494" i="5"/>
  <c r="P223" i="5"/>
  <c r="P252" i="5"/>
  <c r="P57" i="5"/>
  <c r="P262" i="5"/>
  <c r="P520" i="5"/>
  <c r="P403" i="5"/>
  <c r="P423" i="5"/>
  <c r="P206" i="5"/>
  <c r="P133" i="5"/>
  <c r="P76" i="5"/>
  <c r="P407" i="5"/>
  <c r="P26" i="5"/>
  <c r="P324" i="5"/>
  <c r="P220" i="5"/>
  <c r="P292" i="5"/>
  <c r="P309" i="5"/>
  <c r="P40" i="5"/>
  <c r="P82" i="5"/>
  <c r="P329" i="5"/>
  <c r="P497" i="5"/>
  <c r="P389" i="5"/>
  <c r="P349" i="5"/>
  <c r="P265" i="5"/>
  <c r="P179" i="5"/>
  <c r="P45" i="5"/>
  <c r="P488" i="5"/>
  <c r="P180" i="5"/>
  <c r="P321" i="5"/>
  <c r="P415" i="5"/>
  <c r="P267" i="5"/>
  <c r="P174" i="5"/>
  <c r="P167" i="5"/>
  <c r="P20" i="5"/>
  <c r="P227" i="5"/>
  <c r="P393" i="5"/>
  <c r="P256" i="5"/>
  <c r="P529" i="5"/>
  <c r="P272" i="5"/>
  <c r="P9" i="5"/>
  <c r="P102" i="5"/>
  <c r="P199" i="5"/>
  <c r="P508" i="5"/>
  <c r="P478" i="5"/>
  <c r="P25" i="5"/>
  <c r="P325" i="5"/>
  <c r="P545" i="5"/>
  <c r="P458" i="5"/>
  <c r="P495" i="5"/>
  <c r="P182" i="5"/>
  <c r="P55" i="5"/>
  <c r="P391" i="5"/>
  <c r="P405" i="5"/>
  <c r="S474" i="5"/>
  <c r="R474" i="5"/>
  <c r="R548" i="5"/>
  <c r="S548" i="5"/>
  <c r="R525" i="5"/>
  <c r="S525" i="5"/>
  <c r="S36" i="5"/>
  <c r="R36" i="5"/>
  <c r="R134" i="5"/>
  <c r="S134" i="5"/>
  <c r="R397" i="5"/>
  <c r="S397" i="5"/>
  <c r="S501" i="5"/>
  <c r="R501" i="5"/>
  <c r="R394" i="5"/>
  <c r="S394" i="5"/>
  <c r="R157" i="5"/>
  <c r="S157" i="5"/>
  <c r="R194" i="5"/>
  <c r="S194" i="5"/>
  <c r="S270" i="5"/>
  <c r="R270" i="5"/>
  <c r="R286" i="5"/>
  <c r="S286" i="5"/>
  <c r="R214" i="5"/>
  <c r="S214" i="5"/>
  <c r="R241" i="5"/>
  <c r="S241" i="5"/>
  <c r="R190" i="5"/>
  <c r="S190" i="5"/>
  <c r="S132" i="5"/>
  <c r="R132" i="5"/>
  <c r="R162" i="5"/>
  <c r="S162" i="5"/>
  <c r="S530" i="5"/>
  <c r="R530" i="5"/>
  <c r="S483" i="5"/>
  <c r="R483" i="5"/>
  <c r="R282" i="5"/>
  <c r="S282" i="5"/>
  <c r="S211" i="5"/>
  <c r="R211" i="5"/>
  <c r="R171" i="5"/>
  <c r="S171" i="5"/>
  <c r="R121" i="5"/>
  <c r="S121" i="5"/>
  <c r="R61" i="5"/>
  <c r="S61" i="5"/>
  <c r="S522" i="5"/>
  <c r="R522" i="5"/>
  <c r="S477" i="5"/>
  <c r="R477" i="5"/>
  <c r="R370" i="5"/>
  <c r="S370" i="5"/>
  <c r="S257" i="5"/>
  <c r="R257" i="5"/>
  <c r="R313" i="5"/>
  <c r="S313" i="5"/>
  <c r="R164" i="5"/>
  <c r="S164" i="5"/>
  <c r="S89" i="5"/>
  <c r="R89" i="5"/>
  <c r="S42" i="5"/>
  <c r="R42" i="5"/>
  <c r="S518" i="5"/>
  <c r="R518" i="5"/>
  <c r="R473" i="5"/>
  <c r="S473" i="5"/>
  <c r="R249" i="5"/>
  <c r="S249" i="5"/>
  <c r="S141" i="5"/>
  <c r="R141" i="5"/>
  <c r="R233" i="5"/>
  <c r="S233" i="5"/>
  <c r="S105" i="5"/>
  <c r="R105" i="5"/>
  <c r="R63" i="5"/>
  <c r="S63" i="5"/>
  <c r="S443" i="5"/>
  <c r="R443" i="5"/>
  <c r="R467" i="5"/>
  <c r="S467" i="5"/>
  <c r="R351" i="5"/>
  <c r="S351" i="5"/>
  <c r="S350" i="5"/>
  <c r="R350" i="5"/>
  <c r="S299" i="5"/>
  <c r="R299" i="5"/>
  <c r="R183" i="5"/>
  <c r="S183" i="5"/>
  <c r="S103" i="5"/>
  <c r="R103" i="5"/>
  <c r="S26" i="5"/>
  <c r="R26" i="5"/>
  <c r="S502" i="5"/>
  <c r="R502" i="5"/>
  <c r="S468" i="5"/>
  <c r="R468" i="5"/>
  <c r="S442" i="5"/>
  <c r="R442" i="5"/>
  <c r="S326" i="5"/>
  <c r="R326" i="5"/>
  <c r="S228" i="5"/>
  <c r="R228" i="5"/>
  <c r="R83" i="5"/>
  <c r="S83" i="5"/>
  <c r="R58" i="5"/>
  <c r="S58" i="5"/>
  <c r="R364" i="5"/>
  <c r="S364" i="5"/>
  <c r="R452" i="5"/>
  <c r="S452" i="5"/>
  <c r="R338" i="5"/>
  <c r="S338" i="5"/>
  <c r="S346" i="5"/>
  <c r="R346" i="5"/>
  <c r="S291" i="5"/>
  <c r="R291" i="5"/>
  <c r="S179" i="5"/>
  <c r="R179" i="5"/>
  <c r="R82" i="5"/>
  <c r="S82" i="5"/>
  <c r="S516" i="5"/>
  <c r="R516" i="5"/>
  <c r="S444" i="5"/>
  <c r="R444" i="5"/>
  <c r="S387" i="5"/>
  <c r="R387" i="5"/>
  <c r="S407" i="5"/>
  <c r="R407" i="5"/>
  <c r="R285" i="5"/>
  <c r="S285" i="5"/>
  <c r="R107" i="5"/>
  <c r="S107" i="5"/>
  <c r="R100" i="5"/>
  <c r="S100" i="5"/>
  <c r="S50" i="5"/>
  <c r="R50" i="5"/>
  <c r="S383" i="5"/>
  <c r="R383" i="5"/>
  <c r="S521" i="5"/>
  <c r="R521" i="5"/>
  <c r="S495" i="5"/>
  <c r="R495" i="5"/>
  <c r="R542" i="5"/>
  <c r="S542" i="5"/>
  <c r="R459" i="5"/>
  <c r="S459" i="5"/>
  <c r="S119" i="5"/>
  <c r="R119" i="5"/>
  <c r="R205" i="5"/>
  <c r="S205" i="5"/>
  <c r="R325" i="5"/>
  <c r="S325" i="5"/>
  <c r="S310" i="5"/>
  <c r="R310" i="5"/>
  <c r="S303" i="5"/>
  <c r="R303" i="5"/>
  <c r="S66" i="5"/>
  <c r="R66" i="5"/>
  <c r="S244" i="5"/>
  <c r="R244" i="5"/>
  <c r="R139" i="5"/>
  <c r="S139" i="5"/>
  <c r="S158" i="5"/>
  <c r="R158" i="5"/>
  <c r="R131" i="5"/>
  <c r="S131" i="5"/>
  <c r="R109" i="5"/>
  <c r="S109" i="5"/>
  <c r="R93" i="5"/>
  <c r="S93" i="5"/>
  <c r="R484" i="5"/>
  <c r="S484" i="5"/>
  <c r="S461" i="5"/>
  <c r="R461" i="5"/>
  <c r="S438" i="5"/>
  <c r="R438" i="5"/>
  <c r="S307" i="5"/>
  <c r="R307" i="5"/>
  <c r="R219" i="5"/>
  <c r="S219" i="5"/>
  <c r="R149" i="5"/>
  <c r="S149" i="5"/>
  <c r="R38" i="5"/>
  <c r="S38" i="5"/>
  <c r="R552" i="5"/>
  <c r="S552" i="5"/>
  <c r="S435" i="5"/>
  <c r="R435" i="5"/>
  <c r="R263" i="5"/>
  <c r="S263" i="5"/>
  <c r="R329" i="5"/>
  <c r="S329" i="5"/>
  <c r="R269" i="5"/>
  <c r="S269" i="5"/>
  <c r="S166" i="5"/>
  <c r="R166" i="5"/>
  <c r="S110" i="5"/>
  <c r="R110" i="5"/>
  <c r="S19" i="5"/>
  <c r="R19" i="5"/>
  <c r="R465" i="5"/>
  <c r="S465" i="5"/>
  <c r="R453" i="5"/>
  <c r="S453" i="5"/>
  <c r="S423" i="5"/>
  <c r="R423" i="5"/>
  <c r="R300" i="5"/>
  <c r="S300" i="5"/>
  <c r="R191" i="5"/>
  <c r="S191" i="5"/>
  <c r="R140" i="5"/>
  <c r="S140" i="5"/>
  <c r="R59" i="5"/>
  <c r="S59" i="5"/>
  <c r="R532" i="5"/>
  <c r="S532" i="5"/>
  <c r="R422" i="5"/>
  <c r="S422" i="5"/>
  <c r="S414" i="5"/>
  <c r="R414" i="5"/>
  <c r="S317" i="5"/>
  <c r="R317" i="5"/>
  <c r="R246" i="5"/>
  <c r="S246" i="5"/>
  <c r="R145" i="5"/>
  <c r="S145" i="5"/>
  <c r="R87" i="5"/>
  <c r="S87" i="5"/>
  <c r="S539" i="5"/>
  <c r="R539" i="5"/>
  <c r="S449" i="5"/>
  <c r="R449" i="5"/>
  <c r="R393" i="5"/>
  <c r="S393" i="5"/>
  <c r="S411" i="5"/>
  <c r="R411" i="5"/>
  <c r="R293" i="5"/>
  <c r="S293" i="5"/>
  <c r="S186" i="5"/>
  <c r="R186" i="5"/>
  <c r="R125" i="5"/>
  <c r="S125" i="5"/>
  <c r="S27" i="5"/>
  <c r="R27" i="5"/>
  <c r="R508" i="5"/>
  <c r="S508" i="5"/>
  <c r="R410" i="5"/>
  <c r="S410" i="5"/>
  <c r="R404" i="5"/>
  <c r="S404" i="5"/>
  <c r="S309" i="5"/>
  <c r="R309" i="5"/>
  <c r="R213" i="5"/>
  <c r="S213" i="5"/>
  <c r="S188" i="5"/>
  <c r="R188" i="5"/>
  <c r="S95" i="5"/>
  <c r="R95" i="5"/>
  <c r="R544" i="5"/>
  <c r="S544" i="5"/>
  <c r="S510" i="5"/>
  <c r="R510" i="5"/>
  <c r="S412" i="5"/>
  <c r="R412" i="5"/>
  <c r="R372" i="5"/>
  <c r="S372" i="5"/>
  <c r="S229" i="5"/>
  <c r="R229" i="5"/>
  <c r="R199" i="5"/>
  <c r="S199" i="5"/>
  <c r="R137" i="5"/>
  <c r="S137" i="5"/>
  <c r="S25" i="5"/>
  <c r="R25" i="5"/>
  <c r="R262" i="5"/>
  <c r="S262" i="5"/>
  <c r="R267" i="5"/>
  <c r="S267" i="5"/>
  <c r="S405" i="5"/>
  <c r="R405" i="5"/>
  <c r="R511" i="5"/>
  <c r="S511" i="5"/>
  <c r="R490" i="5"/>
  <c r="S490" i="5"/>
  <c r="R537" i="5"/>
  <c r="S537" i="5"/>
  <c r="S65" i="5"/>
  <c r="R65" i="5"/>
  <c r="R49" i="5"/>
  <c r="S49" i="5"/>
  <c r="R54" i="5"/>
  <c r="S54" i="5"/>
  <c r="R528" i="5"/>
  <c r="S528" i="5"/>
  <c r="R428" i="5"/>
  <c r="S428" i="5"/>
  <c r="S122" i="5"/>
  <c r="R122" i="5"/>
  <c r="R78" i="5"/>
  <c r="S78" i="5"/>
  <c r="S37" i="5"/>
  <c r="R37" i="5"/>
  <c r="S34" i="5"/>
  <c r="R34" i="5"/>
  <c r="R39" i="5"/>
  <c r="S39" i="5"/>
  <c r="S505" i="5"/>
  <c r="R505" i="5"/>
  <c r="S437" i="5"/>
  <c r="R437" i="5"/>
  <c r="S381" i="5"/>
  <c r="R381" i="5"/>
  <c r="R396" i="5"/>
  <c r="S396" i="5"/>
  <c r="R281" i="5"/>
  <c r="S281" i="5"/>
  <c r="R251" i="5"/>
  <c r="S251" i="5"/>
  <c r="S98" i="5"/>
  <c r="R98" i="5"/>
  <c r="R46" i="5"/>
  <c r="S46" i="5"/>
  <c r="S481" i="5"/>
  <c r="R481" i="5"/>
  <c r="R337" i="5"/>
  <c r="S337" i="5"/>
  <c r="R388" i="5"/>
  <c r="S388" i="5"/>
  <c r="R287" i="5"/>
  <c r="S287" i="5"/>
  <c r="S101" i="5"/>
  <c r="R101" i="5"/>
  <c r="S163" i="5"/>
  <c r="R163" i="5"/>
  <c r="R91" i="5"/>
  <c r="S91" i="5"/>
  <c r="R429" i="5"/>
  <c r="S429" i="5"/>
  <c r="S342" i="5"/>
  <c r="R342" i="5"/>
  <c r="S359" i="5"/>
  <c r="R359" i="5"/>
  <c r="S386" i="5"/>
  <c r="R386" i="5"/>
  <c r="S259" i="5"/>
  <c r="R259" i="5"/>
  <c r="S238" i="5"/>
  <c r="R238" i="5"/>
  <c r="R154" i="5"/>
  <c r="S154" i="5"/>
  <c r="S35" i="5"/>
  <c r="R35" i="5"/>
  <c r="S447" i="5"/>
  <c r="R447" i="5"/>
  <c r="S252" i="5"/>
  <c r="R252" i="5"/>
  <c r="S379" i="5"/>
  <c r="R379" i="5"/>
  <c r="R278" i="5"/>
  <c r="S278" i="5"/>
  <c r="S237" i="5"/>
  <c r="R237" i="5"/>
  <c r="S92" i="5"/>
  <c r="R92" i="5"/>
  <c r="S77" i="5"/>
  <c r="R77" i="5"/>
  <c r="R403" i="5"/>
  <c r="S403" i="5"/>
  <c r="S520" i="5"/>
  <c r="R520" i="5"/>
  <c r="S421" i="5"/>
  <c r="R421" i="5"/>
  <c r="R380" i="5"/>
  <c r="S380" i="5"/>
  <c r="S253" i="5"/>
  <c r="R253" i="5"/>
  <c r="S235" i="5"/>
  <c r="R235" i="5"/>
  <c r="S151" i="5"/>
  <c r="R151" i="5"/>
  <c r="S30" i="5"/>
  <c r="R30" i="5"/>
  <c r="R559" i="5"/>
  <c r="S559" i="5"/>
  <c r="R524" i="5"/>
  <c r="S524" i="5"/>
  <c r="R365" i="5"/>
  <c r="S365" i="5"/>
  <c r="S275" i="5"/>
  <c r="R275" i="5"/>
  <c r="S231" i="5"/>
  <c r="R231" i="5"/>
  <c r="R155" i="5"/>
  <c r="S155" i="5"/>
  <c r="S71" i="5"/>
  <c r="R71" i="5"/>
  <c r="R558" i="5"/>
  <c r="S558" i="5"/>
  <c r="S486" i="5"/>
  <c r="R486" i="5"/>
  <c r="R377" i="5"/>
  <c r="S377" i="5"/>
  <c r="S289" i="5"/>
  <c r="R289" i="5"/>
  <c r="S323" i="5"/>
  <c r="R323" i="5"/>
  <c r="S178" i="5"/>
  <c r="R178" i="5"/>
  <c r="S108" i="5"/>
  <c r="R108" i="5"/>
  <c r="S47" i="5"/>
  <c r="R47" i="5"/>
  <c r="S212" i="5"/>
  <c r="R212" i="5"/>
  <c r="R148" i="5"/>
  <c r="S148" i="5"/>
  <c r="S193" i="5"/>
  <c r="R193" i="5"/>
  <c r="S260" i="5"/>
  <c r="R260" i="5"/>
  <c r="R22" i="5"/>
  <c r="S22" i="5"/>
  <c r="R560" i="5"/>
  <c r="S560" i="5"/>
  <c r="S182" i="5"/>
  <c r="R182" i="5"/>
  <c r="S462" i="5"/>
  <c r="R462" i="5"/>
  <c r="R97" i="5"/>
  <c r="S97" i="5"/>
  <c r="R62" i="5"/>
  <c r="S62" i="5"/>
  <c r="S84" i="5"/>
  <c r="R84" i="5"/>
  <c r="S458" i="5"/>
  <c r="R458" i="5"/>
  <c r="R513" i="5"/>
  <c r="S513" i="5"/>
  <c r="R507" i="5"/>
  <c r="S507" i="5"/>
  <c r="S551" i="5"/>
  <c r="R551" i="5"/>
  <c r="S533" i="5"/>
  <c r="R533" i="5"/>
  <c r="R506" i="5"/>
  <c r="S506" i="5"/>
  <c r="R406" i="5"/>
  <c r="S406" i="5"/>
  <c r="S371" i="5"/>
  <c r="R371" i="5"/>
  <c r="R218" i="5"/>
  <c r="S218" i="5"/>
  <c r="R198" i="5"/>
  <c r="S198" i="5"/>
  <c r="S135" i="5"/>
  <c r="R135" i="5"/>
  <c r="R43" i="5"/>
  <c r="S43" i="5"/>
  <c r="S545" i="5"/>
  <c r="R545" i="5"/>
  <c r="S519" i="5"/>
  <c r="R519" i="5"/>
  <c r="S354" i="5"/>
  <c r="R354" i="5"/>
  <c r="S265" i="5"/>
  <c r="R265" i="5"/>
  <c r="S217" i="5"/>
  <c r="R217" i="5"/>
  <c r="R147" i="5"/>
  <c r="S147" i="5"/>
  <c r="S81" i="5"/>
  <c r="R81" i="5"/>
  <c r="R466" i="5"/>
  <c r="S466" i="5"/>
  <c r="S492" i="5"/>
  <c r="R492" i="5"/>
  <c r="S398" i="5"/>
  <c r="R398" i="5"/>
  <c r="S334" i="5"/>
  <c r="R334" i="5"/>
  <c r="R196" i="5"/>
  <c r="S196" i="5"/>
  <c r="R181" i="5"/>
  <c r="S181" i="5"/>
  <c r="S123" i="5"/>
  <c r="R123" i="5"/>
  <c r="R23" i="5"/>
  <c r="S23" i="5"/>
  <c r="S541" i="5"/>
  <c r="R541" i="5"/>
  <c r="S503" i="5"/>
  <c r="R503" i="5"/>
  <c r="R343" i="5"/>
  <c r="S343" i="5"/>
  <c r="R243" i="5"/>
  <c r="S243" i="5"/>
  <c r="S206" i="5"/>
  <c r="R206" i="5"/>
  <c r="R129" i="5"/>
  <c r="S129" i="5"/>
  <c r="S70" i="5"/>
  <c r="R70" i="5"/>
  <c r="S557" i="5"/>
  <c r="R557" i="5"/>
  <c r="S489" i="5"/>
  <c r="R489" i="5"/>
  <c r="S395" i="5"/>
  <c r="R395" i="5"/>
  <c r="R306" i="5"/>
  <c r="S306" i="5"/>
  <c r="S331" i="5"/>
  <c r="R331" i="5"/>
  <c r="R202" i="5"/>
  <c r="S202" i="5"/>
  <c r="R117" i="5"/>
  <c r="S117" i="5"/>
  <c r="R20" i="5"/>
  <c r="S20" i="5"/>
  <c r="R536" i="5"/>
  <c r="S536" i="5"/>
  <c r="R500" i="5"/>
  <c r="S500" i="5"/>
  <c r="S314" i="5"/>
  <c r="R314" i="5"/>
  <c r="R223" i="5"/>
  <c r="S223" i="5"/>
  <c r="S204" i="5"/>
  <c r="R204" i="5"/>
  <c r="S126" i="5"/>
  <c r="R126" i="5"/>
  <c r="S69" i="5"/>
  <c r="R69" i="5"/>
  <c r="S550" i="5"/>
  <c r="R550" i="5"/>
  <c r="S446" i="5"/>
  <c r="R446" i="5"/>
  <c r="S327" i="5"/>
  <c r="R327" i="5"/>
  <c r="R341" i="5"/>
  <c r="S341" i="5"/>
  <c r="R284" i="5"/>
  <c r="S284" i="5"/>
  <c r="R175" i="5"/>
  <c r="S175" i="5"/>
  <c r="S44" i="5"/>
  <c r="R44" i="5"/>
  <c r="R311" i="5"/>
  <c r="S311" i="5"/>
  <c r="S222" i="5"/>
  <c r="R222" i="5"/>
  <c r="S215" i="5"/>
  <c r="R215" i="5"/>
  <c r="R209" i="5"/>
  <c r="S209" i="5"/>
  <c r="S333" i="5"/>
  <c r="R333" i="5"/>
  <c r="S127" i="5"/>
  <c r="R127" i="5"/>
  <c r="R116" i="5"/>
  <c r="S116" i="5"/>
  <c r="S439" i="5"/>
  <c r="R439" i="5"/>
  <c r="S113" i="5"/>
  <c r="R113" i="5"/>
  <c r="R167" i="5"/>
  <c r="S167" i="5"/>
  <c r="S543" i="5"/>
  <c r="R543" i="5"/>
  <c r="S362" i="5"/>
  <c r="R362" i="5"/>
  <c r="S493" i="5"/>
  <c r="R493" i="5"/>
  <c r="S470" i="5"/>
  <c r="R470" i="5"/>
  <c r="R434" i="5"/>
  <c r="S434" i="5"/>
  <c r="R549" i="5"/>
  <c r="S549" i="5"/>
  <c r="R482" i="5"/>
  <c r="S482" i="5"/>
  <c r="R374" i="5"/>
  <c r="S374" i="5"/>
  <c r="S273" i="5"/>
  <c r="R273" i="5"/>
  <c r="R316" i="5"/>
  <c r="S316" i="5"/>
  <c r="S170" i="5"/>
  <c r="R170" i="5"/>
  <c r="S99" i="5"/>
  <c r="R99" i="5"/>
  <c r="S45" i="5"/>
  <c r="R45" i="5"/>
  <c r="S529" i="5"/>
  <c r="R529" i="5"/>
  <c r="S475" i="5"/>
  <c r="R475" i="5"/>
  <c r="R279" i="5"/>
  <c r="S279" i="5"/>
  <c r="R173" i="5"/>
  <c r="S173" i="5"/>
  <c r="R165" i="5"/>
  <c r="S165" i="5"/>
  <c r="R118" i="5"/>
  <c r="S118" i="5"/>
  <c r="R57" i="5"/>
  <c r="S57" i="5"/>
  <c r="R460" i="5"/>
  <c r="S460" i="5"/>
  <c r="S469" i="5"/>
  <c r="R469" i="5"/>
  <c r="S358" i="5"/>
  <c r="R358" i="5"/>
  <c r="R357" i="5"/>
  <c r="S357" i="5"/>
  <c r="R302" i="5"/>
  <c r="S302" i="5"/>
  <c r="R185" i="5"/>
  <c r="S185" i="5"/>
  <c r="S106" i="5"/>
  <c r="R106" i="5"/>
  <c r="S31" i="5"/>
  <c r="R31" i="5"/>
  <c r="R509" i="5"/>
  <c r="S509" i="5"/>
  <c r="R471" i="5"/>
  <c r="S471" i="5"/>
  <c r="S245" i="5"/>
  <c r="R245" i="5"/>
  <c r="S330" i="5"/>
  <c r="R330" i="5"/>
  <c r="S230" i="5"/>
  <c r="R230" i="5"/>
  <c r="R102" i="5"/>
  <c r="S102" i="5"/>
  <c r="R60" i="5"/>
  <c r="S60" i="5"/>
  <c r="S430" i="5"/>
  <c r="R430" i="5"/>
  <c r="R457" i="5"/>
  <c r="S457" i="5"/>
  <c r="S347" i="5"/>
  <c r="R347" i="5"/>
  <c r="S348" i="5"/>
  <c r="R348" i="5"/>
  <c r="R292" i="5"/>
  <c r="S292" i="5"/>
  <c r="S180" i="5"/>
  <c r="R180" i="5"/>
  <c r="S94" i="5"/>
  <c r="R94" i="5"/>
  <c r="S21" i="5"/>
  <c r="R21" i="5"/>
  <c r="S497" i="5"/>
  <c r="R497" i="5"/>
  <c r="S463" i="5"/>
  <c r="R463" i="5"/>
  <c r="S441" i="5"/>
  <c r="R441" i="5"/>
  <c r="R321" i="5"/>
  <c r="S321" i="5"/>
  <c r="R225" i="5"/>
  <c r="S225" i="5"/>
  <c r="R159" i="5"/>
  <c r="S159" i="5"/>
  <c r="S55" i="5"/>
  <c r="R55" i="5"/>
  <c r="S498" i="5"/>
  <c r="R498" i="5"/>
  <c r="S369" i="5"/>
  <c r="R369" i="5"/>
  <c r="R402" i="5"/>
  <c r="S402" i="5"/>
  <c r="R297" i="5"/>
  <c r="S297" i="5"/>
  <c r="R203" i="5"/>
  <c r="S203" i="5"/>
  <c r="R174" i="5"/>
  <c r="S174" i="5"/>
  <c r="R86" i="5"/>
  <c r="S86" i="5"/>
  <c r="S261" i="5"/>
  <c r="R261" i="5"/>
  <c r="R361" i="5"/>
  <c r="S361" i="5"/>
  <c r="S356" i="5"/>
  <c r="R356" i="5"/>
  <c r="R349" i="5"/>
  <c r="S349" i="5"/>
  <c r="R332" i="5"/>
  <c r="S332" i="5"/>
  <c r="S340" i="5"/>
  <c r="R340" i="5"/>
  <c r="R487" i="5"/>
  <c r="S487" i="5"/>
  <c r="S494" i="5"/>
  <c r="R494" i="5"/>
  <c r="R454" i="5"/>
  <c r="S454" i="5"/>
  <c r="R478" i="5"/>
  <c r="S478" i="5"/>
  <c r="R517" i="5"/>
  <c r="S517" i="5"/>
  <c r="R366" i="5"/>
  <c r="S366" i="5"/>
  <c r="S401" i="5"/>
  <c r="R401" i="5"/>
  <c r="S367" i="5"/>
  <c r="R367" i="5"/>
  <c r="S419" i="5"/>
  <c r="R419" i="5"/>
  <c r="S555" i="5"/>
  <c r="R555" i="5"/>
  <c r="S436" i="5"/>
  <c r="R436" i="5"/>
  <c r="S322" i="5"/>
  <c r="R322" i="5"/>
  <c r="S339" i="5"/>
  <c r="R339" i="5"/>
  <c r="R276" i="5"/>
  <c r="S276" i="5"/>
  <c r="S172" i="5"/>
  <c r="R172" i="5"/>
  <c r="S111" i="5"/>
  <c r="R111" i="5"/>
  <c r="AG11" i="5"/>
  <c r="Q11" i="5"/>
  <c r="W11" i="5"/>
  <c r="R479" i="5"/>
  <c r="S479" i="5"/>
  <c r="S455" i="5"/>
  <c r="R455" i="5"/>
  <c r="S431" i="5"/>
  <c r="R431" i="5"/>
  <c r="R305" i="5"/>
  <c r="S305" i="5"/>
  <c r="S210" i="5"/>
  <c r="R210" i="5"/>
  <c r="S146" i="5"/>
  <c r="R146" i="5"/>
  <c r="R67" i="5"/>
  <c r="S67" i="5"/>
  <c r="S547" i="5"/>
  <c r="R547" i="5"/>
  <c r="R425" i="5"/>
  <c r="S425" i="5"/>
  <c r="R417" i="5"/>
  <c r="S417" i="5"/>
  <c r="R319" i="5"/>
  <c r="S319" i="5"/>
  <c r="S258" i="5"/>
  <c r="R258" i="5"/>
  <c r="R161" i="5"/>
  <c r="S161" i="5"/>
  <c r="S90" i="5"/>
  <c r="R90" i="5"/>
  <c r="S540" i="5"/>
  <c r="R540" i="5"/>
  <c r="R450" i="5"/>
  <c r="S450" i="5"/>
  <c r="R433" i="5"/>
  <c r="S433" i="5"/>
  <c r="R418" i="5"/>
  <c r="S418" i="5"/>
  <c r="R298" i="5"/>
  <c r="S298" i="5"/>
  <c r="S189" i="5"/>
  <c r="R189" i="5"/>
  <c r="S138" i="5"/>
  <c r="R138" i="5"/>
  <c r="S51" i="5"/>
  <c r="R51" i="5"/>
  <c r="R515" i="5"/>
  <c r="S515" i="5"/>
  <c r="S420" i="5"/>
  <c r="R420" i="5"/>
  <c r="R413" i="5"/>
  <c r="S413" i="5"/>
  <c r="R315" i="5"/>
  <c r="S315" i="5"/>
  <c r="S227" i="5"/>
  <c r="R227" i="5"/>
  <c r="R130" i="5"/>
  <c r="S130" i="5"/>
  <c r="R85" i="5"/>
  <c r="S85" i="5"/>
  <c r="S531" i="5"/>
  <c r="R531" i="5"/>
  <c r="S445" i="5"/>
  <c r="R445" i="5"/>
  <c r="R390" i="5"/>
  <c r="S390" i="5"/>
  <c r="S409" i="5"/>
  <c r="R409" i="5"/>
  <c r="S290" i="5"/>
  <c r="R290" i="5"/>
  <c r="S177" i="5"/>
  <c r="R177" i="5"/>
  <c r="S114" i="5"/>
  <c r="R114" i="5"/>
  <c r="R52" i="5"/>
  <c r="S52" i="5"/>
  <c r="R553" i="5"/>
  <c r="S553" i="5"/>
  <c r="S523" i="5"/>
  <c r="R523" i="5"/>
  <c r="S363" i="5"/>
  <c r="R363" i="5"/>
  <c r="S274" i="5"/>
  <c r="R274" i="5"/>
  <c r="S226" i="5"/>
  <c r="R226" i="5"/>
  <c r="R150" i="5"/>
  <c r="S150" i="5"/>
  <c r="R73" i="5"/>
  <c r="S73" i="5"/>
  <c r="S476" i="5"/>
  <c r="R476" i="5"/>
  <c r="S266" i="5"/>
  <c r="R266" i="5"/>
  <c r="S28" i="5"/>
  <c r="R28" i="5"/>
  <c r="S133" i="5"/>
  <c r="R133" i="5"/>
  <c r="R74" i="5"/>
  <c r="S74" i="5"/>
  <c r="R207" i="5"/>
  <c r="S207" i="5"/>
  <c r="R239" i="5"/>
  <c r="S239" i="5"/>
  <c r="S295" i="5"/>
  <c r="R295" i="5"/>
  <c r="R221" i="5"/>
  <c r="S221" i="5"/>
  <c r="R143" i="5"/>
  <c r="S143" i="5"/>
  <c r="S335" i="5"/>
  <c r="R335" i="5"/>
  <c r="S353" i="5"/>
  <c r="R353" i="5"/>
  <c r="S389" i="5"/>
  <c r="R389" i="5"/>
  <c r="R355" i="5"/>
  <c r="S355" i="5"/>
  <c r="R254" i="5"/>
  <c r="S254" i="5"/>
  <c r="R324" i="5"/>
  <c r="S324" i="5"/>
  <c r="S491" i="5"/>
  <c r="R491" i="5"/>
  <c r="R345" i="5"/>
  <c r="S345" i="5"/>
  <c r="R399" i="5"/>
  <c r="S399" i="5"/>
  <c r="R294" i="5"/>
  <c r="S294" i="5"/>
  <c r="S187" i="5"/>
  <c r="R187" i="5"/>
  <c r="R169" i="5"/>
  <c r="S169" i="5"/>
  <c r="R76" i="5"/>
  <c r="S76" i="5"/>
  <c r="R499" i="5"/>
  <c r="S499" i="5"/>
  <c r="S426" i="5"/>
  <c r="R426" i="5"/>
  <c r="R378" i="5"/>
  <c r="S378" i="5"/>
  <c r="S391" i="5"/>
  <c r="R391" i="5"/>
  <c r="S271" i="5"/>
  <c r="R271" i="5"/>
  <c r="S250" i="5"/>
  <c r="R250" i="5"/>
  <c r="R53" i="5"/>
  <c r="S53" i="5"/>
  <c r="S41" i="5"/>
  <c r="R41" i="5"/>
  <c r="R451" i="5"/>
  <c r="S451" i="5"/>
  <c r="R301" i="5"/>
  <c r="S301" i="5"/>
  <c r="S382" i="5"/>
  <c r="R382" i="5"/>
  <c r="S283" i="5"/>
  <c r="R283" i="5"/>
  <c r="R242" i="5"/>
  <c r="S242" i="5"/>
  <c r="R115" i="5"/>
  <c r="S115" i="5"/>
  <c r="R79" i="5"/>
  <c r="S79" i="5"/>
  <c r="S427" i="5"/>
  <c r="R427" i="5"/>
  <c r="R197" i="5"/>
  <c r="S197" i="5"/>
  <c r="S318" i="5"/>
  <c r="R318" i="5"/>
  <c r="S385" i="5"/>
  <c r="R385" i="5"/>
  <c r="R255" i="5"/>
  <c r="S255" i="5"/>
  <c r="S236" i="5"/>
  <c r="R236" i="5"/>
  <c r="R153" i="5"/>
  <c r="S153" i="5"/>
  <c r="S33" i="5"/>
  <c r="R33" i="5"/>
  <c r="R268" i="5"/>
  <c r="S268" i="5"/>
  <c r="S527" i="5"/>
  <c r="R527" i="5"/>
  <c r="R373" i="5"/>
  <c r="S373" i="5"/>
  <c r="S277" i="5"/>
  <c r="R277" i="5"/>
  <c r="S234" i="5"/>
  <c r="R234" i="5"/>
  <c r="S156" i="5"/>
  <c r="R156" i="5"/>
  <c r="S75" i="5"/>
  <c r="R75" i="5"/>
  <c r="R556" i="5"/>
  <c r="S556" i="5"/>
  <c r="S514" i="5"/>
  <c r="R514" i="5"/>
  <c r="R415" i="5"/>
  <c r="S415" i="5"/>
  <c r="S375" i="5"/>
  <c r="R375" i="5"/>
  <c r="R247" i="5"/>
  <c r="S247" i="5"/>
  <c r="S201" i="5"/>
  <c r="R201" i="5"/>
  <c r="R142" i="5"/>
  <c r="S142" i="5"/>
  <c r="S29" i="5"/>
  <c r="R29" i="5"/>
  <c r="S535" i="5"/>
  <c r="R535" i="5"/>
  <c r="R485" i="5"/>
  <c r="S485" i="5"/>
  <c r="S308" i="5"/>
  <c r="R308" i="5"/>
  <c r="S220" i="5"/>
  <c r="R220" i="5"/>
  <c r="S195" i="5"/>
  <c r="R195" i="5"/>
  <c r="R124" i="5"/>
  <c r="S124" i="5"/>
  <c r="R68" i="5"/>
  <c r="S68" i="5"/>
  <c r="AP525" i="5"/>
  <c r="AR525" i="5" s="1"/>
  <c r="AP23" i="5"/>
  <c r="AR23" i="5" s="1"/>
  <c r="AP462" i="5"/>
  <c r="AQ462" i="5" s="1"/>
  <c r="AP483" i="5"/>
  <c r="AQ483" i="5" s="1"/>
  <c r="AP244" i="5"/>
  <c r="AQ244" i="5" s="1"/>
  <c r="AP66" i="5"/>
  <c r="AR66" i="5" s="1"/>
  <c r="AP350" i="5"/>
  <c r="AR350" i="5" s="1"/>
  <c r="AP21" i="5"/>
  <c r="AR21" i="5" s="1"/>
  <c r="AP118" i="5"/>
  <c r="AQ118" i="5" s="1"/>
  <c r="AP219" i="5"/>
  <c r="AR219" i="5" s="1"/>
  <c r="AP345" i="5"/>
  <c r="AR345" i="5" s="1"/>
  <c r="AP498" i="5"/>
  <c r="AQ498" i="5" s="1"/>
  <c r="AP496" i="5"/>
  <c r="AQ496" i="5" s="1"/>
  <c r="AP392" i="5"/>
  <c r="AR392" i="5" s="1"/>
  <c r="AP428" i="5"/>
  <c r="AQ428" i="5" s="1"/>
  <c r="AP194" i="5"/>
  <c r="AQ194" i="5" s="1"/>
  <c r="AP524" i="5"/>
  <c r="AQ524" i="5" s="1"/>
  <c r="AP142" i="5"/>
  <c r="AR142" i="5" s="1"/>
  <c r="AP544" i="5"/>
  <c r="AR544" i="5" s="1"/>
  <c r="AP93" i="5"/>
  <c r="AR93" i="5" s="1"/>
  <c r="AP372" i="5"/>
  <c r="AR372" i="5" s="1"/>
  <c r="AP436" i="5"/>
  <c r="AQ436" i="5" s="1"/>
  <c r="AP158" i="5"/>
  <c r="AR158" i="5" s="1"/>
  <c r="AP45" i="5"/>
  <c r="AQ45" i="5" s="1"/>
  <c r="AP237" i="5"/>
  <c r="AQ237" i="5" s="1"/>
  <c r="AP34" i="5"/>
  <c r="AQ34" i="5" s="1"/>
  <c r="AP368" i="5"/>
  <c r="AQ368" i="5" s="1"/>
  <c r="AP330" i="5"/>
  <c r="AQ330" i="5" s="1"/>
  <c r="AP205" i="5"/>
  <c r="AQ205" i="5" s="1"/>
  <c r="AP522" i="5"/>
  <c r="AQ522" i="5" s="1"/>
  <c r="AP302" i="5"/>
  <c r="AR302" i="5" s="1"/>
  <c r="AP190" i="5"/>
  <c r="AR190" i="5" s="1"/>
  <c r="AP337" i="5"/>
  <c r="AQ337" i="5" s="1"/>
  <c r="AP22" i="5"/>
  <c r="AR22" i="5" s="1"/>
  <c r="AP257" i="5"/>
  <c r="AR257" i="5" s="1"/>
  <c r="AP558" i="5"/>
  <c r="AQ558" i="5" s="1"/>
  <c r="AP278" i="5"/>
  <c r="AQ278" i="5" s="1"/>
  <c r="AP438" i="5"/>
  <c r="AR438" i="5" s="1"/>
  <c r="AP477" i="5"/>
  <c r="AQ477" i="5" s="1"/>
  <c r="AP82" i="5"/>
  <c r="AQ82" i="5" s="1"/>
  <c r="AP20" i="5"/>
  <c r="AQ20" i="5" s="1"/>
  <c r="AP184" i="5"/>
  <c r="AR184" i="5" s="1"/>
  <c r="AP545" i="5"/>
  <c r="AR545" i="5" s="1"/>
  <c r="AP402" i="5"/>
  <c r="AR402" i="5" s="1"/>
  <c r="AP444" i="5"/>
  <c r="AR444" i="5" s="1"/>
  <c r="AP259" i="5"/>
  <c r="AR259" i="5" s="1"/>
  <c r="AP417" i="5"/>
  <c r="AQ417" i="5" s="1"/>
  <c r="AP460" i="5"/>
  <c r="AR460" i="5" s="1"/>
  <c r="AP144" i="5"/>
  <c r="AQ144" i="5" s="1"/>
  <c r="AP165" i="5"/>
  <c r="AQ165" i="5" s="1"/>
  <c r="AP542" i="5"/>
  <c r="AR542" i="5" s="1"/>
  <c r="AP262" i="5"/>
  <c r="AQ262" i="5" s="1"/>
  <c r="AP87" i="5"/>
  <c r="AR87" i="5" s="1"/>
  <c r="AP103" i="5"/>
  <c r="AQ103" i="5" s="1"/>
  <c r="AP211" i="5"/>
  <c r="AR211" i="5" s="1"/>
  <c r="AP378" i="5"/>
  <c r="AQ378" i="5" s="1"/>
  <c r="AP138" i="5"/>
  <c r="AQ138" i="5" s="1"/>
  <c r="AP493" i="5"/>
  <c r="AQ493" i="5" s="1"/>
  <c r="AP495" i="5"/>
  <c r="AQ495" i="5" s="1"/>
  <c r="AP104" i="5"/>
  <c r="AR104" i="5" s="1"/>
  <c r="AP384" i="5"/>
  <c r="AQ384" i="5" s="1"/>
  <c r="AP261" i="5"/>
  <c r="AQ261" i="5" s="1"/>
  <c r="AP70" i="5"/>
  <c r="AQ70" i="5" s="1"/>
  <c r="AP56" i="5"/>
  <c r="AQ56" i="5" s="1"/>
  <c r="AP397" i="5"/>
  <c r="AQ397" i="5" s="1"/>
  <c r="AP457" i="5"/>
  <c r="AR457" i="5" s="1"/>
  <c r="AP370" i="5"/>
  <c r="AR370" i="5" s="1"/>
  <c r="AP454" i="5"/>
  <c r="AR454" i="5" s="1"/>
  <c r="AP318" i="5"/>
  <c r="AR318" i="5" s="1"/>
  <c r="U312" i="5"/>
  <c r="V312" i="5"/>
  <c r="AN150" i="5"/>
  <c r="AO150" i="5"/>
  <c r="AO399" i="5"/>
  <c r="AN399" i="5"/>
  <c r="AO381" i="5"/>
  <c r="AN381" i="5"/>
  <c r="AO60" i="5"/>
  <c r="AN60" i="5"/>
  <c r="AO408" i="5"/>
  <c r="AN408" i="5"/>
  <c r="U427" i="5"/>
  <c r="V427" i="5"/>
  <c r="U409" i="5"/>
  <c r="V409" i="5"/>
  <c r="U271" i="5"/>
  <c r="V271" i="5"/>
  <c r="V557" i="5"/>
  <c r="U557" i="5"/>
  <c r="AN59" i="5"/>
  <c r="AO59" i="5"/>
  <c r="AP533" i="5"/>
  <c r="AQ533" i="5" s="1"/>
  <c r="AP404" i="5"/>
  <c r="AR404" i="5" s="1"/>
  <c r="AP488" i="5"/>
  <c r="AR488" i="5" s="1"/>
  <c r="AP291" i="5"/>
  <c r="AR291" i="5" s="1"/>
  <c r="AP260" i="5"/>
  <c r="AQ260" i="5" s="1"/>
  <c r="AP37" i="5"/>
  <c r="AR37" i="5" s="1"/>
  <c r="AP422" i="5"/>
  <c r="AQ422" i="5" s="1"/>
  <c r="AP226" i="5"/>
  <c r="AQ226" i="5" s="1"/>
  <c r="AP420" i="5"/>
  <c r="AR420" i="5" s="1"/>
  <c r="U384" i="5"/>
  <c r="V384" i="5"/>
  <c r="AN254" i="5"/>
  <c r="AO254" i="5"/>
  <c r="AO361" i="5"/>
  <c r="AN361" i="5"/>
  <c r="AO478" i="5"/>
  <c r="AN478" i="5"/>
  <c r="AN398" i="5"/>
  <c r="AO398" i="5"/>
  <c r="AN511" i="5"/>
  <c r="AO511" i="5"/>
  <c r="AO271" i="5"/>
  <c r="AN271" i="5"/>
  <c r="AN503" i="5"/>
  <c r="AO503" i="5"/>
  <c r="AN373" i="5"/>
  <c r="AO373" i="5"/>
  <c r="AO146" i="5"/>
  <c r="AN146" i="5"/>
  <c r="AO401" i="5"/>
  <c r="AN401" i="5"/>
  <c r="AN143" i="5"/>
  <c r="AO143" i="5"/>
  <c r="AN441" i="5"/>
  <c r="AO441" i="5"/>
  <c r="AN226" i="5"/>
  <c r="AO226" i="5"/>
  <c r="AO542" i="5"/>
  <c r="AN542" i="5"/>
  <c r="AN377" i="5"/>
  <c r="AO377" i="5"/>
  <c r="AO190" i="5"/>
  <c r="AN190" i="5"/>
  <c r="AO553" i="5"/>
  <c r="AN553" i="5"/>
  <c r="AN321" i="5"/>
  <c r="AO321" i="5"/>
  <c r="AN21" i="5"/>
  <c r="AO21" i="5"/>
  <c r="AN196" i="5"/>
  <c r="AO196" i="5"/>
  <c r="AN36" i="5"/>
  <c r="AO36" i="5"/>
  <c r="AN257" i="5"/>
  <c r="AO257" i="5"/>
  <c r="AN376" i="5"/>
  <c r="AO376" i="5"/>
  <c r="AM93" i="4"/>
  <c r="AN93" i="4" s="1"/>
  <c r="W93" i="4"/>
  <c r="U88" i="5"/>
  <c r="V88" i="5"/>
  <c r="AN248" i="5"/>
  <c r="AO248" i="5"/>
  <c r="AO57" i="5"/>
  <c r="AN57" i="5"/>
  <c r="U24" i="5"/>
  <c r="V24" i="5"/>
  <c r="AO280" i="5"/>
  <c r="AN280" i="5"/>
  <c r="U376" i="5"/>
  <c r="V376" i="5"/>
  <c r="V309" i="5"/>
  <c r="U309" i="5"/>
  <c r="V497" i="5"/>
  <c r="U497" i="5"/>
  <c r="U490" i="5"/>
  <c r="V490" i="5"/>
  <c r="V556" i="5"/>
  <c r="U556" i="5"/>
  <c r="V541" i="5"/>
  <c r="U541" i="5"/>
  <c r="U421" i="5"/>
  <c r="V421" i="5"/>
  <c r="V370" i="5"/>
  <c r="U370" i="5"/>
  <c r="U404" i="5"/>
  <c r="V404" i="5"/>
  <c r="V551" i="5"/>
  <c r="U551" i="5"/>
  <c r="V483" i="5"/>
  <c r="U483" i="5"/>
  <c r="U365" i="5"/>
  <c r="V365" i="5"/>
  <c r="V343" i="5"/>
  <c r="U343" i="5"/>
  <c r="U241" i="5"/>
  <c r="V241" i="5"/>
  <c r="U137" i="5"/>
  <c r="V137" i="5"/>
  <c r="V543" i="5"/>
  <c r="U543" i="5"/>
  <c r="V358" i="5"/>
  <c r="U358" i="5"/>
  <c r="V294" i="5"/>
  <c r="U294" i="5"/>
  <c r="U335" i="5"/>
  <c r="V335" i="5"/>
  <c r="U265" i="5"/>
  <c r="V265" i="5"/>
  <c r="U130" i="5"/>
  <c r="V130" i="5"/>
  <c r="U527" i="5"/>
  <c r="V527" i="5"/>
  <c r="U333" i="5"/>
  <c r="V333" i="5"/>
  <c r="V361" i="5"/>
  <c r="U361" i="5"/>
  <c r="U330" i="5"/>
  <c r="V330" i="5"/>
  <c r="V263" i="5"/>
  <c r="U263" i="5"/>
  <c r="U119" i="5"/>
  <c r="V119" i="5"/>
  <c r="V545" i="5"/>
  <c r="U545" i="5"/>
  <c r="U501" i="5"/>
  <c r="V501" i="5"/>
  <c r="V355" i="5"/>
  <c r="U355" i="5"/>
  <c r="U326" i="5"/>
  <c r="V326" i="5"/>
  <c r="U260" i="5"/>
  <c r="V260" i="5"/>
  <c r="U115" i="5"/>
  <c r="V115" i="5"/>
  <c r="U505" i="5"/>
  <c r="V505" i="5"/>
  <c r="U369" i="5"/>
  <c r="V369" i="5"/>
  <c r="U258" i="5"/>
  <c r="V258" i="5"/>
  <c r="U206" i="5"/>
  <c r="V206" i="5"/>
  <c r="U36" i="5"/>
  <c r="V36" i="5"/>
  <c r="U463" i="5"/>
  <c r="V463" i="5"/>
  <c r="V499" i="5"/>
  <c r="U499" i="5"/>
  <c r="U341" i="5"/>
  <c r="V341" i="5"/>
  <c r="V299" i="5"/>
  <c r="U299" i="5"/>
  <c r="V215" i="5"/>
  <c r="U215" i="5"/>
  <c r="V63" i="5"/>
  <c r="U63" i="5"/>
  <c r="U517" i="5"/>
  <c r="V517" i="5"/>
  <c r="U385" i="5"/>
  <c r="V385" i="5"/>
  <c r="V292" i="5"/>
  <c r="U292" i="5"/>
  <c r="U211" i="5"/>
  <c r="V211" i="5"/>
  <c r="V39" i="5"/>
  <c r="U39" i="5"/>
  <c r="U94" i="5"/>
  <c r="V94" i="5"/>
  <c r="U66" i="5"/>
  <c r="V66" i="5"/>
  <c r="U70" i="5"/>
  <c r="V70" i="5"/>
  <c r="U448" i="5"/>
  <c r="V448" i="5"/>
  <c r="AP218" i="5"/>
  <c r="AR218" i="5" s="1"/>
  <c r="AO507" i="5"/>
  <c r="AN507" i="5"/>
  <c r="AO316" i="5"/>
  <c r="AN316" i="5"/>
  <c r="V456" i="5"/>
  <c r="U456" i="5"/>
  <c r="U248" i="5"/>
  <c r="V248" i="5"/>
  <c r="V297" i="5"/>
  <c r="U297" i="5"/>
  <c r="V548" i="5"/>
  <c r="U548" i="5"/>
  <c r="U396" i="5"/>
  <c r="V396" i="5"/>
  <c r="U430" i="5"/>
  <c r="V430" i="5"/>
  <c r="AP535" i="5"/>
  <c r="AQ535" i="5" s="1"/>
  <c r="AP551" i="5"/>
  <c r="AQ551" i="5" s="1"/>
  <c r="AP327" i="5"/>
  <c r="AQ327" i="5" s="1"/>
  <c r="AP134" i="5"/>
  <c r="AQ134" i="5" s="1"/>
  <c r="AP326" i="5"/>
  <c r="AR326" i="5" s="1"/>
  <c r="AP463" i="5"/>
  <c r="AQ463" i="5" s="1"/>
  <c r="AP77" i="5"/>
  <c r="AR77" i="5" s="1"/>
  <c r="AP126" i="5"/>
  <c r="AQ126" i="5" s="1"/>
  <c r="AP117" i="5"/>
  <c r="AQ117" i="5" s="1"/>
  <c r="AP530" i="5"/>
  <c r="AR530" i="5" s="1"/>
  <c r="AP321" i="5"/>
  <c r="AQ321" i="5" s="1"/>
  <c r="AN368" i="5"/>
  <c r="AO368" i="5"/>
  <c r="AO279" i="5"/>
  <c r="AN279" i="5"/>
  <c r="AN182" i="5"/>
  <c r="AO182" i="5"/>
  <c r="AO393" i="5"/>
  <c r="AN393" i="5"/>
  <c r="AO275" i="5"/>
  <c r="AN275" i="5"/>
  <c r="AN403" i="5"/>
  <c r="AO403" i="5"/>
  <c r="AN183" i="5"/>
  <c r="AO183" i="5"/>
  <c r="AO453" i="5"/>
  <c r="AN453" i="5"/>
  <c r="AN330" i="5"/>
  <c r="AO330" i="5"/>
  <c r="AO54" i="5"/>
  <c r="AN54" i="5"/>
  <c r="AO342" i="5"/>
  <c r="AN342" i="5"/>
  <c r="AN138" i="5"/>
  <c r="AO138" i="5"/>
  <c r="AN470" i="5"/>
  <c r="AO470" i="5"/>
  <c r="AN213" i="5"/>
  <c r="AO213" i="5"/>
  <c r="AO558" i="5"/>
  <c r="AN558" i="5"/>
  <c r="AN428" i="5"/>
  <c r="AO428" i="5"/>
  <c r="AN180" i="5"/>
  <c r="AO180" i="5"/>
  <c r="AN545" i="5"/>
  <c r="AO545" i="5"/>
  <c r="AO303" i="5"/>
  <c r="AN303" i="5"/>
  <c r="AO22" i="5"/>
  <c r="AN22" i="5"/>
  <c r="AN201" i="5"/>
  <c r="AO201" i="5"/>
  <c r="U504" i="5"/>
  <c r="V504" i="5"/>
  <c r="AN337" i="5"/>
  <c r="AO337" i="5"/>
  <c r="V336" i="5"/>
  <c r="U336" i="5"/>
  <c r="AN344" i="5"/>
  <c r="AO344" i="5"/>
  <c r="AO308" i="5"/>
  <c r="AN308" i="5"/>
  <c r="AN120" i="5"/>
  <c r="AO120" i="5"/>
  <c r="V224" i="5"/>
  <c r="U224" i="5"/>
  <c r="AO177" i="5"/>
  <c r="AN177" i="5"/>
  <c r="U264" i="5"/>
  <c r="V264" i="5"/>
  <c r="V480" i="5"/>
  <c r="U480" i="5"/>
  <c r="U314" i="5"/>
  <c r="V314" i="5"/>
  <c r="V444" i="5"/>
  <c r="U444" i="5"/>
  <c r="U422" i="5"/>
  <c r="V422" i="5"/>
  <c r="U395" i="5"/>
  <c r="V395" i="5"/>
  <c r="V491" i="5"/>
  <c r="U491" i="5"/>
  <c r="U325" i="5"/>
  <c r="V325" i="5"/>
  <c r="V390" i="5"/>
  <c r="U390" i="5"/>
  <c r="U359" i="5"/>
  <c r="V359" i="5"/>
  <c r="U450" i="5"/>
  <c r="V450" i="5"/>
  <c r="U459" i="5"/>
  <c r="V459" i="5"/>
  <c r="U319" i="5"/>
  <c r="V319" i="5"/>
  <c r="V305" i="5"/>
  <c r="U305" i="5"/>
  <c r="U210" i="5"/>
  <c r="V210" i="5"/>
  <c r="U126" i="5"/>
  <c r="V126" i="5"/>
  <c r="V426" i="5"/>
  <c r="U426" i="5"/>
  <c r="U347" i="5"/>
  <c r="V347" i="5"/>
  <c r="V407" i="5"/>
  <c r="U407" i="5"/>
  <c r="V303" i="5"/>
  <c r="U303" i="5"/>
  <c r="U207" i="5"/>
  <c r="V207" i="5"/>
  <c r="U131" i="5"/>
  <c r="V131" i="5"/>
  <c r="U412" i="5"/>
  <c r="V412" i="5"/>
  <c r="U503" i="5"/>
  <c r="V503" i="5"/>
  <c r="U275" i="5"/>
  <c r="V275" i="5"/>
  <c r="V300" i="5"/>
  <c r="U300" i="5"/>
  <c r="V236" i="5"/>
  <c r="U236" i="5"/>
  <c r="U123" i="5"/>
  <c r="V123" i="5"/>
  <c r="U465" i="5"/>
  <c r="V465" i="5"/>
  <c r="U474" i="5"/>
  <c r="V474" i="5"/>
  <c r="U391" i="5"/>
  <c r="V391" i="5"/>
  <c r="V298" i="5"/>
  <c r="U298" i="5"/>
  <c r="U235" i="5"/>
  <c r="V235" i="5"/>
  <c r="U101" i="5"/>
  <c r="V101" i="5"/>
  <c r="U460" i="5"/>
  <c r="V460" i="5"/>
  <c r="V433" i="5"/>
  <c r="U433" i="5"/>
  <c r="V327" i="5"/>
  <c r="U327" i="5"/>
  <c r="U172" i="5"/>
  <c r="V172" i="5"/>
  <c r="U479" i="5"/>
  <c r="V479" i="5"/>
  <c r="U434" i="5"/>
  <c r="V434" i="5"/>
  <c r="U458" i="5"/>
  <c r="V458" i="5"/>
  <c r="V429" i="5"/>
  <c r="U429" i="5"/>
  <c r="V251" i="5"/>
  <c r="U251" i="5"/>
  <c r="V204" i="5"/>
  <c r="U204" i="5"/>
  <c r="U22" i="5"/>
  <c r="V22" i="5"/>
  <c r="U431" i="5"/>
  <c r="V431" i="5"/>
  <c r="V317" i="5"/>
  <c r="U317" i="5"/>
  <c r="U250" i="5"/>
  <c r="V250" i="5"/>
  <c r="V201" i="5"/>
  <c r="U201" i="5"/>
  <c r="V139" i="5"/>
  <c r="U139" i="5"/>
  <c r="V41" i="5"/>
  <c r="U41" i="5"/>
  <c r="V33" i="5"/>
  <c r="U33" i="5"/>
  <c r="U34" i="5"/>
  <c r="V34" i="5"/>
  <c r="V296" i="5"/>
  <c r="U296" i="5"/>
  <c r="U432" i="5"/>
  <c r="V432" i="5"/>
  <c r="AO78" i="5"/>
  <c r="AN78" i="5"/>
  <c r="AO181" i="5"/>
  <c r="AN181" i="5"/>
  <c r="AO134" i="5"/>
  <c r="AN134" i="5"/>
  <c r="AO166" i="5"/>
  <c r="AN166" i="5"/>
  <c r="U440" i="5"/>
  <c r="V440" i="5"/>
  <c r="V476" i="5"/>
  <c r="U476" i="5"/>
  <c r="V291" i="5"/>
  <c r="U291" i="5"/>
  <c r="U281" i="5"/>
  <c r="V281" i="5"/>
  <c r="V229" i="5"/>
  <c r="U229" i="5"/>
  <c r="U269" i="5"/>
  <c r="V269" i="5"/>
  <c r="U268" i="5"/>
  <c r="V268" i="5"/>
  <c r="U133" i="5"/>
  <c r="V133" i="5"/>
  <c r="U346" i="5"/>
  <c r="V346" i="5"/>
  <c r="U154" i="5"/>
  <c r="V154" i="5"/>
  <c r="V38" i="5"/>
  <c r="U38" i="5"/>
  <c r="AP78" i="5"/>
  <c r="AQ78" i="5" s="1"/>
  <c r="AP448" i="5"/>
  <c r="AQ448" i="5" s="1"/>
  <c r="AP487" i="5"/>
  <c r="AR487" i="5" s="1"/>
  <c r="U8" i="5"/>
  <c r="V8" i="5"/>
  <c r="AN288" i="5"/>
  <c r="AO288" i="5"/>
  <c r="AN378" i="5"/>
  <c r="AO378" i="5"/>
  <c r="AO516" i="5"/>
  <c r="AN516" i="5"/>
  <c r="AO529" i="5"/>
  <c r="AN529" i="5"/>
  <c r="AN522" i="5"/>
  <c r="AO522" i="5"/>
  <c r="AN19" i="5"/>
  <c r="AO19" i="5"/>
  <c r="AO366" i="5"/>
  <c r="AN366" i="5"/>
  <c r="AN154" i="5"/>
  <c r="AO154" i="5"/>
  <c r="AO391" i="5"/>
  <c r="AN391" i="5"/>
  <c r="AO269" i="5"/>
  <c r="AN269" i="5"/>
  <c r="AN524" i="5"/>
  <c r="AO524" i="5"/>
  <c r="AO250" i="5"/>
  <c r="AN250" i="5"/>
  <c r="AN55" i="5"/>
  <c r="AO55" i="5"/>
  <c r="AN386" i="5"/>
  <c r="AO386" i="5"/>
  <c r="AO126" i="5"/>
  <c r="AN126" i="5"/>
  <c r="AO489" i="5"/>
  <c r="AN489" i="5"/>
  <c r="AN310" i="5"/>
  <c r="AO310" i="5"/>
  <c r="AO86" i="5"/>
  <c r="AN86" i="5"/>
  <c r="AO461" i="5"/>
  <c r="AN461" i="5"/>
  <c r="AN214" i="5"/>
  <c r="AO214" i="5"/>
  <c r="AO357" i="5"/>
  <c r="AN357" i="5"/>
  <c r="AN124" i="5"/>
  <c r="AO124" i="5"/>
  <c r="V80" i="5"/>
  <c r="U80" i="5"/>
  <c r="V288" i="5"/>
  <c r="U288" i="5"/>
  <c r="AN148" i="5"/>
  <c r="AO148" i="5"/>
  <c r="U56" i="5"/>
  <c r="V56" i="5"/>
  <c r="AN424" i="5"/>
  <c r="AO424" i="5"/>
  <c r="U496" i="5"/>
  <c r="V496" i="5"/>
  <c r="V344" i="5"/>
  <c r="U344" i="5"/>
  <c r="AO448" i="5"/>
  <c r="AN448" i="5"/>
  <c r="U100" i="5"/>
  <c r="V100" i="5"/>
  <c r="U462" i="5"/>
  <c r="V462" i="5"/>
  <c r="V418" i="5"/>
  <c r="U418" i="5"/>
  <c r="V380" i="5"/>
  <c r="U380" i="5"/>
  <c r="U242" i="5"/>
  <c r="V242" i="5"/>
  <c r="V69" i="5"/>
  <c r="U69" i="5"/>
  <c r="V67" i="5"/>
  <c r="U67" i="5"/>
  <c r="U194" i="5"/>
  <c r="V194" i="5"/>
  <c r="V338" i="5"/>
  <c r="U338" i="5"/>
  <c r="U515" i="5"/>
  <c r="V515" i="5"/>
  <c r="U247" i="5"/>
  <c r="V247" i="5"/>
  <c r="U253" i="5"/>
  <c r="V253" i="5"/>
  <c r="U205" i="5"/>
  <c r="V205" i="5"/>
  <c r="U50" i="5"/>
  <c r="V50" i="5"/>
  <c r="U529" i="5"/>
  <c r="V529" i="5"/>
  <c r="U478" i="5"/>
  <c r="V478" i="5"/>
  <c r="V214" i="5"/>
  <c r="U214" i="5"/>
  <c r="U246" i="5"/>
  <c r="V246" i="5"/>
  <c r="V239" i="5"/>
  <c r="U239" i="5"/>
  <c r="U92" i="5"/>
  <c r="V92" i="5"/>
  <c r="V560" i="5"/>
  <c r="U560" i="5"/>
  <c r="U454" i="5"/>
  <c r="V454" i="5"/>
  <c r="U372" i="5"/>
  <c r="V372" i="5"/>
  <c r="U231" i="5"/>
  <c r="V231" i="5"/>
  <c r="V227" i="5"/>
  <c r="U227" i="5"/>
  <c r="V61" i="5"/>
  <c r="U61" i="5"/>
  <c r="U493" i="5"/>
  <c r="V493" i="5"/>
  <c r="U537" i="5"/>
  <c r="V537" i="5"/>
  <c r="U436" i="5"/>
  <c r="V436" i="5"/>
  <c r="U226" i="5"/>
  <c r="V226" i="5"/>
  <c r="U212" i="5"/>
  <c r="V212" i="5"/>
  <c r="U53" i="5"/>
  <c r="V53" i="5"/>
  <c r="U414" i="5"/>
  <c r="V414" i="5"/>
  <c r="U366" i="5"/>
  <c r="V366" i="5"/>
  <c r="U254" i="5"/>
  <c r="V254" i="5"/>
  <c r="U134" i="5"/>
  <c r="V134" i="5"/>
  <c r="V555" i="5"/>
  <c r="U555" i="5"/>
  <c r="U519" i="5"/>
  <c r="V519" i="5"/>
  <c r="U411" i="5"/>
  <c r="V411" i="5"/>
  <c r="V315" i="5"/>
  <c r="U315" i="5"/>
  <c r="U279" i="5"/>
  <c r="V279" i="5"/>
  <c r="U118" i="5"/>
  <c r="V118" i="5"/>
  <c r="V531" i="5"/>
  <c r="U531" i="5"/>
  <c r="V494" i="5"/>
  <c r="U494" i="5"/>
  <c r="V362" i="5"/>
  <c r="U362" i="5"/>
  <c r="V274" i="5"/>
  <c r="U274" i="5"/>
  <c r="U187" i="5"/>
  <c r="V187" i="5"/>
  <c r="U98" i="5"/>
  <c r="V98" i="5"/>
  <c r="V47" i="5"/>
  <c r="U47" i="5"/>
  <c r="U84" i="5"/>
  <c r="V84" i="5"/>
  <c r="AO20" i="5"/>
  <c r="AN20" i="5"/>
  <c r="AN216" i="5"/>
  <c r="AO216" i="5"/>
  <c r="AN151" i="5"/>
  <c r="AO151" i="5"/>
  <c r="AO84" i="5"/>
  <c r="AN84" i="5"/>
  <c r="AN101" i="5"/>
  <c r="AO101" i="5"/>
  <c r="U512" i="5"/>
  <c r="V512" i="5"/>
  <c r="U435" i="5"/>
  <c r="V435" i="5"/>
  <c r="U244" i="5"/>
  <c r="V244" i="5"/>
  <c r="U82" i="5"/>
  <c r="V82" i="5"/>
  <c r="U484" i="5"/>
  <c r="V484" i="5"/>
  <c r="U453" i="5"/>
  <c r="V453" i="5"/>
  <c r="V57" i="5"/>
  <c r="U57" i="5"/>
  <c r="V549" i="5"/>
  <c r="U549" i="5"/>
  <c r="V428" i="5"/>
  <c r="U428" i="5"/>
  <c r="V322" i="5"/>
  <c r="U322" i="5"/>
  <c r="U393" i="5"/>
  <c r="V393" i="5"/>
  <c r="V27" i="5"/>
  <c r="U27" i="5"/>
  <c r="AP101" i="5"/>
  <c r="AR101" i="5" s="1"/>
  <c r="AP143" i="5"/>
  <c r="AR143" i="5" s="1"/>
  <c r="AP81" i="5"/>
  <c r="AQ81" i="5" s="1"/>
  <c r="U256" i="5"/>
  <c r="V256" i="5"/>
  <c r="V320" i="5"/>
  <c r="U320" i="5"/>
  <c r="AO290" i="5"/>
  <c r="AN290" i="5"/>
  <c r="AN245" i="5"/>
  <c r="AO245" i="5"/>
  <c r="AO429" i="5"/>
  <c r="AN429" i="5"/>
  <c r="AO471" i="5"/>
  <c r="AN471" i="5"/>
  <c r="AO407" i="5"/>
  <c r="AN407" i="5"/>
  <c r="AO417" i="5"/>
  <c r="AN417" i="5"/>
  <c r="AN90" i="5"/>
  <c r="AO90" i="5"/>
  <c r="AN452" i="5"/>
  <c r="AO452" i="5"/>
  <c r="AN266" i="5"/>
  <c r="AO266" i="5"/>
  <c r="AN425" i="5"/>
  <c r="AO425" i="5"/>
  <c r="AO329" i="5"/>
  <c r="AN329" i="5"/>
  <c r="AO44" i="5"/>
  <c r="AN44" i="5"/>
  <c r="AO319" i="5"/>
  <c r="AN319" i="5"/>
  <c r="AO94" i="5"/>
  <c r="AN94" i="5"/>
  <c r="AO405" i="5"/>
  <c r="AN405" i="5"/>
  <c r="AN188" i="5"/>
  <c r="AO188" i="5"/>
  <c r="AO76" i="5"/>
  <c r="AN76" i="5"/>
  <c r="AN375" i="5"/>
  <c r="AO375" i="5"/>
  <c r="AN165" i="5"/>
  <c r="AO165" i="5"/>
  <c r="AO295" i="5"/>
  <c r="AN295" i="5"/>
  <c r="AN100" i="5"/>
  <c r="AO100" i="5"/>
  <c r="V368" i="5"/>
  <c r="U368" i="5"/>
  <c r="AN236" i="5"/>
  <c r="AO236" i="5"/>
  <c r="AO208" i="5"/>
  <c r="AN208" i="5"/>
  <c r="U400" i="5"/>
  <c r="V400" i="5"/>
  <c r="V112" i="5"/>
  <c r="U112" i="5"/>
  <c r="AO144" i="5"/>
  <c r="AN144" i="5"/>
  <c r="U526" i="5"/>
  <c r="V526" i="5"/>
  <c r="AO480" i="5"/>
  <c r="AN480" i="5"/>
  <c r="AO300" i="5"/>
  <c r="AN300" i="5"/>
  <c r="V328" i="5"/>
  <c r="U328" i="5"/>
  <c r="AO35" i="5"/>
  <c r="AN35" i="5"/>
  <c r="U518" i="5"/>
  <c r="V518" i="5"/>
  <c r="U349" i="5"/>
  <c r="V349" i="5"/>
  <c r="U307" i="5"/>
  <c r="V307" i="5"/>
  <c r="V285" i="5"/>
  <c r="U285" i="5"/>
  <c r="U141" i="5"/>
  <c r="V141" i="5"/>
  <c r="U19" i="5"/>
  <c r="V19" i="5"/>
  <c r="U552" i="5"/>
  <c r="V552" i="5"/>
  <c r="V44" i="5"/>
  <c r="U44" i="5"/>
  <c r="U510" i="5"/>
  <c r="V510" i="5"/>
  <c r="V481" i="5"/>
  <c r="U481" i="5"/>
  <c r="U420" i="5"/>
  <c r="V420" i="5"/>
  <c r="U323" i="5"/>
  <c r="V323" i="5"/>
  <c r="U190" i="5"/>
  <c r="V190" i="5"/>
  <c r="U28" i="5"/>
  <c r="V28" i="5"/>
  <c r="V506" i="5"/>
  <c r="U506" i="5"/>
  <c r="U443" i="5"/>
  <c r="V443" i="5"/>
  <c r="V415" i="5"/>
  <c r="U415" i="5"/>
  <c r="V316" i="5"/>
  <c r="U316" i="5"/>
  <c r="U203" i="5"/>
  <c r="V203" i="5"/>
  <c r="U30" i="5"/>
  <c r="V30" i="5"/>
  <c r="U495" i="5"/>
  <c r="V495" i="5"/>
  <c r="V339" i="5"/>
  <c r="U339" i="5"/>
  <c r="U437" i="5"/>
  <c r="V437" i="5"/>
  <c r="V313" i="5"/>
  <c r="U313" i="5"/>
  <c r="U196" i="5"/>
  <c r="V196" i="5"/>
  <c r="U502" i="5"/>
  <c r="V502" i="5"/>
  <c r="U470" i="5"/>
  <c r="V470" i="5"/>
  <c r="V507" i="5"/>
  <c r="U507" i="5"/>
  <c r="U405" i="5"/>
  <c r="V405" i="5"/>
  <c r="V311" i="5"/>
  <c r="U311" i="5"/>
  <c r="V188" i="5"/>
  <c r="U188" i="5"/>
  <c r="Q10" i="5"/>
  <c r="AG10" i="5"/>
  <c r="T10" i="5"/>
  <c r="AM10" i="5"/>
  <c r="W10" i="5"/>
  <c r="V383" i="5"/>
  <c r="U383" i="5"/>
  <c r="V329" i="5"/>
  <c r="U329" i="5"/>
  <c r="U233" i="5"/>
  <c r="V233" i="5"/>
  <c r="U114" i="5"/>
  <c r="V114" i="5"/>
  <c r="U514" i="5"/>
  <c r="V514" i="5"/>
  <c r="U498" i="5"/>
  <c r="V498" i="5"/>
  <c r="U382" i="5"/>
  <c r="V382" i="5"/>
  <c r="U356" i="5"/>
  <c r="V356" i="5"/>
  <c r="U252" i="5"/>
  <c r="V252" i="5"/>
  <c r="U125" i="5"/>
  <c r="V125" i="5"/>
  <c r="V487" i="5"/>
  <c r="U487" i="5"/>
  <c r="V451" i="5"/>
  <c r="U451" i="5"/>
  <c r="U354" i="5"/>
  <c r="V354" i="5"/>
  <c r="U249" i="5"/>
  <c r="V249" i="5"/>
  <c r="V151" i="5"/>
  <c r="U151" i="5"/>
  <c r="U74" i="5"/>
  <c r="V74" i="5"/>
  <c r="V26" i="5"/>
  <c r="U26" i="5"/>
  <c r="U87" i="5"/>
  <c r="V87" i="5"/>
  <c r="AN292" i="5"/>
  <c r="AO292" i="5"/>
  <c r="V546" i="5"/>
  <c r="U546" i="5"/>
  <c r="AO456" i="5"/>
  <c r="AN456" i="5"/>
  <c r="AO255" i="5"/>
  <c r="AN255" i="5"/>
  <c r="AO229" i="5"/>
  <c r="AN229" i="5"/>
  <c r="U472" i="5"/>
  <c r="V472" i="5"/>
  <c r="U464" i="5"/>
  <c r="V464" i="5"/>
  <c r="U550" i="5"/>
  <c r="V550" i="5"/>
  <c r="U375" i="5"/>
  <c r="V375" i="5"/>
  <c r="U37" i="5"/>
  <c r="V37" i="5"/>
  <c r="U403" i="5"/>
  <c r="V403" i="5"/>
  <c r="U377" i="5"/>
  <c r="V377" i="5"/>
  <c r="V161" i="5"/>
  <c r="U161" i="5"/>
  <c r="U91" i="5"/>
  <c r="V91" i="5"/>
  <c r="U280" i="5"/>
  <c r="V280" i="5"/>
  <c r="AP229" i="5"/>
  <c r="AR229" i="5" s="1"/>
  <c r="AP131" i="5"/>
  <c r="AQ131" i="5" s="1"/>
  <c r="AP94" i="5"/>
  <c r="AQ94" i="5" s="1"/>
  <c r="AP274" i="5"/>
  <c r="AQ274" i="5" s="1"/>
  <c r="AP79" i="5"/>
  <c r="AR79" i="5" s="1"/>
  <c r="AP127" i="5"/>
  <c r="AR127" i="5" s="1"/>
  <c r="AO95" i="5"/>
  <c r="AN95" i="5"/>
  <c r="AN202" i="5"/>
  <c r="AO202" i="5"/>
  <c r="AO350" i="5"/>
  <c r="AN350" i="5"/>
  <c r="AN351" i="5"/>
  <c r="AO351" i="5"/>
  <c r="AO517" i="5"/>
  <c r="AN517" i="5"/>
  <c r="AN345" i="5"/>
  <c r="AO345" i="5"/>
  <c r="AO483" i="5"/>
  <c r="AN483" i="5"/>
  <c r="AN364" i="5"/>
  <c r="AO364" i="5"/>
  <c r="AN244" i="5"/>
  <c r="AO244" i="5"/>
  <c r="AN502" i="5"/>
  <c r="AO502" i="5"/>
  <c r="AO247" i="5"/>
  <c r="AN247" i="5"/>
  <c r="AN559" i="5"/>
  <c r="AO559" i="5"/>
  <c r="AN315" i="5"/>
  <c r="AO315" i="5"/>
  <c r="AN77" i="5"/>
  <c r="AO77" i="5"/>
  <c r="AN468" i="5"/>
  <c r="AO468" i="5"/>
  <c r="AN323" i="5"/>
  <c r="AO323" i="5"/>
  <c r="AN52" i="5"/>
  <c r="AO52" i="5"/>
  <c r="AO414" i="5"/>
  <c r="AN414" i="5"/>
  <c r="AN170" i="5"/>
  <c r="AO170" i="5"/>
  <c r="AN317" i="5"/>
  <c r="AO317" i="5"/>
  <c r="AO74" i="5"/>
  <c r="AN74" i="5"/>
  <c r="U352" i="5"/>
  <c r="V352" i="5"/>
  <c r="AN440" i="5"/>
  <c r="AO440" i="5"/>
  <c r="AN203" i="5"/>
  <c r="AO203" i="5"/>
  <c r="U272" i="5"/>
  <c r="V272" i="5"/>
  <c r="U424" i="5"/>
  <c r="V424" i="5"/>
  <c r="AM77" i="4"/>
  <c r="W77" i="4"/>
  <c r="X77" i="4" s="1"/>
  <c r="V304" i="5"/>
  <c r="U304" i="5"/>
  <c r="V208" i="5"/>
  <c r="U208" i="5"/>
  <c r="AN464" i="5"/>
  <c r="AO464" i="5"/>
  <c r="AO107" i="5"/>
  <c r="AN107" i="5"/>
  <c r="V160" i="5"/>
  <c r="U160" i="5"/>
  <c r="AO99" i="5"/>
  <c r="AN99" i="5"/>
  <c r="AM8" i="4"/>
  <c r="AN8" i="4" s="1"/>
  <c r="W8" i="4"/>
  <c r="U536" i="5"/>
  <c r="V536" i="5"/>
  <c r="V273" i="5"/>
  <c r="U273" i="5"/>
  <c r="U146" i="5"/>
  <c r="V146" i="5"/>
  <c r="U221" i="5"/>
  <c r="V221" i="5"/>
  <c r="U419" i="5"/>
  <c r="V419" i="5"/>
  <c r="V553" i="5"/>
  <c r="U553" i="5"/>
  <c r="V539" i="5"/>
  <c r="U539" i="5"/>
  <c r="V523" i="5"/>
  <c r="U523" i="5"/>
  <c r="V482" i="5"/>
  <c r="U482" i="5"/>
  <c r="U447" i="5"/>
  <c r="V447" i="5"/>
  <c r="U387" i="5"/>
  <c r="V387" i="5"/>
  <c r="V237" i="5"/>
  <c r="U237" i="5"/>
  <c r="U79" i="5"/>
  <c r="V79" i="5"/>
  <c r="V520" i="5"/>
  <c r="U520" i="5"/>
  <c r="U477" i="5"/>
  <c r="V477" i="5"/>
  <c r="U324" i="5"/>
  <c r="V324" i="5"/>
  <c r="V381" i="5"/>
  <c r="U381" i="5"/>
  <c r="V284" i="5"/>
  <c r="U284" i="5"/>
  <c r="V186" i="5"/>
  <c r="U186" i="5"/>
  <c r="U509" i="5"/>
  <c r="V509" i="5"/>
  <c r="U473" i="5"/>
  <c r="V473" i="5"/>
  <c r="U508" i="5"/>
  <c r="V508" i="5"/>
  <c r="V410" i="5"/>
  <c r="U410" i="5"/>
  <c r="U276" i="5"/>
  <c r="V276" i="5"/>
  <c r="V185" i="5"/>
  <c r="U185" i="5"/>
  <c r="U559" i="5"/>
  <c r="V559" i="5"/>
  <c r="U439" i="5"/>
  <c r="V439" i="5"/>
  <c r="U466" i="5"/>
  <c r="V466" i="5"/>
  <c r="V367" i="5"/>
  <c r="U367" i="5"/>
  <c r="U266" i="5"/>
  <c r="V266" i="5"/>
  <c r="V183" i="5"/>
  <c r="U183" i="5"/>
  <c r="U471" i="5"/>
  <c r="V471" i="5"/>
  <c r="V353" i="5"/>
  <c r="U353" i="5"/>
  <c r="V262" i="5"/>
  <c r="U262" i="5"/>
  <c r="U180" i="5"/>
  <c r="V180" i="5"/>
  <c r="U109" i="5"/>
  <c r="V109" i="5"/>
  <c r="V544" i="5"/>
  <c r="U544" i="5"/>
  <c r="V468" i="5"/>
  <c r="U468" i="5"/>
  <c r="V348" i="5"/>
  <c r="U348" i="5"/>
  <c r="U293" i="5"/>
  <c r="V293" i="5"/>
  <c r="V230" i="5"/>
  <c r="U230" i="5"/>
  <c r="V156" i="5"/>
  <c r="U156" i="5"/>
  <c r="U461" i="5"/>
  <c r="V461" i="5"/>
  <c r="V379" i="5"/>
  <c r="U379" i="5"/>
  <c r="V310" i="5"/>
  <c r="U310" i="5"/>
  <c r="U225" i="5"/>
  <c r="V225" i="5"/>
  <c r="U155" i="5"/>
  <c r="V155" i="5"/>
  <c r="V59" i="5"/>
  <c r="U59" i="5"/>
  <c r="U121" i="5"/>
  <c r="V121" i="5"/>
  <c r="V105" i="5"/>
  <c r="U105" i="5"/>
  <c r="AO91" i="5"/>
  <c r="AN91" i="5"/>
  <c r="V554" i="5"/>
  <c r="U554" i="5"/>
  <c r="AN34" i="5"/>
  <c r="AO34" i="5"/>
  <c r="AO46" i="5"/>
  <c r="AN46" i="5"/>
  <c r="AN411" i="5"/>
  <c r="AO411" i="5"/>
  <c r="AO535" i="5"/>
  <c r="AN535" i="5"/>
  <c r="U150" i="5"/>
  <c r="V150" i="5"/>
  <c r="U245" i="5"/>
  <c r="V245" i="5"/>
  <c r="V93" i="5"/>
  <c r="U93" i="5"/>
  <c r="U222" i="5"/>
  <c r="V222" i="5"/>
  <c r="U191" i="5"/>
  <c r="V191" i="5"/>
  <c r="V282" i="5"/>
  <c r="U282" i="5"/>
  <c r="V364" i="5"/>
  <c r="U364" i="5"/>
  <c r="U525" i="5"/>
  <c r="V525" i="5"/>
  <c r="V318" i="5"/>
  <c r="U318" i="5"/>
  <c r="U43" i="5"/>
  <c r="V43" i="5"/>
  <c r="AP232" i="5"/>
  <c r="AQ232" i="5" s="1"/>
  <c r="AP381" i="5"/>
  <c r="AQ381" i="5" s="1"/>
  <c r="AP255" i="5"/>
  <c r="AQ255" i="5" s="1"/>
  <c r="AP531" i="5"/>
  <c r="AQ531" i="5" s="1"/>
  <c r="AP210" i="5"/>
  <c r="AQ210" i="5" s="1"/>
  <c r="AP360" i="5"/>
  <c r="AR360" i="5" s="1"/>
  <c r="AP216" i="5"/>
  <c r="AQ216" i="5" s="1"/>
  <c r="AP30" i="5"/>
  <c r="AR30" i="5" s="1"/>
  <c r="AP140" i="5"/>
  <c r="AR140" i="5" s="1"/>
  <c r="AO501" i="5"/>
  <c r="AN501" i="5"/>
  <c r="AN548" i="5"/>
  <c r="AO548" i="5"/>
  <c r="AO187" i="5"/>
  <c r="AN187" i="5"/>
  <c r="AN119" i="5"/>
  <c r="AO119" i="5"/>
  <c r="AN509" i="5"/>
  <c r="AO509" i="5"/>
  <c r="AN339" i="5"/>
  <c r="AO339" i="5"/>
  <c r="AO544" i="5"/>
  <c r="AN544" i="5"/>
  <c r="AO402" i="5"/>
  <c r="AN402" i="5"/>
  <c r="AO230" i="5"/>
  <c r="AN230" i="5"/>
  <c r="AN443" i="5"/>
  <c r="AO443" i="5"/>
  <c r="AN246" i="5"/>
  <c r="AO246" i="5"/>
  <c r="AN297" i="5"/>
  <c r="AO297" i="5"/>
  <c r="AO241" i="5"/>
  <c r="AN241" i="5"/>
  <c r="AN63" i="5"/>
  <c r="AO63" i="5"/>
  <c r="AN515" i="5"/>
  <c r="AO515" i="5"/>
  <c r="AN191" i="5"/>
  <c r="AO191" i="5"/>
  <c r="AN37" i="5"/>
  <c r="AO37" i="5"/>
  <c r="AO218" i="5"/>
  <c r="AN218" i="5"/>
  <c r="AN117" i="5"/>
  <c r="AO117" i="5"/>
  <c r="AO291" i="5"/>
  <c r="AN291" i="5"/>
  <c r="AO75" i="5"/>
  <c r="AN75" i="5"/>
  <c r="AM157" i="4"/>
  <c r="W157" i="4"/>
  <c r="X157" i="4" s="1"/>
  <c r="U192" i="5"/>
  <c r="V192" i="5"/>
  <c r="U232" i="5"/>
  <c r="V232" i="5"/>
  <c r="AN336" i="5"/>
  <c r="AO336" i="5"/>
  <c r="AN227" i="5"/>
  <c r="AO227" i="5"/>
  <c r="AN121" i="5"/>
  <c r="AO121" i="5"/>
  <c r="AN184" i="5"/>
  <c r="AO184" i="5"/>
  <c r="AN123" i="5"/>
  <c r="AO123" i="5"/>
  <c r="U485" i="5"/>
  <c r="V485" i="5"/>
  <c r="V457" i="5"/>
  <c r="U457" i="5"/>
  <c r="V181" i="5"/>
  <c r="U181" i="5"/>
  <c r="V547" i="5"/>
  <c r="U547" i="5"/>
  <c r="U142" i="5"/>
  <c r="V142" i="5"/>
  <c r="U492" i="5"/>
  <c r="V492" i="5"/>
  <c r="V542" i="5"/>
  <c r="U542" i="5"/>
  <c r="U467" i="5"/>
  <c r="V467" i="5"/>
  <c r="V445" i="5"/>
  <c r="U445" i="5"/>
  <c r="U455" i="5"/>
  <c r="V455" i="5"/>
  <c r="U357" i="5"/>
  <c r="V357" i="5"/>
  <c r="V350" i="5"/>
  <c r="U350" i="5"/>
  <c r="V306" i="5"/>
  <c r="U306" i="5"/>
  <c r="U177" i="5"/>
  <c r="V177" i="5"/>
  <c r="U423" i="5"/>
  <c r="V423" i="5"/>
  <c r="V452" i="5"/>
  <c r="U452" i="5"/>
  <c r="U399" i="5"/>
  <c r="V399" i="5"/>
  <c r="U345" i="5"/>
  <c r="V345" i="5"/>
  <c r="U135" i="5"/>
  <c r="V135" i="5"/>
  <c r="V170" i="5"/>
  <c r="U170" i="5"/>
  <c r="U397" i="5"/>
  <c r="V397" i="5"/>
  <c r="U446" i="5"/>
  <c r="V446" i="5"/>
  <c r="V441" i="5"/>
  <c r="U441" i="5"/>
  <c r="V378" i="5"/>
  <c r="U378" i="5"/>
  <c r="U334" i="5"/>
  <c r="V334" i="5"/>
  <c r="V169" i="5"/>
  <c r="U169" i="5"/>
  <c r="U524" i="5"/>
  <c r="V524" i="5"/>
  <c r="U398" i="5"/>
  <c r="V398" i="5"/>
  <c r="U417" i="5"/>
  <c r="V417" i="5"/>
  <c r="V337" i="5"/>
  <c r="U337" i="5"/>
  <c r="V332" i="5"/>
  <c r="U332" i="5"/>
  <c r="U140" i="5"/>
  <c r="V140" i="5"/>
  <c r="U442" i="5"/>
  <c r="V442" i="5"/>
  <c r="U228" i="5"/>
  <c r="V228" i="5"/>
  <c r="V321" i="5"/>
  <c r="U321" i="5"/>
  <c r="V199" i="5"/>
  <c r="U199" i="5"/>
  <c r="V85" i="5"/>
  <c r="U85" i="5"/>
  <c r="U540" i="5"/>
  <c r="V540" i="5"/>
  <c r="U438" i="5"/>
  <c r="V438" i="5"/>
  <c r="U195" i="5"/>
  <c r="V195" i="5"/>
  <c r="U261" i="5"/>
  <c r="V261" i="5"/>
  <c r="V174" i="5"/>
  <c r="U174" i="5"/>
  <c r="V106" i="5"/>
  <c r="U106" i="5"/>
  <c r="U425" i="5"/>
  <c r="V425" i="5"/>
  <c r="V340" i="5"/>
  <c r="U340" i="5"/>
  <c r="V290" i="5"/>
  <c r="U290" i="5"/>
  <c r="U243" i="5"/>
  <c r="V243" i="5"/>
  <c r="U95" i="5"/>
  <c r="V95" i="5"/>
  <c r="U52" i="5"/>
  <c r="V52" i="5"/>
  <c r="U83" i="5"/>
  <c r="V83" i="5"/>
  <c r="V89" i="5"/>
  <c r="U89" i="5"/>
  <c r="AO307" i="5"/>
  <c r="AN307" i="5"/>
  <c r="AO104" i="5"/>
  <c r="AN104" i="5"/>
  <c r="AM108" i="4"/>
  <c r="AN108" i="4" s="1"/>
  <c r="W108" i="4"/>
  <c r="Y108" i="4" s="1"/>
  <c r="Z108" i="4" s="1"/>
  <c r="AO469" i="5"/>
  <c r="AN469" i="5"/>
  <c r="AN460" i="5"/>
  <c r="AO460" i="5"/>
  <c r="AO531" i="5"/>
  <c r="AN531" i="5"/>
  <c r="AO237" i="5"/>
  <c r="AN237" i="5"/>
  <c r="V538" i="5"/>
  <c r="U538" i="5"/>
  <c r="U516" i="5"/>
  <c r="V516" i="5"/>
  <c r="U351" i="5"/>
  <c r="V351" i="5"/>
  <c r="V513" i="5"/>
  <c r="U513" i="5"/>
  <c r="U475" i="5"/>
  <c r="V475" i="5"/>
  <c r="V371" i="5"/>
  <c r="U371" i="5"/>
  <c r="AP447" i="5"/>
  <c r="AQ447" i="5" s="1"/>
  <c r="AP181" i="5"/>
  <c r="AR181" i="5" s="1"/>
  <c r="AP517" i="5"/>
  <c r="AQ517" i="5" s="1"/>
  <c r="AP426" i="5"/>
  <c r="AQ426" i="5" s="1"/>
  <c r="AP312" i="5"/>
  <c r="AQ312" i="5" s="1"/>
  <c r="AP239" i="5"/>
  <c r="AR239" i="5" s="1"/>
  <c r="AP474" i="5"/>
  <c r="AQ474" i="5" s="1"/>
  <c r="AP296" i="5"/>
  <c r="AQ296" i="5" s="1"/>
  <c r="V152" i="5"/>
  <c r="U152" i="5"/>
  <c r="AO400" i="5"/>
  <c r="AN400" i="5"/>
  <c r="U488" i="5"/>
  <c r="V488" i="5"/>
  <c r="AO353" i="5"/>
  <c r="AN353" i="5"/>
  <c r="AN439" i="5"/>
  <c r="AO439" i="5"/>
  <c r="AO523" i="5"/>
  <c r="AN523" i="5"/>
  <c r="AN479" i="5"/>
  <c r="AO479" i="5"/>
  <c r="AN466" i="5"/>
  <c r="AO466" i="5"/>
  <c r="AN268" i="5"/>
  <c r="AO268" i="5"/>
  <c r="AO513" i="5"/>
  <c r="AN513" i="5"/>
  <c r="AO277" i="5"/>
  <c r="AN277" i="5"/>
  <c r="AN158" i="5"/>
  <c r="AO158" i="5"/>
  <c r="AO382" i="5"/>
  <c r="AN382" i="5"/>
  <c r="AO242" i="5"/>
  <c r="AN242" i="5"/>
  <c r="AO494" i="5"/>
  <c r="AN494" i="5"/>
  <c r="AO327" i="5"/>
  <c r="AN327" i="5"/>
  <c r="AO30" i="5"/>
  <c r="AN30" i="5"/>
  <c r="AN333" i="5"/>
  <c r="AO333" i="5"/>
  <c r="AN217" i="5"/>
  <c r="AO217" i="5"/>
  <c r="AN541" i="5"/>
  <c r="AO541" i="5"/>
  <c r="AN309" i="5"/>
  <c r="AO309" i="5"/>
  <c r="AO102" i="5"/>
  <c r="AN102" i="5"/>
  <c r="AN215" i="5"/>
  <c r="AO215" i="5"/>
  <c r="AO67" i="5"/>
  <c r="AN67" i="5"/>
  <c r="V416" i="5"/>
  <c r="U416" i="5"/>
  <c r="AN153" i="5"/>
  <c r="AO153" i="5"/>
  <c r="V32" i="5"/>
  <c r="U32" i="5"/>
  <c r="U360" i="5"/>
  <c r="V360" i="5"/>
  <c r="AO387" i="5"/>
  <c r="AN387" i="5"/>
  <c r="U392" i="5"/>
  <c r="V392" i="5"/>
  <c r="V373" i="5"/>
  <c r="U373" i="5"/>
  <c r="U469" i="5"/>
  <c r="V469" i="5"/>
  <c r="V558" i="5"/>
  <c r="U558" i="5"/>
  <c r="U394" i="5"/>
  <c r="V394" i="5"/>
  <c r="V535" i="5"/>
  <c r="U535" i="5"/>
  <c r="U521" i="5"/>
  <c r="V521" i="5"/>
  <c r="U486" i="5"/>
  <c r="V486" i="5"/>
  <c r="U500" i="5"/>
  <c r="V500" i="5"/>
  <c r="U530" i="5"/>
  <c r="V530" i="5"/>
  <c r="V511" i="5"/>
  <c r="U511" i="5"/>
  <c r="V402" i="5"/>
  <c r="U402" i="5"/>
  <c r="U286" i="5"/>
  <c r="V286" i="5"/>
  <c r="U270" i="5"/>
  <c r="V270" i="5"/>
  <c r="U138" i="5"/>
  <c r="V138" i="5"/>
  <c r="V528" i="5"/>
  <c r="U528" i="5"/>
  <c r="U413" i="5"/>
  <c r="V413" i="5"/>
  <c r="U363" i="5"/>
  <c r="V363" i="5"/>
  <c r="V283" i="5"/>
  <c r="U283" i="5"/>
  <c r="V301" i="5"/>
  <c r="U301" i="5"/>
  <c r="V173" i="5"/>
  <c r="U173" i="5"/>
  <c r="U449" i="5"/>
  <c r="V449" i="5"/>
  <c r="U401" i="5"/>
  <c r="V401" i="5"/>
  <c r="V287" i="5"/>
  <c r="U287" i="5"/>
  <c r="V342" i="5"/>
  <c r="U342" i="5"/>
  <c r="U295" i="5"/>
  <c r="V295" i="5"/>
  <c r="V171" i="5"/>
  <c r="U171" i="5"/>
  <c r="V406" i="5"/>
  <c r="U406" i="5"/>
  <c r="U522" i="5"/>
  <c r="V522" i="5"/>
  <c r="U388" i="5"/>
  <c r="V388" i="5"/>
  <c r="U267" i="5"/>
  <c r="V267" i="5"/>
  <c r="V289" i="5"/>
  <c r="U289" i="5"/>
  <c r="V149" i="5"/>
  <c r="U149" i="5"/>
  <c r="U533" i="5"/>
  <c r="V533" i="5"/>
  <c r="V389" i="5"/>
  <c r="U389" i="5"/>
  <c r="U302" i="5"/>
  <c r="V302" i="5"/>
  <c r="U223" i="5"/>
  <c r="V223" i="5"/>
  <c r="U76" i="5"/>
  <c r="V76" i="5"/>
  <c r="V489" i="5"/>
  <c r="U489" i="5"/>
  <c r="U532" i="5"/>
  <c r="V532" i="5"/>
  <c r="V386" i="5"/>
  <c r="U386" i="5"/>
  <c r="V331" i="5"/>
  <c r="U331" i="5"/>
  <c r="U166" i="5"/>
  <c r="V166" i="5"/>
  <c r="U107" i="5"/>
  <c r="V107" i="5"/>
  <c r="V374" i="5"/>
  <c r="U374" i="5"/>
  <c r="U162" i="5"/>
  <c r="V162" i="5"/>
  <c r="U259" i="5"/>
  <c r="V259" i="5"/>
  <c r="V159" i="5"/>
  <c r="U159" i="5"/>
  <c r="V35" i="5"/>
  <c r="U35" i="5"/>
  <c r="U117" i="5"/>
  <c r="V117" i="5"/>
  <c r="U25" i="5"/>
  <c r="V25" i="5"/>
  <c r="U55" i="5"/>
  <c r="V55" i="5"/>
  <c r="AN379" i="5"/>
  <c r="AO379" i="5"/>
  <c r="V408" i="5"/>
  <c r="U408" i="5"/>
  <c r="AO193" i="5"/>
  <c r="AN193" i="5"/>
  <c r="B102" i="2"/>
  <c r="B103" i="2" s="1"/>
  <c r="B73" i="2"/>
  <c r="B157" i="2"/>
  <c r="B92" i="2"/>
  <c r="B142" i="2"/>
  <c r="AH139" i="4"/>
  <c r="AH130" i="4"/>
  <c r="AH131" i="4"/>
  <c r="AH118" i="4"/>
  <c r="AH44" i="4"/>
  <c r="AH108" i="4"/>
  <c r="AH19" i="4"/>
  <c r="AH81" i="4"/>
  <c r="AH17" i="4"/>
  <c r="AH26" i="4"/>
  <c r="AH41" i="4"/>
  <c r="AH13" i="4"/>
  <c r="AH62" i="4"/>
  <c r="AH124" i="4"/>
  <c r="AH58" i="4"/>
  <c r="AH146" i="4"/>
  <c r="AH156" i="4"/>
  <c r="AH33" i="4"/>
  <c r="AH154" i="4"/>
  <c r="AH150" i="4"/>
  <c r="AH121" i="4"/>
  <c r="AH151" i="4"/>
  <c r="AH64" i="4"/>
  <c r="AH135" i="4"/>
  <c r="AH104" i="4"/>
  <c r="AH98" i="4"/>
  <c r="AH56" i="4"/>
  <c r="AH86" i="4"/>
  <c r="AH143" i="4"/>
  <c r="AH126" i="4"/>
  <c r="AH93" i="4"/>
  <c r="AH92" i="4"/>
  <c r="AR133" i="5"/>
  <c r="AR153" i="5"/>
  <c r="AK55" i="5"/>
  <c r="AL55" i="5"/>
  <c r="AL99" i="5"/>
  <c r="AK99" i="5"/>
  <c r="V7" i="5"/>
  <c r="U7" i="5"/>
  <c r="AK240" i="5"/>
  <c r="AL240" i="5"/>
  <c r="AK455" i="5"/>
  <c r="AL455" i="5"/>
  <c r="AK411" i="5"/>
  <c r="AL411" i="5"/>
  <c r="AP411" i="5"/>
  <c r="AK464" i="5"/>
  <c r="AL464" i="5"/>
  <c r="AL71" i="5"/>
  <c r="AK71" i="5"/>
  <c r="AP71" i="5"/>
  <c r="AP167" i="5"/>
  <c r="AK167" i="5"/>
  <c r="AL167" i="5"/>
  <c r="AK435" i="5"/>
  <c r="AL435" i="5"/>
  <c r="AP435" i="5"/>
  <c r="AL233" i="5"/>
  <c r="AK233" i="5"/>
  <c r="AK276" i="5"/>
  <c r="AL276" i="5"/>
  <c r="AL386" i="5"/>
  <c r="AK386" i="5"/>
  <c r="AK375" i="5"/>
  <c r="AL375" i="5"/>
  <c r="AP375" i="5"/>
  <c r="AK285" i="5"/>
  <c r="AL285" i="5"/>
  <c r="AL362" i="5"/>
  <c r="AP362" i="5"/>
  <c r="AK362" i="5"/>
  <c r="AK229" i="5"/>
  <c r="AL229" i="5"/>
  <c r="AK49" i="5"/>
  <c r="AP49" i="5"/>
  <c r="AL49" i="5"/>
  <c r="AP518" i="5"/>
  <c r="AL518" i="5"/>
  <c r="AK518" i="5"/>
  <c r="AK363" i="5"/>
  <c r="AL363" i="5"/>
  <c r="AK185" i="5"/>
  <c r="AP185" i="5"/>
  <c r="AL185" i="5"/>
  <c r="AK471" i="5"/>
  <c r="AL471" i="5"/>
  <c r="AP471" i="5"/>
  <c r="AL470" i="5"/>
  <c r="AK470" i="5"/>
  <c r="AK255" i="5"/>
  <c r="AL255" i="5"/>
  <c r="AL92" i="5"/>
  <c r="AK92" i="5"/>
  <c r="AK472" i="5"/>
  <c r="AL472" i="5"/>
  <c r="AP472" i="5"/>
  <c r="AK348" i="5"/>
  <c r="AL348" i="5"/>
  <c r="AL238" i="5"/>
  <c r="AK238" i="5"/>
  <c r="AK29" i="5"/>
  <c r="AL29" i="5"/>
  <c r="AK443" i="5"/>
  <c r="AL443" i="5"/>
  <c r="AP443" i="5"/>
  <c r="AP292" i="5"/>
  <c r="AL292" i="5"/>
  <c r="AK292" i="5"/>
  <c r="AK80" i="5"/>
  <c r="AP80" i="5"/>
  <c r="AL80" i="5"/>
  <c r="AK532" i="5"/>
  <c r="AP532" i="5"/>
  <c r="AL532" i="5"/>
  <c r="AL387" i="5"/>
  <c r="AK387" i="5"/>
  <c r="AK243" i="5"/>
  <c r="AL243" i="5"/>
  <c r="AP243" i="5"/>
  <c r="AK75" i="5"/>
  <c r="AL75" i="5"/>
  <c r="AP75" i="5"/>
  <c r="AK62" i="5"/>
  <c r="AP62" i="5"/>
  <c r="AL62" i="5"/>
  <c r="AL526" i="5"/>
  <c r="AK526" i="5"/>
  <c r="AP526" i="5"/>
  <c r="AK388" i="5"/>
  <c r="AL388" i="5"/>
  <c r="AP388" i="5"/>
  <c r="AK237" i="5"/>
  <c r="AL237" i="5"/>
  <c r="AL28" i="5"/>
  <c r="AK28" i="5"/>
  <c r="AP28" i="5"/>
  <c r="AK523" i="5"/>
  <c r="AL523" i="5"/>
  <c r="AK316" i="5"/>
  <c r="AL316" i="5"/>
  <c r="AK236" i="5"/>
  <c r="AL236" i="5"/>
  <c r="AP236" i="5"/>
  <c r="AL125" i="5"/>
  <c r="AK125" i="5"/>
  <c r="AP125" i="5"/>
  <c r="AK452" i="5"/>
  <c r="AL452" i="5"/>
  <c r="AK428" i="5"/>
  <c r="AL428" i="5"/>
  <c r="AL252" i="5"/>
  <c r="AK252" i="5"/>
  <c r="AK156" i="5"/>
  <c r="AP156" i="5"/>
  <c r="AL156" i="5"/>
  <c r="AL46" i="5"/>
  <c r="AK46" i="5"/>
  <c r="AP46" i="5"/>
  <c r="AL508" i="5"/>
  <c r="AK508" i="5"/>
  <c r="AP508" i="5"/>
  <c r="AL412" i="5"/>
  <c r="AK412" i="5"/>
  <c r="AK177" i="5"/>
  <c r="AL177" i="5"/>
  <c r="AP177" i="5"/>
  <c r="AK110" i="5"/>
  <c r="AL110" i="5"/>
  <c r="AL42" i="5"/>
  <c r="AK42" i="5"/>
  <c r="AL502" i="5"/>
  <c r="AK502" i="5"/>
  <c r="AP502" i="5"/>
  <c r="AK346" i="5"/>
  <c r="AL346" i="5"/>
  <c r="AK189" i="5"/>
  <c r="AL189" i="5"/>
  <c r="AK68" i="5"/>
  <c r="AL68" i="5"/>
  <c r="AP68" i="5"/>
  <c r="AL251" i="5"/>
  <c r="AK251" i="5"/>
  <c r="AP251" i="5"/>
  <c r="AK102" i="5"/>
  <c r="AL102" i="5"/>
  <c r="AP102" i="5"/>
  <c r="AK26" i="5"/>
  <c r="AL26" i="5"/>
  <c r="AK479" i="5"/>
  <c r="AL479" i="5"/>
  <c r="AP479" i="5"/>
  <c r="AM53" i="4"/>
  <c r="AN53" i="4" s="1"/>
  <c r="W53" i="4"/>
  <c r="Y53" i="4" s="1"/>
  <c r="W120" i="4"/>
  <c r="Y120" i="4" s="1"/>
  <c r="AM120" i="4"/>
  <c r="AN120" i="4" s="1"/>
  <c r="AL369" i="5"/>
  <c r="AK369" i="5"/>
  <c r="AP369" i="5"/>
  <c r="AK376" i="5"/>
  <c r="AP376" i="5"/>
  <c r="AL376" i="5"/>
  <c r="AL95" i="5"/>
  <c r="AK95" i="5"/>
  <c r="AP95" i="5"/>
  <c r="AK351" i="5"/>
  <c r="AL351" i="5"/>
  <c r="Y12" i="5"/>
  <c r="X12" i="5"/>
  <c r="AK152" i="5"/>
  <c r="AP152" i="5"/>
  <c r="AL152" i="5"/>
  <c r="AN7" i="5"/>
  <c r="AO7" i="5"/>
  <c r="AK416" i="5"/>
  <c r="AL416" i="5"/>
  <c r="AP416" i="5"/>
  <c r="AI7" i="5"/>
  <c r="AH7" i="5"/>
  <c r="AP7" i="5"/>
  <c r="AP431" i="5"/>
  <c r="AL431" i="5"/>
  <c r="AK431" i="5"/>
  <c r="AL353" i="5"/>
  <c r="AK353" i="5"/>
  <c r="AP353" i="5"/>
  <c r="AK113" i="5"/>
  <c r="AL113" i="5"/>
  <c r="AK534" i="5"/>
  <c r="AL534" i="5"/>
  <c r="AP534" i="5"/>
  <c r="AL31" i="5"/>
  <c r="AK31" i="5"/>
  <c r="AH65" i="4"/>
  <c r="AL81" i="5"/>
  <c r="AK81" i="5"/>
  <c r="AK160" i="5"/>
  <c r="AL160" i="5"/>
  <c r="AK135" i="5"/>
  <c r="AL135" i="5"/>
  <c r="AH153" i="4"/>
  <c r="AP452" i="5"/>
  <c r="AK531" i="5"/>
  <c r="AL531" i="5"/>
  <c r="AP208" i="5"/>
  <c r="AK208" i="5"/>
  <c r="AL208" i="5"/>
  <c r="AK389" i="5"/>
  <c r="AL389" i="5"/>
  <c r="AK501" i="5"/>
  <c r="AP501" i="5"/>
  <c r="AL501" i="5"/>
  <c r="AL374" i="5"/>
  <c r="AK374" i="5"/>
  <c r="AP374" i="5"/>
  <c r="AL215" i="5"/>
  <c r="AK215" i="5"/>
  <c r="AP215" i="5"/>
  <c r="AL24" i="5"/>
  <c r="AK24" i="5"/>
  <c r="AK466" i="5"/>
  <c r="AL466" i="5"/>
  <c r="AL325" i="5"/>
  <c r="AP325" i="5"/>
  <c r="AK325" i="5"/>
  <c r="AK123" i="5"/>
  <c r="AL123" i="5"/>
  <c r="AP123" i="5"/>
  <c r="AP468" i="5"/>
  <c r="AK468" i="5"/>
  <c r="AL468" i="5"/>
  <c r="AK407" i="5"/>
  <c r="AL407" i="5"/>
  <c r="AP407" i="5"/>
  <c r="AK284" i="5"/>
  <c r="AL284" i="5"/>
  <c r="AK73" i="5"/>
  <c r="AL73" i="5"/>
  <c r="AP73" i="5"/>
  <c r="AL414" i="5"/>
  <c r="AK414" i="5"/>
  <c r="AP414" i="5"/>
  <c r="AL408" i="5"/>
  <c r="AK408" i="5"/>
  <c r="AP408" i="5"/>
  <c r="AK196" i="5"/>
  <c r="AL196" i="5"/>
  <c r="AP196" i="5"/>
  <c r="AK557" i="5"/>
  <c r="AL557" i="5"/>
  <c r="AK505" i="5"/>
  <c r="AL505" i="5"/>
  <c r="AP505" i="5"/>
  <c r="AL315" i="5"/>
  <c r="AK315" i="5"/>
  <c r="AP315" i="5"/>
  <c r="AL128" i="5"/>
  <c r="AK128" i="5"/>
  <c r="AK538" i="5"/>
  <c r="AL538" i="5"/>
  <c r="AP538" i="5"/>
  <c r="AL406" i="5"/>
  <c r="AK406" i="5"/>
  <c r="AK181" i="5"/>
  <c r="AL181" i="5"/>
  <c r="AL63" i="5"/>
  <c r="AK63" i="5"/>
  <c r="AP63" i="5"/>
  <c r="AK39" i="5"/>
  <c r="AL39" i="5"/>
  <c r="AP39" i="5"/>
  <c r="AK437" i="5"/>
  <c r="AL437" i="5"/>
  <c r="AK434" i="5"/>
  <c r="AL434" i="5"/>
  <c r="AK204" i="5"/>
  <c r="AL204" i="5"/>
  <c r="AP204" i="5"/>
  <c r="AK514" i="5"/>
  <c r="AL514" i="5"/>
  <c r="AP514" i="5"/>
  <c r="AK492" i="5"/>
  <c r="AL492" i="5"/>
  <c r="AL286" i="5"/>
  <c r="AK286" i="5"/>
  <c r="AL172" i="5"/>
  <c r="AK172" i="5"/>
  <c r="AP172" i="5"/>
  <c r="AK85" i="5"/>
  <c r="AL85" i="5"/>
  <c r="AP85" i="5"/>
  <c r="AK552" i="5"/>
  <c r="AL552" i="5"/>
  <c r="AL381" i="5"/>
  <c r="AK381" i="5"/>
  <c r="AL322" i="5"/>
  <c r="AP322" i="5"/>
  <c r="AK322" i="5"/>
  <c r="AK164" i="5"/>
  <c r="AL164" i="5"/>
  <c r="AK497" i="5"/>
  <c r="AL497" i="5"/>
  <c r="AL418" i="5"/>
  <c r="AK418" i="5"/>
  <c r="AL356" i="5"/>
  <c r="AK356" i="5"/>
  <c r="AK305" i="5"/>
  <c r="AL305" i="5"/>
  <c r="AK149" i="5"/>
  <c r="AL149" i="5"/>
  <c r="AP44" i="5"/>
  <c r="AK44" i="5"/>
  <c r="AL44" i="5"/>
  <c r="AL506" i="5"/>
  <c r="AK506" i="5"/>
  <c r="AK333" i="5"/>
  <c r="AL333" i="5"/>
  <c r="AL234" i="5"/>
  <c r="AK234" i="5"/>
  <c r="AL38" i="5"/>
  <c r="AK38" i="5"/>
  <c r="AL329" i="5"/>
  <c r="AK329" i="5"/>
  <c r="AP329" i="5"/>
  <c r="AL141" i="5"/>
  <c r="AK141" i="5"/>
  <c r="AK256" i="5"/>
  <c r="AL256" i="5"/>
  <c r="AK447" i="5"/>
  <c r="AL447" i="5"/>
  <c r="AL112" i="5"/>
  <c r="AK112" i="5"/>
  <c r="AM92" i="4"/>
  <c r="AN92" i="4" s="1"/>
  <c r="W92" i="4"/>
  <c r="Y92" i="4" s="1"/>
  <c r="Z92" i="4" s="1"/>
  <c r="AP164" i="5"/>
  <c r="AP305" i="5"/>
  <c r="AK459" i="5"/>
  <c r="AL459" i="5"/>
  <c r="AP459" i="5"/>
  <c r="AK88" i="5"/>
  <c r="AL88" i="5"/>
  <c r="AP88" i="5"/>
  <c r="AL541" i="5"/>
  <c r="AK541" i="5"/>
  <c r="AP541" i="5"/>
  <c r="AL56" i="5"/>
  <c r="AK56" i="5"/>
  <c r="AL144" i="5"/>
  <c r="AK144" i="5"/>
  <c r="AK368" i="5"/>
  <c r="AL368" i="5"/>
  <c r="AK7" i="5"/>
  <c r="AL7" i="5"/>
  <c r="AK525" i="5"/>
  <c r="AL525" i="5"/>
  <c r="AK489" i="5"/>
  <c r="AL489" i="5"/>
  <c r="AP489" i="5"/>
  <c r="AM78" i="4"/>
  <c r="AN78" i="4" s="1"/>
  <c r="W78" i="4"/>
  <c r="Y78" i="4" s="1"/>
  <c r="AK89" i="5"/>
  <c r="AL89" i="5"/>
  <c r="AP399" i="5"/>
  <c r="AK399" i="5"/>
  <c r="AL399" i="5"/>
  <c r="AK449" i="5"/>
  <c r="AL449" i="5"/>
  <c r="AK359" i="5"/>
  <c r="AL359" i="5"/>
  <c r="AM138" i="4"/>
  <c r="AN138" i="4" s="1"/>
  <c r="W138" i="4"/>
  <c r="Y138" i="4" s="1"/>
  <c r="Z138" i="4" s="1"/>
  <c r="AP412" i="5"/>
  <c r="AK495" i="5"/>
  <c r="AL495" i="5"/>
  <c r="AK536" i="5"/>
  <c r="AL536" i="5"/>
  <c r="AL493" i="5"/>
  <c r="AK493" i="5"/>
  <c r="AL433" i="5"/>
  <c r="AP433" i="5"/>
  <c r="AK433" i="5"/>
  <c r="AL427" i="5"/>
  <c r="AP427" i="5"/>
  <c r="AK427" i="5"/>
  <c r="AK162" i="5"/>
  <c r="AL162" i="5"/>
  <c r="AL543" i="5"/>
  <c r="AK543" i="5"/>
  <c r="AP543" i="5"/>
  <c r="AP288" i="5"/>
  <c r="AL288" i="5"/>
  <c r="AK288" i="5"/>
  <c r="AK245" i="5"/>
  <c r="AL245" i="5"/>
  <c r="AK87" i="5"/>
  <c r="AL87" i="5"/>
  <c r="AL261" i="5"/>
  <c r="AK261" i="5"/>
  <c r="AK323" i="5"/>
  <c r="AL323" i="5"/>
  <c r="AP323" i="5"/>
  <c r="AL209" i="5"/>
  <c r="AK209" i="5"/>
  <c r="AP209" i="5"/>
  <c r="AK66" i="5"/>
  <c r="AL66" i="5"/>
  <c r="AK503" i="5"/>
  <c r="AL503" i="5"/>
  <c r="AP503" i="5"/>
  <c r="AL344" i="5"/>
  <c r="AP344" i="5"/>
  <c r="AK344" i="5"/>
  <c r="AL168" i="5"/>
  <c r="AK168" i="5"/>
  <c r="AP168" i="5"/>
  <c r="AL554" i="5"/>
  <c r="AK554" i="5"/>
  <c r="AP554" i="5"/>
  <c r="AK444" i="5"/>
  <c r="AL444" i="5"/>
  <c r="AK248" i="5"/>
  <c r="AL248" i="5"/>
  <c r="AP248" i="5"/>
  <c r="AL104" i="5"/>
  <c r="AK104" i="5"/>
  <c r="AK458" i="5"/>
  <c r="AL458" i="5"/>
  <c r="AL336" i="5"/>
  <c r="AK336" i="5"/>
  <c r="AP336" i="5"/>
  <c r="AK219" i="5"/>
  <c r="AL219" i="5"/>
  <c r="AL25" i="5"/>
  <c r="AK25" i="5"/>
  <c r="AK23" i="5"/>
  <c r="AL23" i="5"/>
  <c r="AL266" i="5"/>
  <c r="AK266" i="5"/>
  <c r="AP266" i="5"/>
  <c r="AK377" i="5"/>
  <c r="AL377" i="5"/>
  <c r="AP377" i="5"/>
  <c r="AP179" i="5"/>
  <c r="AK179" i="5"/>
  <c r="AL179" i="5"/>
  <c r="AL462" i="5"/>
  <c r="AK462" i="5"/>
  <c r="AK429" i="5"/>
  <c r="AL429" i="5"/>
  <c r="AP429" i="5"/>
  <c r="AL258" i="5"/>
  <c r="AK258" i="5"/>
  <c r="AK228" i="5"/>
  <c r="AL228" i="5"/>
  <c r="AP228" i="5"/>
  <c r="AL60" i="5"/>
  <c r="AK60" i="5"/>
  <c r="AP60" i="5"/>
  <c r="AK485" i="5"/>
  <c r="AL485" i="5"/>
  <c r="AK300" i="5"/>
  <c r="AL300" i="5"/>
  <c r="AK310" i="5"/>
  <c r="AL310" i="5"/>
  <c r="AP310" i="5"/>
  <c r="AL114" i="5"/>
  <c r="AP114" i="5"/>
  <c r="AK114" i="5"/>
  <c r="AK535" i="5"/>
  <c r="AL535" i="5"/>
  <c r="AK482" i="5"/>
  <c r="AL482" i="5"/>
  <c r="AP482" i="5"/>
  <c r="AL340" i="5"/>
  <c r="AK340" i="5"/>
  <c r="AP269" i="5"/>
  <c r="AK269" i="5"/>
  <c r="AL269" i="5"/>
  <c r="AL118" i="5"/>
  <c r="AK118" i="5"/>
  <c r="AK486" i="5"/>
  <c r="AL486" i="5"/>
  <c r="AL446" i="5"/>
  <c r="AK446" i="5"/>
  <c r="AP446" i="5"/>
  <c r="AK221" i="5"/>
  <c r="AL221" i="5"/>
  <c r="AP242" i="5"/>
  <c r="AK242" i="5"/>
  <c r="AL242" i="5"/>
  <c r="AL370" i="5"/>
  <c r="AK370" i="5"/>
  <c r="AL294" i="5"/>
  <c r="AK294" i="5"/>
  <c r="AK70" i="5"/>
  <c r="AL70" i="5"/>
  <c r="AK199" i="5"/>
  <c r="AL199" i="5"/>
  <c r="AP351" i="5"/>
  <c r="AM13" i="4"/>
  <c r="AN13" i="4" s="1"/>
  <c r="W13" i="4"/>
  <c r="Y13" i="4" s="1"/>
  <c r="Z13" i="4" s="1"/>
  <c r="AP286" i="5"/>
  <c r="AP523" i="5"/>
  <c r="AK155" i="5"/>
  <c r="AL155" i="5"/>
  <c r="AP155" i="5"/>
  <c r="B80" i="2"/>
  <c r="B143" i="2"/>
  <c r="B75" i="2"/>
  <c r="B108" i="2"/>
  <c r="B109" i="2" s="1"/>
  <c r="B98" i="2"/>
  <c r="AP55" i="5"/>
  <c r="AP221" i="5"/>
  <c r="AK224" i="5"/>
  <c r="AL224" i="5"/>
  <c r="AP224" i="5"/>
  <c r="AK223" i="5"/>
  <c r="AL223" i="5"/>
  <c r="AL35" i="5"/>
  <c r="AK35" i="5"/>
  <c r="AP35" i="5"/>
  <c r="AK97" i="5"/>
  <c r="AL97" i="5"/>
  <c r="AK367" i="5"/>
  <c r="AL367" i="5"/>
  <c r="AP367" i="5"/>
  <c r="AM149" i="4"/>
  <c r="AN149" i="4" s="1"/>
  <c r="W149" i="4"/>
  <c r="Y149" i="4" s="1"/>
  <c r="AL107" i="5"/>
  <c r="AK107" i="5"/>
  <c r="AP107" i="5"/>
  <c r="AL328" i="5"/>
  <c r="AK328" i="5"/>
  <c r="AK183" i="5"/>
  <c r="AP183" i="5"/>
  <c r="AL183" i="5"/>
  <c r="AK439" i="5"/>
  <c r="AL439" i="5"/>
  <c r="AL32" i="5"/>
  <c r="AK32" i="5"/>
  <c r="AP32" i="5"/>
  <c r="AL303" i="5"/>
  <c r="AP303" i="5"/>
  <c r="AK303" i="5"/>
  <c r="W17" i="4"/>
  <c r="Y17" i="4" s="1"/>
  <c r="Z17" i="4" s="1"/>
  <c r="AM17" i="4"/>
  <c r="AN17" i="4" s="1"/>
  <c r="AK335" i="5"/>
  <c r="AL335" i="5"/>
  <c r="AL96" i="5"/>
  <c r="AK96" i="5"/>
  <c r="AL47" i="5"/>
  <c r="AK47" i="5"/>
  <c r="AM154" i="4"/>
  <c r="AN154" i="4" s="1"/>
  <c r="W154" i="4"/>
  <c r="Y154" i="4" s="1"/>
  <c r="Z154" i="4" s="1"/>
  <c r="AL265" i="5"/>
  <c r="AK265" i="5"/>
  <c r="AP265" i="5"/>
  <c r="AL121" i="5"/>
  <c r="AK121" i="5"/>
  <c r="AP423" i="5"/>
  <c r="AK423" i="5"/>
  <c r="AL423" i="5"/>
  <c r="AM65" i="4"/>
  <c r="AN65" i="4" s="1"/>
  <c r="W65" i="4"/>
  <c r="Y65" i="4" s="1"/>
  <c r="Z65" i="4" s="1"/>
  <c r="AM153" i="4"/>
  <c r="AN153" i="4" s="1"/>
  <c r="W153" i="4"/>
  <c r="Y153" i="4" s="1"/>
  <c r="Z153" i="4" s="1"/>
  <c r="AL201" i="5"/>
  <c r="AP201" i="5"/>
  <c r="AK201" i="5"/>
  <c r="AL306" i="5"/>
  <c r="AK306" i="5"/>
  <c r="AK400" i="5"/>
  <c r="AL400" i="5"/>
  <c r="AP400" i="5"/>
  <c r="AK212" i="5"/>
  <c r="AL212" i="5"/>
  <c r="AK520" i="5"/>
  <c r="AL520" i="5"/>
  <c r="AK365" i="5"/>
  <c r="AL365" i="5"/>
  <c r="AL178" i="5"/>
  <c r="AK178" i="5"/>
  <c r="AL475" i="5"/>
  <c r="AK475" i="5"/>
  <c r="AP475" i="5"/>
  <c r="AK476" i="5"/>
  <c r="AL476" i="5"/>
  <c r="AK268" i="5"/>
  <c r="AL268" i="5"/>
  <c r="AP268" i="5"/>
  <c r="AK98" i="5"/>
  <c r="AP98" i="5"/>
  <c r="AL98" i="5"/>
  <c r="AK491" i="5"/>
  <c r="AL491" i="5"/>
  <c r="AK364" i="5"/>
  <c r="AL364" i="5"/>
  <c r="AL244" i="5"/>
  <c r="AK244" i="5"/>
  <c r="AL30" i="5"/>
  <c r="AK30" i="5"/>
  <c r="AK450" i="5"/>
  <c r="AL450" i="5"/>
  <c r="AL304" i="5"/>
  <c r="AK304" i="5"/>
  <c r="AK86" i="5"/>
  <c r="AL86" i="5"/>
  <c r="AP86" i="5"/>
  <c r="AL549" i="5"/>
  <c r="AK549" i="5"/>
  <c r="AP549" i="5"/>
  <c r="AK391" i="5"/>
  <c r="AL391" i="5"/>
  <c r="AP391" i="5"/>
  <c r="AL247" i="5"/>
  <c r="AP247" i="5"/>
  <c r="AK247" i="5"/>
  <c r="AL76" i="5"/>
  <c r="AK76" i="5"/>
  <c r="AP76" i="5"/>
  <c r="AL393" i="5"/>
  <c r="AP393" i="5"/>
  <c r="AK393" i="5"/>
  <c r="AL390" i="5"/>
  <c r="AK390" i="5"/>
  <c r="AL182" i="5"/>
  <c r="AK182" i="5"/>
  <c r="AK137" i="5"/>
  <c r="AL137" i="5"/>
  <c r="AP137" i="5"/>
  <c r="AM13" i="5"/>
  <c r="T13" i="5"/>
  <c r="AG13" i="5"/>
  <c r="Q13" i="5"/>
  <c r="AJ13" i="5"/>
  <c r="W13" i="5"/>
  <c r="AK481" i="5"/>
  <c r="AL481" i="5"/>
  <c r="AP481" i="5"/>
  <c r="AK355" i="5"/>
  <c r="AL355" i="5"/>
  <c r="AK140" i="5"/>
  <c r="AL140" i="5"/>
  <c r="AL558" i="5"/>
  <c r="AK558" i="5"/>
  <c r="AK405" i="5"/>
  <c r="AL405" i="5"/>
  <c r="AL324" i="5"/>
  <c r="AK324" i="5"/>
  <c r="AK173" i="5"/>
  <c r="AL173" i="5"/>
  <c r="AK61" i="5"/>
  <c r="AL61" i="5"/>
  <c r="AP61" i="5"/>
  <c r="AK445" i="5"/>
  <c r="AL445" i="5"/>
  <c r="AP445" i="5"/>
  <c r="AL354" i="5"/>
  <c r="AK354" i="5"/>
  <c r="AK198" i="5"/>
  <c r="AL198" i="5"/>
  <c r="AP198" i="5"/>
  <c r="AL157" i="5"/>
  <c r="AK157" i="5"/>
  <c r="AL556" i="5"/>
  <c r="AK556" i="5"/>
  <c r="AL461" i="5"/>
  <c r="AK461" i="5"/>
  <c r="AK308" i="5"/>
  <c r="AP308" i="5"/>
  <c r="AL308" i="5"/>
  <c r="AK193" i="5"/>
  <c r="AP193" i="5"/>
  <c r="AL193" i="5"/>
  <c r="AP100" i="5"/>
  <c r="AK100" i="5"/>
  <c r="AL100" i="5"/>
  <c r="AL548" i="5"/>
  <c r="AK548" i="5"/>
  <c r="AL338" i="5"/>
  <c r="AK338" i="5"/>
  <c r="AL314" i="5"/>
  <c r="AK314" i="5"/>
  <c r="AL180" i="5"/>
  <c r="AK180" i="5"/>
  <c r="AP180" i="5"/>
  <c r="AK345" i="5"/>
  <c r="AL345" i="5"/>
  <c r="AL253" i="5"/>
  <c r="AK253" i="5"/>
  <c r="AP253" i="5"/>
  <c r="AK58" i="5"/>
  <c r="AL58" i="5"/>
  <c r="AP160" i="5"/>
  <c r="AP466" i="5"/>
  <c r="AL395" i="5"/>
  <c r="AP395" i="5"/>
  <c r="AK395" i="5"/>
  <c r="AP363" i="5"/>
  <c r="AK504" i="5"/>
  <c r="AL504" i="5"/>
  <c r="AP504" i="5"/>
  <c r="AK311" i="5"/>
  <c r="AP311" i="5"/>
  <c r="AL311" i="5"/>
  <c r="AK111" i="5"/>
  <c r="AL111" i="5"/>
  <c r="AP111" i="5"/>
  <c r="AL40" i="5"/>
  <c r="AK40" i="5"/>
  <c r="AP40" i="5"/>
  <c r="AL280" i="5"/>
  <c r="AK280" i="5"/>
  <c r="AM124" i="4"/>
  <c r="AN124" i="4" s="1"/>
  <c r="W124" i="4"/>
  <c r="Y124" i="4" s="1"/>
  <c r="Z124" i="4" s="1"/>
  <c r="AP328" i="5"/>
  <c r="X7" i="5"/>
  <c r="Y7" i="5"/>
  <c r="AL119" i="5"/>
  <c r="AK119" i="5"/>
  <c r="AM42" i="4"/>
  <c r="AN42" i="4" s="1"/>
  <c r="W42" i="4"/>
  <c r="Y42" i="4" s="1"/>
  <c r="AK79" i="5"/>
  <c r="AL79" i="5"/>
  <c r="AL143" i="5"/>
  <c r="AK143" i="5"/>
  <c r="AK313" i="5"/>
  <c r="AL313" i="5"/>
  <c r="AK72" i="5"/>
  <c r="AL72" i="5"/>
  <c r="AL264" i="5"/>
  <c r="AK264" i="5"/>
  <c r="AK320" i="5"/>
  <c r="AP320" i="5"/>
  <c r="AL320" i="5"/>
  <c r="AL207" i="5"/>
  <c r="AK207" i="5"/>
  <c r="AP207" i="5"/>
  <c r="AL473" i="5"/>
  <c r="AK473" i="5"/>
  <c r="AP464" i="5"/>
  <c r="AL553" i="5"/>
  <c r="AK553" i="5"/>
  <c r="AH144" i="4"/>
  <c r="B105" i="2"/>
  <c r="B106" i="2" s="1"/>
  <c r="B74" i="2"/>
  <c r="B95" i="2"/>
  <c r="AL546" i="5"/>
  <c r="AK546" i="5"/>
  <c r="AP546" i="5"/>
  <c r="AK175" i="5"/>
  <c r="AL175" i="5"/>
  <c r="AK10" i="5"/>
  <c r="AL10" i="5"/>
  <c r="AL469" i="5"/>
  <c r="AP469" i="5"/>
  <c r="AK469" i="5"/>
  <c r="AK334" i="5"/>
  <c r="AP334" i="5"/>
  <c r="AL334" i="5"/>
  <c r="AL129" i="5"/>
  <c r="AK129" i="5"/>
  <c r="AK516" i="5"/>
  <c r="AL516" i="5"/>
  <c r="AK409" i="5"/>
  <c r="AL409" i="5"/>
  <c r="AP409" i="5"/>
  <c r="AK290" i="5"/>
  <c r="AL290" i="5"/>
  <c r="AK91" i="5"/>
  <c r="AL91" i="5"/>
  <c r="AL424" i="5"/>
  <c r="AK424" i="5"/>
  <c r="AP424" i="5"/>
  <c r="AK419" i="5"/>
  <c r="AL419" i="5"/>
  <c r="AK124" i="5"/>
  <c r="AL124" i="5"/>
  <c r="AP124" i="5"/>
  <c r="AK474" i="5"/>
  <c r="AL474" i="5"/>
  <c r="AK511" i="5"/>
  <c r="AL511" i="5"/>
  <c r="AP511" i="5"/>
  <c r="AK332" i="5"/>
  <c r="AL332" i="5"/>
  <c r="AL146" i="5"/>
  <c r="AK146" i="5"/>
  <c r="AL540" i="5"/>
  <c r="AK540" i="5"/>
  <c r="AK415" i="5"/>
  <c r="AL415" i="5"/>
  <c r="AP415" i="5"/>
  <c r="AK192" i="5"/>
  <c r="AL192" i="5"/>
  <c r="AL69" i="5"/>
  <c r="AK69" i="5"/>
  <c r="AL494" i="5"/>
  <c r="AK494" i="5"/>
  <c r="AL296" i="5"/>
  <c r="AK296" i="5"/>
  <c r="AL154" i="5"/>
  <c r="AK154" i="5"/>
  <c r="AK151" i="5"/>
  <c r="AL151" i="5"/>
  <c r="AP151" i="5"/>
  <c r="AP19" i="5"/>
  <c r="AL19" i="5"/>
  <c r="AK19" i="5"/>
  <c r="AK373" i="5"/>
  <c r="AL373" i="5"/>
  <c r="AP373" i="5"/>
  <c r="AL267" i="5"/>
  <c r="AK267" i="5"/>
  <c r="AK134" i="5"/>
  <c r="AL134" i="5"/>
  <c r="AK490" i="5"/>
  <c r="AP490" i="5"/>
  <c r="AL490" i="5"/>
  <c r="AK382" i="5"/>
  <c r="AL382" i="5"/>
  <c r="AL301" i="5"/>
  <c r="AK301" i="5"/>
  <c r="AK166" i="5"/>
  <c r="AL166" i="5"/>
  <c r="AK52" i="5"/>
  <c r="AL52" i="5"/>
  <c r="AP52" i="5"/>
  <c r="AK421" i="5"/>
  <c r="AL421" i="5"/>
  <c r="AK413" i="5"/>
  <c r="AP413" i="5"/>
  <c r="AL413" i="5"/>
  <c r="AL197" i="5"/>
  <c r="AK197" i="5"/>
  <c r="AP197" i="5"/>
  <c r="AL130" i="5"/>
  <c r="AK130" i="5"/>
  <c r="AK547" i="5"/>
  <c r="AP547" i="5"/>
  <c r="AL547" i="5"/>
  <c r="AP385" i="5"/>
  <c r="AK385" i="5"/>
  <c r="AL385" i="5"/>
  <c r="AL277" i="5"/>
  <c r="AK277" i="5"/>
  <c r="AP277" i="5"/>
  <c r="AK222" i="5"/>
  <c r="AL222" i="5"/>
  <c r="AL109" i="5"/>
  <c r="AK109" i="5"/>
  <c r="AL528" i="5"/>
  <c r="AK528" i="5"/>
  <c r="AK396" i="5"/>
  <c r="AL396" i="5"/>
  <c r="AP254" i="5"/>
  <c r="AK254" i="5"/>
  <c r="AL254" i="5"/>
  <c r="AK133" i="5"/>
  <c r="AL133" i="5"/>
  <c r="AL246" i="5"/>
  <c r="AK246" i="5"/>
  <c r="AP246" i="5"/>
  <c r="AK241" i="5"/>
  <c r="AL241" i="5"/>
  <c r="AP241" i="5"/>
  <c r="AK65" i="5"/>
  <c r="AL65" i="5"/>
  <c r="AP128" i="5"/>
  <c r="AK384" i="5"/>
  <c r="AL384" i="5"/>
  <c r="AP553" i="5"/>
  <c r="AP121" i="5"/>
  <c r="AP154" i="5"/>
  <c r="AP149" i="5"/>
  <c r="AL203" i="5"/>
  <c r="AP203" i="5"/>
  <c r="AK203" i="5"/>
  <c r="AL176" i="5"/>
  <c r="AK176" i="5"/>
  <c r="AP256" i="5"/>
  <c r="AK448" i="5"/>
  <c r="AL448" i="5"/>
  <c r="AL263" i="5"/>
  <c r="AK263" i="5"/>
  <c r="AP263" i="5"/>
  <c r="AP316" i="5"/>
  <c r="AP285" i="5"/>
  <c r="AP294" i="5"/>
  <c r="AP115" i="5"/>
  <c r="AK115" i="5"/>
  <c r="AL115" i="5"/>
  <c r="AL339" i="5"/>
  <c r="AP339" i="5"/>
  <c r="AK339" i="5"/>
  <c r="AL360" i="5"/>
  <c r="AK360" i="5"/>
  <c r="AK127" i="5"/>
  <c r="AL127" i="5"/>
  <c r="AK83" i="5"/>
  <c r="AL83" i="5"/>
  <c r="AP83" i="5"/>
  <c r="AK48" i="5"/>
  <c r="AL48" i="5"/>
  <c r="AP240" i="5"/>
  <c r="AK488" i="5"/>
  <c r="AL488" i="5"/>
  <c r="AP113" i="5"/>
  <c r="AP96" i="5"/>
  <c r="AK216" i="5"/>
  <c r="AL216" i="5"/>
  <c r="AK271" i="5"/>
  <c r="AL271" i="5"/>
  <c r="AP271" i="5"/>
  <c r="AK430" i="5"/>
  <c r="AL430" i="5"/>
  <c r="AP430" i="5"/>
  <c r="AL456" i="5"/>
  <c r="AK456" i="5"/>
  <c r="AP456" i="5"/>
  <c r="AL545" i="5"/>
  <c r="AK545" i="5"/>
  <c r="AL361" i="5"/>
  <c r="AK361" i="5"/>
  <c r="AP361" i="5"/>
  <c r="AK260" i="5"/>
  <c r="AL260" i="5"/>
  <c r="AK122" i="5"/>
  <c r="AL122" i="5"/>
  <c r="AP122" i="5"/>
  <c r="AP279" i="5"/>
  <c r="AL279" i="5"/>
  <c r="AK279" i="5"/>
  <c r="AL343" i="5"/>
  <c r="AK343" i="5"/>
  <c r="AP343" i="5"/>
  <c r="AK220" i="5"/>
  <c r="AL220" i="5"/>
  <c r="AP220" i="5"/>
  <c r="AK27" i="5"/>
  <c r="AL27" i="5"/>
  <c r="AP27" i="5"/>
  <c r="AK513" i="5"/>
  <c r="AL513" i="5"/>
  <c r="AP513" i="5"/>
  <c r="AK350" i="5"/>
  <c r="AL350" i="5"/>
  <c r="AP174" i="5"/>
  <c r="AK174" i="5"/>
  <c r="AL174" i="5"/>
  <c r="AL560" i="5"/>
  <c r="AK560" i="5"/>
  <c r="AK453" i="5"/>
  <c r="AL453" i="5"/>
  <c r="AP453" i="5"/>
  <c r="AK249" i="5"/>
  <c r="AL249" i="5"/>
  <c r="AP249" i="5"/>
  <c r="AK90" i="5"/>
  <c r="AL90" i="5"/>
  <c r="AP90" i="5"/>
  <c r="AL460" i="5"/>
  <c r="AK460" i="5"/>
  <c r="AL341" i="5"/>
  <c r="AK341" i="5"/>
  <c r="AK235" i="5"/>
  <c r="AL235" i="5"/>
  <c r="AP235" i="5"/>
  <c r="AL37" i="5"/>
  <c r="AK37" i="5"/>
  <c r="AL441" i="5"/>
  <c r="AK441" i="5"/>
  <c r="AP441" i="5"/>
  <c r="AK289" i="5"/>
  <c r="AL289" i="5"/>
  <c r="AP289" i="5"/>
  <c r="AK145" i="5"/>
  <c r="AL145" i="5"/>
  <c r="AP145" i="5"/>
  <c r="AL136" i="5"/>
  <c r="AP136" i="5"/>
  <c r="AK136" i="5"/>
  <c r="AK498" i="5"/>
  <c r="AL498" i="5"/>
  <c r="AP480" i="5"/>
  <c r="AL480" i="5"/>
  <c r="AK480" i="5"/>
  <c r="AL287" i="5"/>
  <c r="AK287" i="5"/>
  <c r="AK106" i="5"/>
  <c r="AL106" i="5"/>
  <c r="AP106" i="5"/>
  <c r="AK422" i="5"/>
  <c r="AL422" i="5"/>
  <c r="AL398" i="5"/>
  <c r="AK398" i="5"/>
  <c r="AK230" i="5"/>
  <c r="AL230" i="5"/>
  <c r="AP230" i="5"/>
  <c r="AK150" i="5"/>
  <c r="AL150" i="5"/>
  <c r="AP150" i="5"/>
  <c r="AK21" i="5"/>
  <c r="AL21" i="5"/>
  <c r="AK509" i="5"/>
  <c r="AL509" i="5"/>
  <c r="AP509" i="5"/>
  <c r="AL380" i="5"/>
  <c r="AK380" i="5"/>
  <c r="AK226" i="5"/>
  <c r="AL226" i="5"/>
  <c r="AK84" i="5"/>
  <c r="AL84" i="5"/>
  <c r="AP84" i="5"/>
  <c r="AK527" i="5"/>
  <c r="AL527" i="5"/>
  <c r="AL401" i="5"/>
  <c r="AP401" i="5"/>
  <c r="AK401" i="5"/>
  <c r="AK250" i="5"/>
  <c r="AL250" i="5"/>
  <c r="AK194" i="5"/>
  <c r="AL194" i="5"/>
  <c r="AK78" i="5"/>
  <c r="AL78" i="5"/>
  <c r="AP550" i="5"/>
  <c r="AK550" i="5"/>
  <c r="AL550" i="5"/>
  <c r="AK420" i="5"/>
  <c r="AL420" i="5"/>
  <c r="AK330" i="5"/>
  <c r="AL330" i="5"/>
  <c r="AL116" i="5"/>
  <c r="AK116" i="5"/>
  <c r="AP116" i="5"/>
  <c r="AK297" i="5"/>
  <c r="AL297" i="5"/>
  <c r="AP297" i="5"/>
  <c r="AK214" i="5"/>
  <c r="AL214" i="5"/>
  <c r="AK36" i="5"/>
  <c r="AP36" i="5"/>
  <c r="AL36" i="5"/>
  <c r="AK512" i="5"/>
  <c r="AL512" i="5"/>
  <c r="AP473" i="5"/>
  <c r="AP439" i="5"/>
  <c r="AP89" i="5"/>
  <c r="AP449" i="5"/>
  <c r="AP458" i="5"/>
  <c r="AL59" i="5"/>
  <c r="AK59" i="5"/>
  <c r="AP59" i="5"/>
  <c r="AK457" i="5"/>
  <c r="AL457" i="5"/>
  <c r="AL519" i="5"/>
  <c r="AK519" i="5"/>
  <c r="AP519" i="5"/>
  <c r="AK217" i="5"/>
  <c r="AL217" i="5"/>
  <c r="AK200" i="5"/>
  <c r="AL200" i="5"/>
  <c r="AP200" i="5"/>
  <c r="AM104" i="4"/>
  <c r="AN104" i="4" s="1"/>
  <c r="W104" i="4"/>
  <c r="Y104" i="4" s="1"/>
  <c r="Z104" i="4" s="1"/>
  <c r="AH107" i="4"/>
  <c r="AK432" i="5"/>
  <c r="AL432" i="5"/>
  <c r="AP223" i="5"/>
  <c r="W107" i="4"/>
  <c r="Y107" i="4" s="1"/>
  <c r="Z107" i="4" s="1"/>
  <c r="AM107" i="4"/>
  <c r="AN107" i="4" s="1"/>
  <c r="AL8" i="5"/>
  <c r="AK8" i="5"/>
  <c r="AP280" i="5"/>
  <c r="S7" i="5"/>
  <c r="R7" i="5"/>
  <c r="W139" i="4"/>
  <c r="Y139" i="4" s="1"/>
  <c r="Z139" i="4" s="1"/>
  <c r="AM139" i="4"/>
  <c r="AN139" i="4" s="1"/>
  <c r="AL312" i="5"/>
  <c r="AK312" i="5"/>
  <c r="AK295" i="5"/>
  <c r="AL295" i="5"/>
  <c r="AP295" i="5"/>
  <c r="AP455" i="5"/>
  <c r="AL211" i="5"/>
  <c r="AK211" i="5"/>
  <c r="AL347" i="5"/>
  <c r="AK347" i="5"/>
  <c r="AP347" i="5"/>
  <c r="AP8" i="5"/>
  <c r="AK327" i="5"/>
  <c r="AL327" i="5"/>
  <c r="AM151" i="4"/>
  <c r="AN151" i="4" s="1"/>
  <c r="W151" i="4"/>
  <c r="Y151" i="4" s="1"/>
  <c r="Z151" i="4" s="1"/>
  <c r="AF151" i="4" s="1"/>
  <c r="AP341" i="5"/>
  <c r="AL438" i="5"/>
  <c r="AK438" i="5"/>
  <c r="AK326" i="5"/>
  <c r="AL326" i="5"/>
  <c r="AL318" i="5"/>
  <c r="AK318" i="5"/>
  <c r="AL478" i="5"/>
  <c r="AK478" i="5"/>
  <c r="AP478" i="5"/>
  <c r="AL477" i="5"/>
  <c r="AK477" i="5"/>
  <c r="AK275" i="5"/>
  <c r="AL275" i="5"/>
  <c r="AP275" i="5"/>
  <c r="AK103" i="5"/>
  <c r="AL103" i="5"/>
  <c r="AL496" i="5"/>
  <c r="AK496" i="5"/>
  <c r="AP366" i="5"/>
  <c r="AK366" i="5"/>
  <c r="AL366" i="5"/>
  <c r="AK202" i="5"/>
  <c r="AL202" i="5"/>
  <c r="AK41" i="5"/>
  <c r="AL41" i="5"/>
  <c r="AP41" i="5"/>
  <c r="AK463" i="5"/>
  <c r="AL463" i="5"/>
  <c r="AL319" i="5"/>
  <c r="AK319" i="5"/>
  <c r="AP319" i="5"/>
  <c r="AL108" i="5"/>
  <c r="AK108" i="5"/>
  <c r="AP108" i="5"/>
  <c r="AL559" i="5"/>
  <c r="AK559" i="5"/>
  <c r="AP559" i="5"/>
  <c r="AK397" i="5"/>
  <c r="AL397" i="5"/>
  <c r="AL262" i="5"/>
  <c r="AK262" i="5"/>
  <c r="AK77" i="5"/>
  <c r="AL77" i="5"/>
  <c r="AK402" i="5"/>
  <c r="AL402" i="5"/>
  <c r="AK392" i="5"/>
  <c r="AL392" i="5"/>
  <c r="AK184" i="5"/>
  <c r="AL184" i="5"/>
  <c r="AL555" i="5"/>
  <c r="AP555" i="5"/>
  <c r="AK555" i="5"/>
  <c r="AL500" i="5"/>
  <c r="AP500" i="5"/>
  <c r="AK500" i="5"/>
  <c r="AK309" i="5"/>
  <c r="AP309" i="5"/>
  <c r="AL309" i="5"/>
  <c r="AL126" i="5"/>
  <c r="AK126" i="5"/>
  <c r="AK117" i="5"/>
  <c r="AL117" i="5"/>
  <c r="AK530" i="5"/>
  <c r="AL530" i="5"/>
  <c r="AK352" i="5"/>
  <c r="AL352" i="5"/>
  <c r="AP352" i="5"/>
  <c r="AK321" i="5"/>
  <c r="AL321" i="5"/>
  <c r="AK82" i="5"/>
  <c r="AL82" i="5"/>
  <c r="AL510" i="5"/>
  <c r="AK510" i="5"/>
  <c r="AK358" i="5"/>
  <c r="AL358" i="5"/>
  <c r="AP358" i="5"/>
  <c r="AL317" i="5"/>
  <c r="AK317" i="5"/>
  <c r="AP317" i="5"/>
  <c r="AL132" i="5"/>
  <c r="AP132" i="5"/>
  <c r="AK132" i="5"/>
  <c r="AL20" i="5"/>
  <c r="AK20" i="5"/>
  <c r="AL454" i="5"/>
  <c r="AK454" i="5"/>
  <c r="AK357" i="5"/>
  <c r="AL357" i="5"/>
  <c r="AP357" i="5"/>
  <c r="AL205" i="5"/>
  <c r="AK205" i="5"/>
  <c r="AK54" i="5"/>
  <c r="AL54" i="5"/>
  <c r="AP442" i="5"/>
  <c r="AK442" i="5"/>
  <c r="AL442" i="5"/>
  <c r="AK394" i="5"/>
  <c r="AL394" i="5"/>
  <c r="AL293" i="5"/>
  <c r="AK293" i="5"/>
  <c r="AP293" i="5"/>
  <c r="AK165" i="5"/>
  <c r="AL165" i="5"/>
  <c r="AL74" i="5"/>
  <c r="AP74" i="5"/>
  <c r="AK74" i="5"/>
  <c r="AL542" i="5"/>
  <c r="AK542" i="5"/>
  <c r="AK378" i="5"/>
  <c r="AL378" i="5"/>
  <c r="AL298" i="5"/>
  <c r="AK298" i="5"/>
  <c r="AP298" i="5"/>
  <c r="AK138" i="5"/>
  <c r="AL138" i="5"/>
  <c r="AK270" i="5"/>
  <c r="AL270" i="5"/>
  <c r="AL148" i="5"/>
  <c r="AK148" i="5"/>
  <c r="AK34" i="5"/>
  <c r="AL34" i="5"/>
  <c r="AP91" i="5"/>
  <c r="AK231" i="5"/>
  <c r="AL231" i="5"/>
  <c r="AP231" i="5"/>
  <c r="AP419" i="5"/>
  <c r="AP29" i="5"/>
  <c r="AP389" i="5"/>
  <c r="AP99" i="5"/>
  <c r="AK191" i="5"/>
  <c r="AL191" i="5"/>
  <c r="AP191" i="5"/>
  <c r="AP421" i="5"/>
  <c r="AP162" i="5"/>
  <c r="AK131" i="5"/>
  <c r="AL131" i="5"/>
  <c r="AK171" i="5"/>
  <c r="AP171" i="5"/>
  <c r="AL171" i="5"/>
  <c r="AL195" i="5"/>
  <c r="AK195" i="5"/>
  <c r="AP195" i="5"/>
  <c r="AK467" i="5"/>
  <c r="AL467" i="5"/>
  <c r="AP467" i="5"/>
  <c r="AK403" i="5"/>
  <c r="AL403" i="5"/>
  <c r="AP403" i="5"/>
  <c r="AL272" i="5"/>
  <c r="AK272" i="5"/>
  <c r="AP272" i="5"/>
  <c r="AL299" i="5"/>
  <c r="AK299" i="5"/>
  <c r="AK239" i="5"/>
  <c r="AL239" i="5"/>
  <c r="AM80" i="4"/>
  <c r="AN80" i="4" s="1"/>
  <c r="W80" i="4"/>
  <c r="Y80" i="4" s="1"/>
  <c r="AL291" i="5"/>
  <c r="AK291" i="5"/>
  <c r="AK487" i="5"/>
  <c r="AL487" i="5"/>
  <c r="AK515" i="5"/>
  <c r="AL515" i="5"/>
  <c r="AP515" i="5"/>
  <c r="AP264" i="5"/>
  <c r="AH36" i="4"/>
  <c r="AL163" i="5"/>
  <c r="AK163" i="5"/>
  <c r="AP163" i="5"/>
  <c r="AP97" i="5"/>
  <c r="AK507" i="5"/>
  <c r="AL507" i="5"/>
  <c r="AP507" i="5"/>
  <c r="AL524" i="5"/>
  <c r="AK524" i="5"/>
  <c r="AL210" i="5"/>
  <c r="AK210" i="5"/>
  <c r="AL522" i="5"/>
  <c r="AK522" i="5"/>
  <c r="AK410" i="5"/>
  <c r="AL410" i="5"/>
  <c r="AL302" i="5"/>
  <c r="AK302" i="5"/>
  <c r="AL67" i="5"/>
  <c r="AK67" i="5"/>
  <c r="AP67" i="5"/>
  <c r="AP425" i="5"/>
  <c r="AK425" i="5"/>
  <c r="AL425" i="5"/>
  <c r="AK426" i="5"/>
  <c r="AL426" i="5"/>
  <c r="AK142" i="5"/>
  <c r="AL142" i="5"/>
  <c r="AK529" i="5"/>
  <c r="AL529" i="5"/>
  <c r="AP529" i="5"/>
  <c r="AP537" i="5"/>
  <c r="AL537" i="5"/>
  <c r="AK537" i="5"/>
  <c r="AL190" i="5"/>
  <c r="AK190" i="5"/>
  <c r="AK161" i="5"/>
  <c r="AL161" i="5"/>
  <c r="AP161" i="5"/>
  <c r="AL544" i="5"/>
  <c r="AK544" i="5"/>
  <c r="AL259" i="5"/>
  <c r="AK259" i="5"/>
  <c r="AK206" i="5"/>
  <c r="AL206" i="5"/>
  <c r="AP206" i="5"/>
  <c r="AL53" i="5"/>
  <c r="AK53" i="5"/>
  <c r="AP53" i="5"/>
  <c r="AK499" i="5"/>
  <c r="AL499" i="5"/>
  <c r="AL337" i="5"/>
  <c r="AK337" i="5"/>
  <c r="AL139" i="5"/>
  <c r="AK139" i="5"/>
  <c r="AP139" i="5"/>
  <c r="AL551" i="5"/>
  <c r="AK551" i="5"/>
  <c r="AL440" i="5"/>
  <c r="AP440" i="5"/>
  <c r="AK440" i="5"/>
  <c r="AK331" i="5"/>
  <c r="AL331" i="5"/>
  <c r="AP331" i="5"/>
  <c r="AK94" i="5"/>
  <c r="AL94" i="5"/>
  <c r="AK93" i="5"/>
  <c r="AL93" i="5"/>
  <c r="AK404" i="5"/>
  <c r="AL404" i="5"/>
  <c r="AL372" i="5"/>
  <c r="AK372" i="5"/>
  <c r="AL232" i="5"/>
  <c r="AK232" i="5"/>
  <c r="AL57" i="5"/>
  <c r="AP57" i="5"/>
  <c r="AK57" i="5"/>
  <c r="AK436" i="5"/>
  <c r="AL436" i="5"/>
  <c r="AK274" i="5"/>
  <c r="AL274" i="5"/>
  <c r="AK278" i="5"/>
  <c r="AL278" i="5"/>
  <c r="AK158" i="5"/>
  <c r="AL158" i="5"/>
  <c r="AK22" i="5"/>
  <c r="AL22" i="5"/>
  <c r="AK484" i="5"/>
  <c r="AL484" i="5"/>
  <c r="AP484" i="5"/>
  <c r="AK282" i="5"/>
  <c r="AP282" i="5"/>
  <c r="AL282" i="5"/>
  <c r="AK170" i="5"/>
  <c r="AL170" i="5"/>
  <c r="AP170" i="5"/>
  <c r="AK45" i="5"/>
  <c r="AL45" i="5"/>
  <c r="AL417" i="5"/>
  <c r="AK417" i="5"/>
  <c r="AK349" i="5"/>
  <c r="AP349" i="5"/>
  <c r="AL349" i="5"/>
  <c r="AK257" i="5"/>
  <c r="AL257" i="5"/>
  <c r="AL186" i="5"/>
  <c r="AK186" i="5"/>
  <c r="AP186" i="5"/>
  <c r="AP50" i="5"/>
  <c r="AL50" i="5"/>
  <c r="AK50" i="5"/>
  <c r="AK517" i="5"/>
  <c r="AL517" i="5"/>
  <c r="AK342" i="5"/>
  <c r="AL342" i="5"/>
  <c r="AP342" i="5"/>
  <c r="AL218" i="5"/>
  <c r="AK218" i="5"/>
  <c r="AK101" i="5"/>
  <c r="AL101" i="5"/>
  <c r="AK213" i="5"/>
  <c r="AP213" i="5"/>
  <c r="AL213" i="5"/>
  <c r="AL188" i="5"/>
  <c r="AP188" i="5"/>
  <c r="AK188" i="5"/>
  <c r="AL33" i="5"/>
  <c r="AP33" i="5"/>
  <c r="AK33" i="5"/>
  <c r="AP31" i="5"/>
  <c r="AP499" i="5"/>
  <c r="AK281" i="5"/>
  <c r="AL281" i="5"/>
  <c r="AK120" i="5"/>
  <c r="AL120" i="5"/>
  <c r="AP120" i="5"/>
  <c r="AK159" i="5"/>
  <c r="AL159" i="5"/>
  <c r="AK383" i="5"/>
  <c r="AL383" i="5"/>
  <c r="AK533" i="5"/>
  <c r="AL533" i="5"/>
  <c r="AM81" i="4"/>
  <c r="AN81" i="4" s="1"/>
  <c r="W81" i="4"/>
  <c r="Y81" i="4" s="1"/>
  <c r="Z81" i="4" s="1"/>
  <c r="AP299" i="5"/>
  <c r="R12" i="5" l="1"/>
  <c r="AQ227" i="5"/>
  <c r="AQ460" i="5"/>
  <c r="AR270" i="5"/>
  <c r="AQ333" i="5"/>
  <c r="AQ528" i="5"/>
  <c r="W48" i="4"/>
  <c r="Y48" i="4" s="1"/>
  <c r="W40" i="4"/>
  <c r="Y40" i="4" s="1"/>
  <c r="Z40" i="4" s="1"/>
  <c r="AF40" i="4" s="1"/>
  <c r="AM110" i="4"/>
  <c r="AN110" i="4" s="1"/>
  <c r="W55" i="4"/>
  <c r="Y55" i="4" s="1"/>
  <c r="AR383" i="5"/>
  <c r="AQ382" i="5"/>
  <c r="AR506" i="5"/>
  <c r="AR380" i="5"/>
  <c r="AQ109" i="5"/>
  <c r="AQ58" i="5"/>
  <c r="AR510" i="5"/>
  <c r="AR119" i="5"/>
  <c r="AQ386" i="5"/>
  <c r="W90" i="4"/>
  <c r="Y90" i="4" s="1"/>
  <c r="W44" i="4"/>
  <c r="Y44" i="4" s="1"/>
  <c r="Z44" i="4" s="1"/>
  <c r="W136" i="4"/>
  <c r="Y136" i="4" s="1"/>
  <c r="Z136" i="4" s="1"/>
  <c r="AF136" i="4" s="1"/>
  <c r="Z78" i="4"/>
  <c r="AF78" i="4" s="1"/>
  <c r="AG78" i="4" s="1"/>
  <c r="AI78" i="4" s="1"/>
  <c r="Z80" i="4"/>
  <c r="AF80" i="4" s="1"/>
  <c r="W85" i="4"/>
  <c r="Y85" i="4" s="1"/>
  <c r="Z85" i="4" s="1"/>
  <c r="AQ540" i="5"/>
  <c r="AQ544" i="5"/>
  <c r="AQ169" i="5"/>
  <c r="AQ178" i="5"/>
  <c r="AQ390" i="5"/>
  <c r="AQ372" i="5"/>
  <c r="AR175" i="5"/>
  <c r="AR38" i="5"/>
  <c r="AR539" i="5"/>
  <c r="AQ552" i="5"/>
  <c r="AQ548" i="5"/>
  <c r="AQ404" i="5"/>
  <c r="AQ192" i="5"/>
  <c r="AQ187" i="5"/>
  <c r="AQ159" i="5"/>
  <c r="AR437" i="5"/>
  <c r="AR51" i="5"/>
  <c r="AQ234" i="5"/>
  <c r="AR512" i="5"/>
  <c r="AR176" i="5"/>
  <c r="AR225" i="5"/>
  <c r="AR245" i="5"/>
  <c r="AQ410" i="5"/>
  <c r="AR146" i="5"/>
  <c r="AP12" i="5"/>
  <c r="AQ12" i="5" s="1"/>
  <c r="AQ135" i="5"/>
  <c r="AR313" i="5"/>
  <c r="AR432" i="5"/>
  <c r="AQ356" i="5"/>
  <c r="AQ301" i="5"/>
  <c r="AR418" i="5"/>
  <c r="AR465" i="5"/>
  <c r="AR281" i="5"/>
  <c r="AR238" i="5"/>
  <c r="AR222" i="5"/>
  <c r="AR524" i="5"/>
  <c r="AR516" i="5"/>
  <c r="AR148" i="5"/>
  <c r="AQ405" i="5"/>
  <c r="AQ396" i="5"/>
  <c r="AH12" i="5"/>
  <c r="AR354" i="5"/>
  <c r="AI12" i="5"/>
  <c r="AR365" i="5"/>
  <c r="AQ491" i="5"/>
  <c r="AL12" i="5"/>
  <c r="AR371" i="5"/>
  <c r="AR283" i="5"/>
  <c r="AQ346" i="5"/>
  <c r="AQ147" i="5"/>
  <c r="AQ112" i="5"/>
  <c r="AR72" i="5"/>
  <c r="AR485" i="5"/>
  <c r="AR141" i="5"/>
  <c r="AQ252" i="5"/>
  <c r="AQ287" i="5"/>
  <c r="AR521" i="5"/>
  <c r="AR527" i="5"/>
  <c r="AR25" i="5"/>
  <c r="AQ129" i="5"/>
  <c r="AQ250" i="5"/>
  <c r="AR428" i="5"/>
  <c r="AR558" i="5"/>
  <c r="AR477" i="5"/>
  <c r="AR394" i="5"/>
  <c r="AR290" i="5"/>
  <c r="AQ26" i="5"/>
  <c r="AR304" i="5"/>
  <c r="AR78" i="5"/>
  <c r="AR434" i="5"/>
  <c r="AQ470" i="5"/>
  <c r="AQ359" i="5"/>
  <c r="AO12" i="5"/>
  <c r="AR300" i="5"/>
  <c r="V12" i="5"/>
  <c r="AQ387" i="5"/>
  <c r="AR486" i="5"/>
  <c r="AR105" i="5"/>
  <c r="AQ182" i="5"/>
  <c r="AR189" i="5"/>
  <c r="AQ492" i="5"/>
  <c r="AQ324" i="5"/>
  <c r="AR450" i="5"/>
  <c r="AQ461" i="5"/>
  <c r="AQ199" i="5"/>
  <c r="AQ345" i="5"/>
  <c r="AR560" i="5"/>
  <c r="AR214" i="5"/>
  <c r="AQ306" i="5"/>
  <c r="AQ536" i="5"/>
  <c r="AR451" i="5"/>
  <c r="AQ355" i="5"/>
  <c r="AQ157" i="5"/>
  <c r="AQ307" i="5"/>
  <c r="AQ47" i="5"/>
  <c r="AR202" i="5"/>
  <c r="AR332" i="5"/>
  <c r="AQ166" i="5"/>
  <c r="AQ379" i="5"/>
  <c r="AR217" i="5"/>
  <c r="AR69" i="5"/>
  <c r="AQ43" i="5"/>
  <c r="AR348" i="5"/>
  <c r="AQ130" i="5"/>
  <c r="AR118" i="5"/>
  <c r="AQ212" i="5"/>
  <c r="AR556" i="5"/>
  <c r="AQ340" i="5"/>
  <c r="AQ273" i="5"/>
  <c r="AQ326" i="5"/>
  <c r="AQ110" i="5"/>
  <c r="AR262" i="5"/>
  <c r="AQ127" i="5"/>
  <c r="AR520" i="5"/>
  <c r="AQ173" i="5"/>
  <c r="AR205" i="5"/>
  <c r="AR494" i="5"/>
  <c r="AR557" i="5"/>
  <c r="AR398" i="5"/>
  <c r="AR314" i="5"/>
  <c r="AR338" i="5"/>
  <c r="AR237" i="5"/>
  <c r="AQ267" i="5"/>
  <c r="AR496" i="5"/>
  <c r="AQ454" i="5"/>
  <c r="AQ402" i="5"/>
  <c r="AR65" i="5"/>
  <c r="AQ497" i="5"/>
  <c r="AQ93" i="5"/>
  <c r="AQ335" i="5"/>
  <c r="AR522" i="5"/>
  <c r="AR64" i="5"/>
  <c r="AR483" i="5"/>
  <c r="AR312" i="5"/>
  <c r="AQ350" i="5"/>
  <c r="AQ24" i="5"/>
  <c r="AR92" i="5"/>
  <c r="AR216" i="5"/>
  <c r="AQ48" i="5"/>
  <c r="AM131" i="4"/>
  <c r="AN131" i="4" s="1"/>
  <c r="W137" i="4"/>
  <c r="AM45" i="4"/>
  <c r="AN45" i="4" s="1"/>
  <c r="W99" i="4"/>
  <c r="Y99" i="4" s="1"/>
  <c r="Z99" i="4" s="1"/>
  <c r="AF99" i="4" s="1"/>
  <c r="W103" i="4"/>
  <c r="Y103" i="4" s="1"/>
  <c r="Z103" i="4" s="1"/>
  <c r="AF103" i="4" s="1"/>
  <c r="AO103" i="4" s="1"/>
  <c r="W27" i="4"/>
  <c r="Y27" i="4" s="1"/>
  <c r="Z27" i="4" s="1"/>
  <c r="AF27" i="4" s="1"/>
  <c r="AO27" i="4" s="1"/>
  <c r="W82" i="4"/>
  <c r="Y82" i="4" s="1"/>
  <c r="Z82" i="4" s="1"/>
  <c r="AF82" i="4" s="1"/>
  <c r="AO82" i="4" s="1"/>
  <c r="Z122" i="4"/>
  <c r="AF122" i="4" s="1"/>
  <c r="W54" i="4"/>
  <c r="X54" i="4" s="1"/>
  <c r="AJ54" i="4" s="1"/>
  <c r="AN157" i="4"/>
  <c r="AM122" i="4"/>
  <c r="AN122" i="4" s="1"/>
  <c r="W28" i="4"/>
  <c r="Y28" i="4" s="1"/>
  <c r="Z28" i="4" s="1"/>
  <c r="AF28" i="4" s="1"/>
  <c r="AM87" i="4"/>
  <c r="AN87" i="4" s="1"/>
  <c r="W150" i="4"/>
  <c r="X150" i="4" s="1"/>
  <c r="AJ150" i="4" s="1"/>
  <c r="Z55" i="4"/>
  <c r="AF55" i="4" s="1"/>
  <c r="Z70" i="4"/>
  <c r="AF70" i="4" s="1"/>
  <c r="Z110" i="4"/>
  <c r="AF110" i="4" s="1"/>
  <c r="W118" i="4"/>
  <c r="Y118" i="4" s="1"/>
  <c r="Z118" i="4" s="1"/>
  <c r="AM23" i="4"/>
  <c r="AN23" i="4" s="1"/>
  <c r="W88" i="4"/>
  <c r="Y88" i="4" s="1"/>
  <c r="Z88" i="4" s="1"/>
  <c r="W64" i="4"/>
  <c r="X64" i="4" s="1"/>
  <c r="AJ64" i="4" s="1"/>
  <c r="W111" i="4"/>
  <c r="Y111" i="4" s="1"/>
  <c r="Z111" i="4" s="1"/>
  <c r="AF111" i="4" s="1"/>
  <c r="AJ73" i="4"/>
  <c r="W38" i="4"/>
  <c r="AE38" i="4" s="1"/>
  <c r="AP10" i="5"/>
  <c r="AQ10" i="5" s="1"/>
  <c r="AM29" i="4"/>
  <c r="AN29" i="4" s="1"/>
  <c r="W156" i="4"/>
  <c r="Y156" i="4" s="1"/>
  <c r="Z156" i="4" s="1"/>
  <c r="W147" i="4"/>
  <c r="Y147" i="4" s="1"/>
  <c r="Z147" i="4" s="1"/>
  <c r="AF147" i="4" s="1"/>
  <c r="W112" i="4"/>
  <c r="Y112" i="4" s="1"/>
  <c r="Z112" i="4" s="1"/>
  <c r="AF112" i="4" s="1"/>
  <c r="AO112" i="4" s="1"/>
  <c r="W113" i="4"/>
  <c r="Y113" i="4" s="1"/>
  <c r="Z113" i="4" s="1"/>
  <c r="AF113" i="4" s="1"/>
  <c r="W143" i="4"/>
  <c r="Y143" i="4" s="1"/>
  <c r="Z143" i="4" s="1"/>
  <c r="W114" i="4"/>
  <c r="Y114" i="4" s="1"/>
  <c r="Z114" i="4" s="1"/>
  <c r="AF114" i="4" s="1"/>
  <c r="AO114" i="4" s="1"/>
  <c r="W89" i="4"/>
  <c r="Y89" i="4" s="1"/>
  <c r="Z89" i="4" s="1"/>
  <c r="AF89" i="4" s="1"/>
  <c r="AO89" i="4" s="1"/>
  <c r="Z29" i="4"/>
  <c r="AF29" i="4" s="1"/>
  <c r="W68" i="4"/>
  <c r="Y68" i="4" s="1"/>
  <c r="Z68" i="4" s="1"/>
  <c r="AF68" i="4" s="1"/>
  <c r="AG68" i="4" s="1"/>
  <c r="AI68" i="4" s="1"/>
  <c r="Z53" i="4"/>
  <c r="AF53" i="4" s="1"/>
  <c r="AO53" i="4" s="1"/>
  <c r="AM97" i="4"/>
  <c r="AN97" i="4" s="1"/>
  <c r="W25" i="4"/>
  <c r="Y25" i="4" s="1"/>
  <c r="Z25" i="4" s="1"/>
  <c r="AF25" i="4" s="1"/>
  <c r="AG25" i="4" s="1"/>
  <c r="AI25" i="4" s="1"/>
  <c r="W74" i="4"/>
  <c r="Y74" i="4" s="1"/>
  <c r="Z74" i="4" s="1"/>
  <c r="AF74" i="4" s="1"/>
  <c r="Z51" i="4"/>
  <c r="AF51" i="4" s="1"/>
  <c r="W86" i="4"/>
  <c r="Y86" i="4" s="1"/>
  <c r="Z86" i="4" s="1"/>
  <c r="Z50" i="4"/>
  <c r="AF50" i="4" s="1"/>
  <c r="AM50" i="4"/>
  <c r="AN50" i="4" s="1"/>
  <c r="W119" i="4"/>
  <c r="Y119" i="4" s="1"/>
  <c r="Z119" i="4" s="1"/>
  <c r="Z71" i="4"/>
  <c r="AF71" i="4" s="1"/>
  <c r="AO71" i="4" s="1"/>
  <c r="W32" i="4"/>
  <c r="Y32" i="4" s="1"/>
  <c r="Z32" i="4" s="1"/>
  <c r="W95" i="4"/>
  <c r="Y95" i="4" s="1"/>
  <c r="Z95" i="4" s="1"/>
  <c r="W19" i="4"/>
  <c r="Y19" i="4" s="1"/>
  <c r="Z19" i="4" s="1"/>
  <c r="AF19" i="4" s="1"/>
  <c r="AG19" i="4" s="1"/>
  <c r="AI19" i="4" s="1"/>
  <c r="AM126" i="4"/>
  <c r="AN126" i="4" s="1"/>
  <c r="AJ126" i="4"/>
  <c r="AM71" i="4"/>
  <c r="AN71" i="4" s="1"/>
  <c r="W41" i="4"/>
  <c r="Y41" i="4" s="1"/>
  <c r="Z41" i="4" s="1"/>
  <c r="AF41" i="4" s="1"/>
  <c r="AG41" i="4" s="1"/>
  <c r="AI41" i="4" s="1"/>
  <c r="W75" i="4"/>
  <c r="Y75" i="4" s="1"/>
  <c r="Z75" i="4" s="1"/>
  <c r="AF75" i="4" s="1"/>
  <c r="AO75" i="4" s="1"/>
  <c r="W31" i="4"/>
  <c r="Y31" i="4" s="1"/>
  <c r="Z31" i="4" s="1"/>
  <c r="AF31" i="4" s="1"/>
  <c r="AO31" i="4" s="1"/>
  <c r="AN77" i="4"/>
  <c r="AE98" i="4"/>
  <c r="W9" i="4"/>
  <c r="Y9" i="4" s="1"/>
  <c r="Z9" i="4" s="1"/>
  <c r="AF9" i="4" s="1"/>
  <c r="AO9" i="4" s="1"/>
  <c r="W60" i="4"/>
  <c r="Y60" i="4" s="1"/>
  <c r="Z60" i="4" s="1"/>
  <c r="AF60" i="4" s="1"/>
  <c r="W47" i="4"/>
  <c r="Y47" i="4" s="1"/>
  <c r="Z47" i="4" s="1"/>
  <c r="AM98" i="4"/>
  <c r="AN98" i="4" s="1"/>
  <c r="W146" i="4"/>
  <c r="Y146" i="4" s="1"/>
  <c r="Z146" i="4" s="1"/>
  <c r="AF146" i="4" s="1"/>
  <c r="AM36" i="4"/>
  <c r="AN36" i="4" s="1"/>
  <c r="AM51" i="4"/>
  <c r="AN51" i="4" s="1"/>
  <c r="Z98" i="4"/>
  <c r="AF98" i="4" s="1"/>
  <c r="AG98" i="4" s="1"/>
  <c r="AI98" i="4" s="1"/>
  <c r="X98" i="4"/>
  <c r="AJ98" i="4" s="1"/>
  <c r="AM102" i="4"/>
  <c r="AN102" i="4" s="1"/>
  <c r="W69" i="4"/>
  <c r="Y69" i="4" s="1"/>
  <c r="Z69" i="4" s="1"/>
  <c r="AN118" i="4"/>
  <c r="AM116" i="4"/>
  <c r="AN116" i="4" s="1"/>
  <c r="W100" i="4"/>
  <c r="X100" i="4" s="1"/>
  <c r="AJ100" i="4" s="1"/>
  <c r="W106" i="4"/>
  <c r="Y106" i="4" s="1"/>
  <c r="Z106" i="4" s="1"/>
  <c r="AF106" i="4" s="1"/>
  <c r="AG106" i="4" s="1"/>
  <c r="AI106" i="4" s="1"/>
  <c r="W30" i="4"/>
  <c r="Y30" i="4" s="1"/>
  <c r="Z30" i="4" s="1"/>
  <c r="AF30" i="4" s="1"/>
  <c r="AG30" i="4" s="1"/>
  <c r="AI30" i="4" s="1"/>
  <c r="W91" i="4"/>
  <c r="X91" i="4" s="1"/>
  <c r="AJ91" i="4" s="1"/>
  <c r="W49" i="4"/>
  <c r="Y49" i="4" s="1"/>
  <c r="Z49" i="4" s="1"/>
  <c r="AF49" i="4" s="1"/>
  <c r="AO49" i="4" s="1"/>
  <c r="W11" i="4"/>
  <c r="Y11" i="4" s="1"/>
  <c r="Z11" i="4" s="1"/>
  <c r="AF11" i="4" s="1"/>
  <c r="W123" i="4"/>
  <c r="Y123" i="4" s="1"/>
  <c r="Z123" i="4" s="1"/>
  <c r="AF123" i="4" s="1"/>
  <c r="W63" i="4"/>
  <c r="AE63" i="4" s="1"/>
  <c r="AQ218" i="5"/>
  <c r="AR81" i="5"/>
  <c r="AR134" i="5"/>
  <c r="AR244" i="5"/>
  <c r="Z16" i="4"/>
  <c r="AF16" i="4" s="1"/>
  <c r="Z102" i="4"/>
  <c r="AF102" i="4" s="1"/>
  <c r="AG102" i="4" s="1"/>
  <c r="AI102" i="4" s="1"/>
  <c r="W7" i="4"/>
  <c r="AE7" i="4" s="1"/>
  <c r="W76" i="4"/>
  <c r="X76" i="4" s="1"/>
  <c r="AJ76" i="4" s="1"/>
  <c r="W127" i="4"/>
  <c r="AE127" i="4" s="1"/>
  <c r="AM52" i="4"/>
  <c r="AN52" i="4" s="1"/>
  <c r="W18" i="4"/>
  <c r="Y18" i="4" s="1"/>
  <c r="Z18" i="4" s="1"/>
  <c r="AF18" i="4" s="1"/>
  <c r="Z97" i="4"/>
  <c r="AF97" i="4" s="1"/>
  <c r="AO97" i="4" s="1"/>
  <c r="AM70" i="4"/>
  <c r="AN70" i="4" s="1"/>
  <c r="W35" i="4"/>
  <c r="X35" i="4" s="1"/>
  <c r="AJ35" i="4" s="1"/>
  <c r="AR535" i="5"/>
  <c r="AQ476" i="5"/>
  <c r="AR517" i="5"/>
  <c r="AR406" i="5"/>
  <c r="AR498" i="5"/>
  <c r="AQ104" i="5"/>
  <c r="AR330" i="5"/>
  <c r="AQ79" i="5"/>
  <c r="AQ184" i="5"/>
  <c r="AR384" i="5"/>
  <c r="AR426" i="5"/>
  <c r="AQ30" i="5"/>
  <c r="AR165" i="5"/>
  <c r="AR34" i="5"/>
  <c r="AQ318" i="5"/>
  <c r="AQ87" i="5"/>
  <c r="AR260" i="5"/>
  <c r="AQ23" i="5"/>
  <c r="AR551" i="5"/>
  <c r="AQ444" i="5"/>
  <c r="AQ530" i="5"/>
  <c r="AR321" i="5"/>
  <c r="AQ158" i="5"/>
  <c r="AR417" i="5"/>
  <c r="AQ302" i="5"/>
  <c r="AR70" i="5"/>
  <c r="AQ211" i="5"/>
  <c r="AN105" i="4"/>
  <c r="AC546" i="5"/>
  <c r="AD546" i="5" s="1"/>
  <c r="AC523" i="5"/>
  <c r="AE523" i="5" s="1"/>
  <c r="AC459" i="5"/>
  <c r="AS459" i="5" s="1"/>
  <c r="AC206" i="5"/>
  <c r="AS206" i="5" s="1"/>
  <c r="AL9" i="5"/>
  <c r="Z87" i="4"/>
  <c r="AF87" i="4" s="1"/>
  <c r="AO87" i="4" s="1"/>
  <c r="AC379" i="5"/>
  <c r="AE379" i="5" s="1"/>
  <c r="AC392" i="5"/>
  <c r="AS392" i="5" s="1"/>
  <c r="AC371" i="5"/>
  <c r="AE371" i="5" s="1"/>
  <c r="AC522" i="5"/>
  <c r="AD522" i="5" s="1"/>
  <c r="AC512" i="5"/>
  <c r="AS512" i="5" s="1"/>
  <c r="AC429" i="5"/>
  <c r="AS429" i="5" s="1"/>
  <c r="Z117" i="4"/>
  <c r="AF117" i="4" s="1"/>
  <c r="AC160" i="5"/>
  <c r="AS160" i="5" s="1"/>
  <c r="AB288" i="5"/>
  <c r="AC234" i="5"/>
  <c r="AD234" i="5" s="1"/>
  <c r="AC525" i="5"/>
  <c r="AE525" i="5" s="1"/>
  <c r="AC426" i="5"/>
  <c r="AD426" i="5" s="1"/>
  <c r="AC534" i="5"/>
  <c r="AD534" i="5" s="1"/>
  <c r="AC432" i="5"/>
  <c r="AS432" i="5" s="1"/>
  <c r="AC221" i="5"/>
  <c r="AS221" i="5" s="1"/>
  <c r="AC121" i="5"/>
  <c r="AS121" i="5" s="1"/>
  <c r="AC537" i="5"/>
  <c r="AE537" i="5" s="1"/>
  <c r="V11" i="5"/>
  <c r="AC80" i="5"/>
  <c r="AS80" i="5" s="1"/>
  <c r="AC23" i="5"/>
  <c r="AD23" i="5" s="1"/>
  <c r="AC530" i="5"/>
  <c r="AD530" i="5" s="1"/>
  <c r="AC289" i="5"/>
  <c r="AD289" i="5" s="1"/>
  <c r="AC264" i="5"/>
  <c r="AE264" i="5" s="1"/>
  <c r="AC446" i="5"/>
  <c r="AD446" i="5" s="1"/>
  <c r="AC117" i="5"/>
  <c r="AS117" i="5" s="1"/>
  <c r="AC97" i="5"/>
  <c r="AD97" i="5" s="1"/>
  <c r="AC105" i="5"/>
  <c r="AE105" i="5" s="1"/>
  <c r="B35" i="2"/>
  <c r="AC376" i="5"/>
  <c r="AD376" i="5" s="1"/>
  <c r="AC508" i="5"/>
  <c r="AE508" i="5" s="1"/>
  <c r="AC184" i="5"/>
  <c r="AD184" i="5" s="1"/>
  <c r="AQ77" i="5"/>
  <c r="AQ457" i="5"/>
  <c r="AR493" i="5"/>
  <c r="AR117" i="5"/>
  <c r="AQ22" i="5"/>
  <c r="AR422" i="5"/>
  <c r="AR20" i="5"/>
  <c r="AR284" i="5"/>
  <c r="AQ360" i="5"/>
  <c r="AR138" i="5"/>
  <c r="AR447" i="5"/>
  <c r="AQ37" i="5"/>
  <c r="AQ142" i="5"/>
  <c r="AQ229" i="5"/>
  <c r="AR233" i="5"/>
  <c r="AR258" i="5"/>
  <c r="AQ525" i="5"/>
  <c r="AQ239" i="5"/>
  <c r="AQ276" i="5"/>
  <c r="AQ42" i="5"/>
  <c r="AQ54" i="5"/>
  <c r="AR144" i="5"/>
  <c r="AR364" i="5"/>
  <c r="AQ219" i="5"/>
  <c r="AR463" i="5"/>
  <c r="K29" i="2"/>
  <c r="K30" i="2" s="1"/>
  <c r="AC463" i="5"/>
  <c r="AE463" i="5" s="1"/>
  <c r="AA445" i="5"/>
  <c r="W37" i="4"/>
  <c r="X37" i="4" s="1"/>
  <c r="AJ37" i="4" s="1"/>
  <c r="AR462" i="5"/>
  <c r="AQ21" i="5"/>
  <c r="AR448" i="5"/>
  <c r="AQ488" i="5"/>
  <c r="AR126" i="5"/>
  <c r="AR495" i="5"/>
  <c r="AR131" i="5"/>
  <c r="R31" i="2"/>
  <c r="S31" i="2" s="1"/>
  <c r="Q31" i="2"/>
  <c r="P31" i="2" s="1"/>
  <c r="AR378" i="5"/>
  <c r="AR255" i="5"/>
  <c r="AQ542" i="5"/>
  <c r="AR194" i="5"/>
  <c r="AQ190" i="5"/>
  <c r="AQ370" i="5"/>
  <c r="AQ257" i="5"/>
  <c r="AA97" i="5"/>
  <c r="AR368" i="5"/>
  <c r="AR45" i="5"/>
  <c r="AR232" i="5"/>
  <c r="AQ545" i="5"/>
  <c r="AR82" i="5"/>
  <c r="AR56" i="5"/>
  <c r="AM117" i="4"/>
  <c r="AN117" i="4" s="1"/>
  <c r="W46" i="4"/>
  <c r="Y46" i="4" s="1"/>
  <c r="Z46" i="4" s="1"/>
  <c r="AF46" i="4" s="1"/>
  <c r="AG46" i="4" s="1"/>
  <c r="AI46" i="4" s="1"/>
  <c r="W145" i="4"/>
  <c r="Y145" i="4" s="1"/>
  <c r="Z145" i="4" s="1"/>
  <c r="AF145" i="4" s="1"/>
  <c r="AA297" i="5"/>
  <c r="AB261" i="5"/>
  <c r="AA363" i="5"/>
  <c r="AC520" i="5"/>
  <c r="AS520" i="5" s="1"/>
  <c r="AC359" i="5"/>
  <c r="AD359" i="5" s="1"/>
  <c r="AB80" i="5"/>
  <c r="AC386" i="5"/>
  <c r="AS386" i="5" s="1"/>
  <c r="AA265" i="5"/>
  <c r="AB447" i="5"/>
  <c r="AB19" i="5"/>
  <c r="AB247" i="5"/>
  <c r="AB208" i="5"/>
  <c r="AB532" i="5"/>
  <c r="AB217" i="5"/>
  <c r="AA27" i="5"/>
  <c r="W20" i="4"/>
  <c r="X20" i="4" s="1"/>
  <c r="AJ20" i="4" s="1"/>
  <c r="AA7" i="5"/>
  <c r="AC265" i="5"/>
  <c r="AE265" i="5" s="1"/>
  <c r="AC540" i="5"/>
  <c r="AE540" i="5" s="1"/>
  <c r="AB529" i="5"/>
  <c r="AA540" i="5"/>
  <c r="AB560" i="5"/>
  <c r="AC470" i="5"/>
  <c r="AE470" i="5" s="1"/>
  <c r="AC460" i="5"/>
  <c r="AS460" i="5" s="1"/>
  <c r="AC138" i="5"/>
  <c r="AE138" i="5" s="1"/>
  <c r="AA550" i="5"/>
  <c r="AB293" i="5"/>
  <c r="AA551" i="5"/>
  <c r="Z115" i="4"/>
  <c r="AF115" i="4" s="1"/>
  <c r="AC31" i="5"/>
  <c r="AE31" i="5" s="1"/>
  <c r="AA26" i="5"/>
  <c r="AM16" i="4"/>
  <c r="AN16" i="4" s="1"/>
  <c r="AB301" i="5"/>
  <c r="AA283" i="5"/>
  <c r="AB254" i="5"/>
  <c r="AA116" i="5"/>
  <c r="AA405" i="5"/>
  <c r="AA142" i="5"/>
  <c r="AB150" i="5"/>
  <c r="AJ157" i="4"/>
  <c r="AM128" i="4"/>
  <c r="AN128" i="4" s="1"/>
  <c r="Z43" i="4"/>
  <c r="AF43" i="4" s="1"/>
  <c r="AO43" i="4" s="1"/>
  <c r="AB169" i="5"/>
  <c r="AB379" i="5"/>
  <c r="AB42" i="5"/>
  <c r="AB196" i="5"/>
  <c r="AB403" i="5"/>
  <c r="AB487" i="5"/>
  <c r="AB189" i="5"/>
  <c r="AA36" i="5"/>
  <c r="AA502" i="5"/>
  <c r="AB537" i="5"/>
  <c r="AA514" i="5"/>
  <c r="AB121" i="5"/>
  <c r="AB151" i="5"/>
  <c r="AA106" i="5"/>
  <c r="AA48" i="5"/>
  <c r="AA53" i="5"/>
  <c r="AM134" i="4"/>
  <c r="AN134" i="4" s="1"/>
  <c r="AA523" i="5"/>
  <c r="AB335" i="5"/>
  <c r="AB390" i="5"/>
  <c r="AA63" i="5"/>
  <c r="AB93" i="5"/>
  <c r="W61" i="4"/>
  <c r="Y61" i="4" s="1"/>
  <c r="Z61" i="4" s="1"/>
  <c r="AF61" i="4" s="1"/>
  <c r="AG61" i="4" s="1"/>
  <c r="AI61" i="4" s="1"/>
  <c r="AB262" i="5"/>
  <c r="AA90" i="5"/>
  <c r="AC277" i="5"/>
  <c r="AE277" i="5" s="1"/>
  <c r="AC306" i="5"/>
  <c r="AE306" i="5" s="1"/>
  <c r="AC38" i="5"/>
  <c r="AS38" i="5" s="1"/>
  <c r="AA263" i="5"/>
  <c r="AB235" i="5"/>
  <c r="AA343" i="5"/>
  <c r="AM56" i="4"/>
  <c r="AN56" i="4" s="1"/>
  <c r="AB331" i="5"/>
  <c r="W15" i="4"/>
  <c r="Y15" i="4" s="1"/>
  <c r="Z15" i="4" s="1"/>
  <c r="AF15" i="4" s="1"/>
  <c r="AA256" i="5"/>
  <c r="AB498" i="5"/>
  <c r="AB298" i="5"/>
  <c r="AC208" i="5"/>
  <c r="AS208" i="5" s="1"/>
  <c r="AC365" i="5"/>
  <c r="AS365" i="5" s="1"/>
  <c r="AC280" i="5"/>
  <c r="AS280" i="5" s="1"/>
  <c r="AC353" i="5"/>
  <c r="AE353" i="5" s="1"/>
  <c r="AC213" i="5"/>
  <c r="AD213" i="5" s="1"/>
  <c r="AC194" i="5"/>
  <c r="AE194" i="5" s="1"/>
  <c r="AA289" i="5"/>
  <c r="AA462" i="5"/>
  <c r="AB202" i="5"/>
  <c r="AA213" i="5"/>
  <c r="AC42" i="5"/>
  <c r="AD42" i="5" s="1"/>
  <c r="AC216" i="5"/>
  <c r="AS216" i="5" s="1"/>
  <c r="AC325" i="5"/>
  <c r="AE325" i="5" s="1"/>
  <c r="AB179" i="5"/>
  <c r="AA495" i="5"/>
  <c r="AC417" i="5"/>
  <c r="AS417" i="5" s="1"/>
  <c r="AC451" i="5"/>
  <c r="AE451" i="5" s="1"/>
  <c r="AC332" i="5"/>
  <c r="AS332" i="5" s="1"/>
  <c r="AB356" i="5"/>
  <c r="AB371" i="5"/>
  <c r="AB359" i="5"/>
  <c r="AB522" i="5"/>
  <c r="AB161" i="5"/>
  <c r="AB309" i="5"/>
  <c r="AA424" i="5"/>
  <c r="AA244" i="5"/>
  <c r="AC361" i="5"/>
  <c r="AE361" i="5" s="1"/>
  <c r="AC425" i="5"/>
  <c r="AD425" i="5" s="1"/>
  <c r="AC297" i="5"/>
  <c r="AD297" i="5" s="1"/>
  <c r="AC333" i="5"/>
  <c r="AS333" i="5" s="1"/>
  <c r="AC244" i="5"/>
  <c r="AE244" i="5" s="1"/>
  <c r="AC532" i="5"/>
  <c r="AD532" i="5" s="1"/>
  <c r="AC552" i="5"/>
  <c r="AD552" i="5" s="1"/>
  <c r="AC294" i="5"/>
  <c r="AS294" i="5" s="1"/>
  <c r="AA442" i="5"/>
  <c r="AA194" i="5"/>
  <c r="AA428" i="5"/>
  <c r="AA333" i="5"/>
  <c r="AC76" i="5"/>
  <c r="AD76" i="5" s="1"/>
  <c r="AC500" i="5"/>
  <c r="AS500" i="5" s="1"/>
  <c r="AC298" i="5"/>
  <c r="AS298" i="5" s="1"/>
  <c r="AC197" i="5"/>
  <c r="AE197" i="5" s="1"/>
  <c r="AC261" i="5"/>
  <c r="AS261" i="5" s="1"/>
  <c r="AA494" i="5"/>
  <c r="AA251" i="5"/>
  <c r="AB25" i="5"/>
  <c r="AB417" i="5"/>
  <c r="AC483" i="5"/>
  <c r="AD483" i="5" s="1"/>
  <c r="AC517" i="5"/>
  <c r="AD517" i="5" s="1"/>
  <c r="AC148" i="5"/>
  <c r="AD148" i="5" s="1"/>
  <c r="AC363" i="5"/>
  <c r="AE363" i="5" s="1"/>
  <c r="AC462" i="5"/>
  <c r="AD462" i="5" s="1"/>
  <c r="AC46" i="5"/>
  <c r="AE46" i="5" s="1"/>
  <c r="AC54" i="5"/>
  <c r="AS54" i="5" s="1"/>
  <c r="AU54" i="5" s="1"/>
  <c r="AC356" i="5"/>
  <c r="AS356" i="5" s="1"/>
  <c r="AC279" i="5"/>
  <c r="AS279" i="5" s="1"/>
  <c r="AC25" i="5"/>
  <c r="AD25" i="5" s="1"/>
  <c r="AB332" i="5"/>
  <c r="AA276" i="5"/>
  <c r="AC495" i="5"/>
  <c r="AS495" i="5" s="1"/>
  <c r="AC309" i="5"/>
  <c r="AD309" i="5" s="1"/>
  <c r="AC494" i="5"/>
  <c r="AD494" i="5" s="1"/>
  <c r="AC314" i="5"/>
  <c r="AD314" i="5" s="1"/>
  <c r="AC422" i="5"/>
  <c r="AS422" i="5" s="1"/>
  <c r="AC202" i="5"/>
  <c r="AS202" i="5" s="1"/>
  <c r="AU202" i="5" s="1"/>
  <c r="AC518" i="5"/>
  <c r="AE518" i="5" s="1"/>
  <c r="AC248" i="5"/>
  <c r="AD248" i="5" s="1"/>
  <c r="AB469" i="5"/>
  <c r="AA221" i="5"/>
  <c r="AB421" i="5"/>
  <c r="AB327" i="5"/>
  <c r="AA475" i="5"/>
  <c r="AB220" i="5"/>
  <c r="AB463" i="5"/>
  <c r="AC478" i="5"/>
  <c r="AE478" i="5" s="1"/>
  <c r="AC366" i="5"/>
  <c r="AE366" i="5" s="1"/>
  <c r="AC327" i="5"/>
  <c r="AE327" i="5" s="1"/>
  <c r="AM43" i="4"/>
  <c r="AN43" i="4" s="1"/>
  <c r="AC180" i="5"/>
  <c r="AS180" i="5" s="1"/>
  <c r="AA149" i="5"/>
  <c r="AB426" i="5"/>
  <c r="AB274" i="5"/>
  <c r="W142" i="4"/>
  <c r="Y142" i="4" s="1"/>
  <c r="Z142" i="4" s="1"/>
  <c r="AB366" i="5"/>
  <c r="AA304" i="5"/>
  <c r="AB94" i="5"/>
  <c r="W57" i="4"/>
  <c r="Y57" i="4" s="1"/>
  <c r="Z57" i="4" s="1"/>
  <c r="AF57" i="4" s="1"/>
  <c r="AC469" i="5"/>
  <c r="AE469" i="5" s="1"/>
  <c r="AC241" i="5"/>
  <c r="AS241" i="5" s="1"/>
  <c r="AC142" i="5"/>
  <c r="AS142" i="5" s="1"/>
  <c r="AC237" i="5"/>
  <c r="AS237" i="5" s="1"/>
  <c r="AC283" i="5"/>
  <c r="AE283" i="5" s="1"/>
  <c r="AC304" i="5"/>
  <c r="AS304" i="5" s="1"/>
  <c r="AC477" i="5"/>
  <c r="AD477" i="5" s="1"/>
  <c r="AB416" i="5"/>
  <c r="AA539" i="5"/>
  <c r="AC267" i="5"/>
  <c r="AE267" i="5" s="1"/>
  <c r="AC220" i="5"/>
  <c r="AD220" i="5" s="1"/>
  <c r="AC482" i="5"/>
  <c r="AS482" i="5" s="1"/>
  <c r="AC122" i="5"/>
  <c r="AD122" i="5" s="1"/>
  <c r="AC22" i="5"/>
  <c r="AD22" i="5" s="1"/>
  <c r="AB133" i="5"/>
  <c r="AA59" i="5"/>
  <c r="AB429" i="5"/>
  <c r="AC341" i="5"/>
  <c r="AS341" i="5" s="1"/>
  <c r="AC101" i="5"/>
  <c r="AS101" i="5" s="1"/>
  <c r="AC374" i="5"/>
  <c r="AE374" i="5" s="1"/>
  <c r="AC165" i="5"/>
  <c r="AS165" i="5" s="1"/>
  <c r="AC504" i="5"/>
  <c r="AE504" i="5" s="1"/>
  <c r="AB351" i="5"/>
  <c r="AC405" i="5"/>
  <c r="AD405" i="5" s="1"/>
  <c r="AC26" i="5"/>
  <c r="AE26" i="5" s="1"/>
  <c r="AC416" i="5"/>
  <c r="AD416" i="5" s="1"/>
  <c r="AC150" i="5"/>
  <c r="AE150" i="5" s="1"/>
  <c r="AA241" i="5"/>
  <c r="AC351" i="5"/>
  <c r="AD351" i="5" s="1"/>
  <c r="AC551" i="5"/>
  <c r="AD551" i="5" s="1"/>
  <c r="AC94" i="5"/>
  <c r="AE94" i="5" s="1"/>
  <c r="AC476" i="5"/>
  <c r="AD476" i="5" s="1"/>
  <c r="AC254" i="5"/>
  <c r="AS254" i="5" s="1"/>
  <c r="AC133" i="5"/>
  <c r="AS133" i="5" s="1"/>
  <c r="AC274" i="5"/>
  <c r="AS274" i="5" s="1"/>
  <c r="AC301" i="5"/>
  <c r="AE301" i="5" s="1"/>
  <c r="AC421" i="5"/>
  <c r="AE421" i="5" s="1"/>
  <c r="AC116" i="5"/>
  <c r="AE116" i="5" s="1"/>
  <c r="AC475" i="5"/>
  <c r="AE475" i="5" s="1"/>
  <c r="AC438" i="5"/>
  <c r="AE438" i="5" s="1"/>
  <c r="AA260" i="5"/>
  <c r="AB546" i="5"/>
  <c r="AB545" i="5"/>
  <c r="AC222" i="5"/>
  <c r="AD222" i="5" s="1"/>
  <c r="AC434" i="5"/>
  <c r="AS434" i="5" s="1"/>
  <c r="AC158" i="5"/>
  <c r="AE158" i="5" s="1"/>
  <c r="AC360" i="5"/>
  <c r="AE360" i="5" s="1"/>
  <c r="AC496" i="5"/>
  <c r="AD496" i="5" s="1"/>
  <c r="AC232" i="5"/>
  <c r="AS232" i="5" s="1"/>
  <c r="AA222" i="5"/>
  <c r="AB132" i="5"/>
  <c r="AB360" i="5"/>
  <c r="AA137" i="5"/>
  <c r="AB368" i="5"/>
  <c r="AB174" i="5"/>
  <c r="AC50" i="5"/>
  <c r="AE50" i="5" s="1"/>
  <c r="AC200" i="5"/>
  <c r="AD200" i="5" s="1"/>
  <c r="AC132" i="5"/>
  <c r="AE132" i="5" s="1"/>
  <c r="AB278" i="5"/>
  <c r="AC59" i="5"/>
  <c r="AS59" i="5" s="1"/>
  <c r="AA376" i="5"/>
  <c r="AB31" i="5"/>
  <c r="AA499" i="5"/>
  <c r="W125" i="4"/>
  <c r="Y125" i="4" s="1"/>
  <c r="Z125" i="4" s="1"/>
  <c r="W14" i="4"/>
  <c r="Y14" i="4" s="1"/>
  <c r="Z14" i="4" s="1"/>
  <c r="AC174" i="5"/>
  <c r="AE174" i="5" s="1"/>
  <c r="AC238" i="5"/>
  <c r="AE238" i="5" s="1"/>
  <c r="AC137" i="5"/>
  <c r="AD137" i="5" s="1"/>
  <c r="AC114" i="5"/>
  <c r="AE114" i="5" s="1"/>
  <c r="AC354" i="5"/>
  <c r="AD354" i="5" s="1"/>
  <c r="AC168" i="5"/>
  <c r="AE168" i="5" s="1"/>
  <c r="AA168" i="5"/>
  <c r="AA50" i="5"/>
  <c r="AA114" i="5"/>
  <c r="AA438" i="5"/>
  <c r="AC58" i="5"/>
  <c r="AD58" i="5" s="1"/>
  <c r="AC120" i="5"/>
  <c r="AD120" i="5" s="1"/>
  <c r="AC140" i="5"/>
  <c r="AD140" i="5" s="1"/>
  <c r="AA543" i="5"/>
  <c r="AB354" i="5"/>
  <c r="AA160" i="5"/>
  <c r="AB452" i="5"/>
  <c r="AB259" i="5"/>
  <c r="AA140" i="5"/>
  <c r="AC278" i="5"/>
  <c r="AS278" i="5" s="1"/>
  <c r="AU278" i="5" s="1"/>
  <c r="AC556" i="5"/>
  <c r="AE556" i="5" s="1"/>
  <c r="AC259" i="5"/>
  <c r="AE259" i="5" s="1"/>
  <c r="AC295" i="5"/>
  <c r="AE295" i="5" s="1"/>
  <c r="AC479" i="5"/>
  <c r="AS479" i="5" s="1"/>
  <c r="AC68" i="5"/>
  <c r="AD68" i="5" s="1"/>
  <c r="AC262" i="5"/>
  <c r="AS262" i="5" s="1"/>
  <c r="AC21" i="5"/>
  <c r="AE21" i="5" s="1"/>
  <c r="AC260" i="5"/>
  <c r="AS260" i="5" s="1"/>
  <c r="AC511" i="5"/>
  <c r="AE511" i="5" s="1"/>
  <c r="AC65" i="5"/>
  <c r="AD65" i="5" s="1"/>
  <c r="AC343" i="5"/>
  <c r="AS343" i="5" s="1"/>
  <c r="AC243" i="5"/>
  <c r="AD243" i="5" s="1"/>
  <c r="AC73" i="5"/>
  <c r="AE73" i="5" s="1"/>
  <c r="AC502" i="5"/>
  <c r="AD502" i="5" s="1"/>
  <c r="AC543" i="5"/>
  <c r="AS543" i="5" s="1"/>
  <c r="AC440" i="5"/>
  <c r="AE440" i="5" s="1"/>
  <c r="AC452" i="5"/>
  <c r="AE452" i="5" s="1"/>
  <c r="AC499" i="5"/>
  <c r="AS499" i="5" s="1"/>
  <c r="AC36" i="5"/>
  <c r="AD36" i="5" s="1"/>
  <c r="AB49" i="5"/>
  <c r="AC155" i="5"/>
  <c r="AE155" i="5" s="1"/>
  <c r="AC217" i="5"/>
  <c r="AE217" i="5" s="1"/>
  <c r="AC188" i="5"/>
  <c r="AD188" i="5" s="1"/>
  <c r="AC390" i="5"/>
  <c r="AD390" i="5" s="1"/>
  <c r="AC226" i="5"/>
  <c r="AE226" i="5" s="1"/>
  <c r="AC173" i="5"/>
  <c r="AS173" i="5" s="1"/>
  <c r="AC106" i="5"/>
  <c r="AD106" i="5" s="1"/>
  <c r="AC514" i="5"/>
  <c r="AE514" i="5" s="1"/>
  <c r="AC27" i="5"/>
  <c r="AE27" i="5" s="1"/>
  <c r="AC40" i="5"/>
  <c r="AS40" i="5" s="1"/>
  <c r="AC223" i="5"/>
  <c r="AS223" i="5" s="1"/>
  <c r="AC181" i="5"/>
  <c r="AS181" i="5" s="1"/>
  <c r="AC151" i="5"/>
  <c r="AS151" i="5" s="1"/>
  <c r="AC399" i="5"/>
  <c r="AS399" i="5" s="1"/>
  <c r="AC310" i="5"/>
  <c r="AE310" i="5" s="1"/>
  <c r="AC345" i="5"/>
  <c r="AE345" i="5" s="1"/>
  <c r="AC505" i="5"/>
  <c r="AD505" i="5" s="1"/>
  <c r="AA223" i="5"/>
  <c r="AA188" i="5"/>
  <c r="AB431" i="5"/>
  <c r="AB181" i="5"/>
  <c r="AA275" i="5"/>
  <c r="AC127" i="5"/>
  <c r="AS127" i="5" s="1"/>
  <c r="AU127" i="5" s="1"/>
  <c r="AC136" i="5"/>
  <c r="AS136" i="5" s="1"/>
  <c r="AC126" i="5"/>
  <c r="AE126" i="5" s="1"/>
  <c r="AC544" i="5"/>
  <c r="AS544" i="5" s="1"/>
  <c r="AC48" i="5"/>
  <c r="AE48" i="5" s="1"/>
  <c r="AC275" i="5"/>
  <c r="AS275" i="5" s="1"/>
  <c r="AC112" i="5"/>
  <c r="AS112" i="5" s="1"/>
  <c r="AC473" i="5"/>
  <c r="AD473" i="5" s="1"/>
  <c r="AC143" i="5"/>
  <c r="AD143" i="5" s="1"/>
  <c r="AC104" i="5"/>
  <c r="AE104" i="5" s="1"/>
  <c r="AA544" i="5"/>
  <c r="AA119" i="5"/>
  <c r="AB166" i="5"/>
  <c r="AC335" i="5"/>
  <c r="AE335" i="5" s="1"/>
  <c r="AC245" i="5"/>
  <c r="AE245" i="5" s="1"/>
  <c r="AC214" i="5"/>
  <c r="AD214" i="5" s="1"/>
  <c r="AC342" i="5"/>
  <c r="AS342" i="5" s="1"/>
  <c r="AB226" i="5"/>
  <c r="AB112" i="5"/>
  <c r="AB430" i="5"/>
  <c r="AC349" i="5"/>
  <c r="AD349" i="5" s="1"/>
  <c r="AC383" i="5"/>
  <c r="AE383" i="5" s="1"/>
  <c r="AC466" i="5"/>
  <c r="AE466" i="5" s="1"/>
  <c r="AC119" i="5"/>
  <c r="AE119" i="5" s="1"/>
  <c r="AC12" i="5"/>
  <c r="AD12" i="5" s="1"/>
  <c r="AB103" i="5"/>
  <c r="AC350" i="5"/>
  <c r="AE350" i="5" s="1"/>
  <c r="AC24" i="5"/>
  <c r="AD24" i="5" s="1"/>
  <c r="AC378" i="5"/>
  <c r="AD378" i="5" s="1"/>
  <c r="AC492" i="5"/>
  <c r="AE492" i="5" s="1"/>
  <c r="AC210" i="5"/>
  <c r="AD210" i="5" s="1"/>
  <c r="AA303" i="5"/>
  <c r="AB91" i="5"/>
  <c r="W66" i="4"/>
  <c r="Y66" i="4" s="1"/>
  <c r="Z66" i="4" s="1"/>
  <c r="AC111" i="5"/>
  <c r="AD111" i="5" s="1"/>
  <c r="AC239" i="5"/>
  <c r="AE239" i="5" s="1"/>
  <c r="AC32" i="5"/>
  <c r="AE32" i="5" s="1"/>
  <c r="AA64" i="5"/>
  <c r="AA387" i="5"/>
  <c r="AC55" i="5"/>
  <c r="AE55" i="5" s="1"/>
  <c r="AC77" i="5"/>
  <c r="AE77" i="5" s="1"/>
  <c r="AC113" i="5"/>
  <c r="AD113" i="5" s="1"/>
  <c r="AC369" i="5"/>
  <c r="AE369" i="5" s="1"/>
  <c r="AA404" i="5"/>
  <c r="AB86" i="5"/>
  <c r="AA55" i="5"/>
  <c r="AB203" i="5"/>
  <c r="AC269" i="5"/>
  <c r="AS269" i="5" s="1"/>
  <c r="AC468" i="5"/>
  <c r="AD468" i="5" s="1"/>
  <c r="AB436" i="5"/>
  <c r="AA32" i="5"/>
  <c r="AA111" i="5"/>
  <c r="AC303" i="5"/>
  <c r="AS303" i="5" s="1"/>
  <c r="AC49" i="5"/>
  <c r="AD49" i="5" s="1"/>
  <c r="AC103" i="5"/>
  <c r="AD103" i="5" s="1"/>
  <c r="AC404" i="5"/>
  <c r="AD404" i="5" s="1"/>
  <c r="AA321" i="5"/>
  <c r="AC166" i="5"/>
  <c r="AD166" i="5" s="1"/>
  <c r="AB105" i="5"/>
  <c r="AA296" i="5"/>
  <c r="AA175" i="5"/>
  <c r="AC441" i="5"/>
  <c r="AE441" i="5" s="1"/>
  <c r="AC62" i="5"/>
  <c r="AD62" i="5" s="1"/>
  <c r="AC536" i="5"/>
  <c r="AS536" i="5" s="1"/>
  <c r="AC83" i="5"/>
  <c r="AS83" i="5" s="1"/>
  <c r="AC75" i="5"/>
  <c r="AD75" i="5" s="1"/>
  <c r="AC385" i="5"/>
  <c r="AE385" i="5" s="1"/>
  <c r="AA375" i="5"/>
  <c r="AA329" i="5"/>
  <c r="AA336" i="5"/>
  <c r="AA402" i="5"/>
  <c r="AB401" i="5"/>
  <c r="AA441" i="5"/>
  <c r="AB525" i="5"/>
  <c r="AC515" i="5"/>
  <c r="AS515" i="5" s="1"/>
  <c r="AC189" i="5"/>
  <c r="AS189" i="5" s="1"/>
  <c r="AC313" i="5"/>
  <c r="AD313" i="5" s="1"/>
  <c r="AC203" i="5"/>
  <c r="AS203" i="5" s="1"/>
  <c r="AC472" i="5"/>
  <c r="AE472" i="5" s="1"/>
  <c r="AC186" i="5"/>
  <c r="AD186" i="5" s="1"/>
  <c r="AC134" i="5"/>
  <c r="AE134" i="5" s="1"/>
  <c r="AB396" i="5"/>
  <c r="AA236" i="5"/>
  <c r="AA313" i="5"/>
  <c r="AA205" i="5"/>
  <c r="AB472" i="5"/>
  <c r="AB453" i="5"/>
  <c r="AC403" i="5"/>
  <c r="AD403" i="5" s="1"/>
  <c r="AC541" i="5"/>
  <c r="AD541" i="5" s="1"/>
  <c r="AC300" i="5"/>
  <c r="AD300" i="5" s="1"/>
  <c r="AC34" i="5"/>
  <c r="AS34" i="5" s="1"/>
  <c r="AC44" i="5"/>
  <c r="AD44" i="5" s="1"/>
  <c r="AA62" i="5"/>
  <c r="AA392" i="5"/>
  <c r="AC401" i="5"/>
  <c r="AE401" i="5" s="1"/>
  <c r="AC229" i="5"/>
  <c r="AD229" i="5" s="1"/>
  <c r="AC427" i="5"/>
  <c r="AS427" i="5" s="1"/>
  <c r="AB456" i="5"/>
  <c r="AB171" i="5"/>
  <c r="Y73" i="4"/>
  <c r="Z73" i="4" s="1"/>
  <c r="AA73" i="4" s="1"/>
  <c r="AC73" i="4" s="1"/>
  <c r="AD73" i="4" s="1"/>
  <c r="AC455" i="5"/>
  <c r="AD455" i="5" s="1"/>
  <c r="AC456" i="5"/>
  <c r="AS456" i="5" s="1"/>
  <c r="AC205" i="5"/>
  <c r="AD205" i="5" s="1"/>
  <c r="AC218" i="5"/>
  <c r="AE218" i="5" s="1"/>
  <c r="AC395" i="5"/>
  <c r="AS395" i="5" s="1"/>
  <c r="AC128" i="5"/>
  <c r="AD128" i="5" s="1"/>
  <c r="AC375" i="5"/>
  <c r="AD375" i="5" s="1"/>
  <c r="AE73" i="4"/>
  <c r="AA455" i="5"/>
  <c r="AA60" i="5"/>
  <c r="AB8" i="5"/>
  <c r="AA382" i="5"/>
  <c r="AC329" i="5"/>
  <c r="AS329" i="5" s="1"/>
  <c r="AC302" i="5"/>
  <c r="AE302" i="5" s="1"/>
  <c r="AC171" i="5"/>
  <c r="AS171" i="5" s="1"/>
  <c r="AC450" i="5"/>
  <c r="AS450" i="5" s="1"/>
  <c r="AC336" i="5"/>
  <c r="AD336" i="5" s="1"/>
  <c r="AC60" i="5"/>
  <c r="AD60" i="5" s="1"/>
  <c r="AC381" i="5"/>
  <c r="AS381" i="5" s="1"/>
  <c r="AC236" i="5"/>
  <c r="AE236" i="5" s="1"/>
  <c r="AC402" i="5"/>
  <c r="AD402" i="5" s="1"/>
  <c r="AC145" i="5"/>
  <c r="AD145" i="5" s="1"/>
  <c r="AC433" i="5"/>
  <c r="AS433" i="5" s="1"/>
  <c r="AC453" i="5"/>
  <c r="AE453" i="5" s="1"/>
  <c r="AC382" i="5"/>
  <c r="AD382" i="5" s="1"/>
  <c r="W135" i="4"/>
  <c r="Y135" i="4" s="1"/>
  <c r="Z135" i="4" s="1"/>
  <c r="AN11" i="5"/>
  <c r="AC125" i="5"/>
  <c r="AS125" i="5" s="1"/>
  <c r="AC513" i="5"/>
  <c r="AE513" i="5" s="1"/>
  <c r="AC377" i="5"/>
  <c r="AD377" i="5" s="1"/>
  <c r="AC29" i="5"/>
  <c r="AE29" i="5" s="1"/>
  <c r="AC129" i="5"/>
  <c r="AD129" i="5" s="1"/>
  <c r="AC69" i="5"/>
  <c r="AS69" i="5" s="1"/>
  <c r="AC193" i="5"/>
  <c r="AE193" i="5" s="1"/>
  <c r="AC486" i="5"/>
  <c r="AE486" i="5" s="1"/>
  <c r="AC398" i="5"/>
  <c r="AE398" i="5" s="1"/>
  <c r="AA294" i="5"/>
  <c r="AA69" i="5"/>
  <c r="AA486" i="5"/>
  <c r="AA70" i="5"/>
  <c r="AA548" i="5"/>
  <c r="AC70" i="5"/>
  <c r="AS70" i="5" s="1"/>
  <c r="AC251" i="5"/>
  <c r="AS251" i="5" s="1"/>
  <c r="AC228" i="5"/>
  <c r="AE228" i="5" s="1"/>
  <c r="AC285" i="5"/>
  <c r="AD285" i="5" s="1"/>
  <c r="AC110" i="5"/>
  <c r="AE110" i="5" s="1"/>
  <c r="AC43" i="5"/>
  <c r="AS43" i="5" s="1"/>
  <c r="AB400" i="5"/>
  <c r="AB533" i="5"/>
  <c r="AB513" i="5"/>
  <c r="AB509" i="5"/>
  <c r="AB228" i="5"/>
  <c r="AA29" i="5"/>
  <c r="AM33" i="4"/>
  <c r="AN33" i="4" s="1"/>
  <c r="AC179" i="5"/>
  <c r="AE179" i="5" s="1"/>
  <c r="AC394" i="5"/>
  <c r="AD394" i="5" s="1"/>
  <c r="AC481" i="5"/>
  <c r="AS481" i="5" s="1"/>
  <c r="AC533" i="5"/>
  <c r="AD533" i="5" s="1"/>
  <c r="AC424" i="5"/>
  <c r="AS424" i="5" s="1"/>
  <c r="AC268" i="5"/>
  <c r="AS268" i="5" s="1"/>
  <c r="AC270" i="5"/>
  <c r="AE270" i="5" s="1"/>
  <c r="AB255" i="5"/>
  <c r="AA129" i="5"/>
  <c r="AA394" i="5"/>
  <c r="AB270" i="5"/>
  <c r="AB425" i="5"/>
  <c r="AB491" i="5"/>
  <c r="AH18" i="4"/>
  <c r="AC444" i="5"/>
  <c r="AE444" i="5" s="1"/>
  <c r="AC555" i="5"/>
  <c r="AD555" i="5" s="1"/>
  <c r="AC338" i="5"/>
  <c r="AS338" i="5" s="1"/>
  <c r="AC163" i="5"/>
  <c r="AD163" i="5" s="1"/>
  <c r="AB163" i="5"/>
  <c r="AA157" i="5"/>
  <c r="AC99" i="5"/>
  <c r="AD99" i="5" s="1"/>
  <c r="AC255" i="5"/>
  <c r="AE255" i="5" s="1"/>
  <c r="AC553" i="5"/>
  <c r="AS553" i="5" s="1"/>
  <c r="AC388" i="5"/>
  <c r="AE388" i="5" s="1"/>
  <c r="AC247" i="5"/>
  <c r="AD247" i="5" s="1"/>
  <c r="AC93" i="5"/>
  <c r="AE93" i="5" s="1"/>
  <c r="W12" i="4"/>
  <c r="AE12" i="4" s="1"/>
  <c r="AC509" i="5"/>
  <c r="AD509" i="5" s="1"/>
  <c r="AC157" i="5"/>
  <c r="AD157" i="5" s="1"/>
  <c r="AC90" i="5"/>
  <c r="AE90" i="5" s="1"/>
  <c r="AC153" i="5"/>
  <c r="AD153" i="5" s="1"/>
  <c r="AC35" i="5"/>
  <c r="AD35" i="5" s="1"/>
  <c r="AC548" i="5"/>
  <c r="AE548" i="5" s="1"/>
  <c r="AC53" i="5"/>
  <c r="AE53" i="5" s="1"/>
  <c r="AA43" i="5"/>
  <c r="AA125" i="5"/>
  <c r="AC257" i="5"/>
  <c r="AS257" i="5" s="1"/>
  <c r="AT257" i="5" s="1"/>
  <c r="AC331" i="5"/>
  <c r="AS331" i="5" s="1"/>
  <c r="AC178" i="5"/>
  <c r="AD178" i="5" s="1"/>
  <c r="AC498" i="5"/>
  <c r="AS498" i="5" s="1"/>
  <c r="AC491" i="5"/>
  <c r="AS491" i="5" s="1"/>
  <c r="AC362" i="5"/>
  <c r="AS362" i="5" s="1"/>
  <c r="AC400" i="5"/>
  <c r="AE400" i="5" s="1"/>
  <c r="AC67" i="5"/>
  <c r="AE67" i="5" s="1"/>
  <c r="AC33" i="5"/>
  <c r="AS33" i="5" s="1"/>
  <c r="AC428" i="5"/>
  <c r="AE428" i="5" s="1"/>
  <c r="AC263" i="5"/>
  <c r="AD263" i="5" s="1"/>
  <c r="AB380" i="5"/>
  <c r="AA501" i="5"/>
  <c r="AB471" i="5"/>
  <c r="AB320" i="5"/>
  <c r="AA306" i="5"/>
  <c r="AC141" i="5"/>
  <c r="AD141" i="5" s="1"/>
  <c r="AC198" i="5"/>
  <c r="AD198" i="5" s="1"/>
  <c r="AC183" i="5"/>
  <c r="AS183" i="5" s="1"/>
  <c r="AC465" i="5"/>
  <c r="AS465" i="5" s="1"/>
  <c r="AA118" i="5"/>
  <c r="AB209" i="5"/>
  <c r="AA435" i="5"/>
  <c r="AC82" i="5"/>
  <c r="AE82" i="5" s="1"/>
  <c r="AC253" i="5"/>
  <c r="AS253" i="5" s="1"/>
  <c r="AC380" i="5"/>
  <c r="AS380" i="5" s="1"/>
  <c r="AC291" i="5"/>
  <c r="AE291" i="5" s="1"/>
  <c r="AC209" i="5"/>
  <c r="AD209" i="5" s="1"/>
  <c r="AC293" i="5"/>
  <c r="AE293" i="5" s="1"/>
  <c r="AC560" i="5"/>
  <c r="AE560" i="5" s="1"/>
  <c r="AC384" i="5"/>
  <c r="AD384" i="5" s="1"/>
  <c r="AC175" i="5"/>
  <c r="AS175" i="5" s="1"/>
  <c r="AT175" i="5" s="1"/>
  <c r="AC296" i="5"/>
  <c r="AS296" i="5" s="1"/>
  <c r="AC318" i="5"/>
  <c r="AD318" i="5" s="1"/>
  <c r="AC413" i="5"/>
  <c r="AS413" i="5" s="1"/>
  <c r="AB348" i="5"/>
  <c r="AA108" i="5"/>
  <c r="AC199" i="5"/>
  <c r="AD199" i="5" s="1"/>
  <c r="AA100" i="5"/>
  <c r="AC7" i="5"/>
  <c r="AS7" i="5" s="1"/>
  <c r="AC147" i="5"/>
  <c r="AS147" i="5" s="1"/>
  <c r="AU147" i="5" s="1"/>
  <c r="AC471" i="5"/>
  <c r="AS471" i="5" s="1"/>
  <c r="AC348" i="5"/>
  <c r="AS348" i="5" s="1"/>
  <c r="AC339" i="5"/>
  <c r="AS339" i="5" s="1"/>
  <c r="AC19" i="5"/>
  <c r="AD19" i="5" s="1"/>
  <c r="AC219" i="5"/>
  <c r="AE219" i="5" s="1"/>
  <c r="AC501" i="5"/>
  <c r="AD501" i="5" s="1"/>
  <c r="AC316" i="5"/>
  <c r="AE316" i="5" s="1"/>
  <c r="AB291" i="5"/>
  <c r="AA231" i="5"/>
  <c r="AB460" i="5"/>
  <c r="AA82" i="5"/>
  <c r="AA199" i="5"/>
  <c r="AB521" i="5"/>
  <c r="AA470" i="5"/>
  <c r="AC437" i="5"/>
  <c r="AD437" i="5" s="1"/>
  <c r="AC108" i="5"/>
  <c r="AD108" i="5" s="1"/>
  <c r="AC308" i="5"/>
  <c r="AD308" i="5" s="1"/>
  <c r="AC406" i="5"/>
  <c r="AD406" i="5" s="1"/>
  <c r="AC447" i="5"/>
  <c r="AD447" i="5" s="1"/>
  <c r="AC344" i="5"/>
  <c r="AD344" i="5" s="1"/>
  <c r="AC231" i="5"/>
  <c r="AD231" i="5" s="1"/>
  <c r="AC78" i="5"/>
  <c r="AS78" i="5" s="1"/>
  <c r="AT78" i="5" s="1"/>
  <c r="AB92" i="5"/>
  <c r="AC529" i="5"/>
  <c r="AE529" i="5" s="1"/>
  <c r="AC521" i="5"/>
  <c r="AS521" i="5" s="1"/>
  <c r="AC320" i="5"/>
  <c r="AE320" i="5" s="1"/>
  <c r="AC411" i="5"/>
  <c r="AE411" i="5" s="1"/>
  <c r="AC115" i="5"/>
  <c r="AD115" i="5" s="1"/>
  <c r="AM115" i="4"/>
  <c r="AN115" i="4" s="1"/>
  <c r="AM26" i="4"/>
  <c r="AN26" i="4" s="1"/>
  <c r="W26" i="4"/>
  <c r="AA409" i="5"/>
  <c r="AA414" i="5"/>
  <c r="AC321" i="5"/>
  <c r="AD321" i="5" s="1"/>
  <c r="AC410" i="5"/>
  <c r="AE410" i="5" s="1"/>
  <c r="AC480" i="5"/>
  <c r="AD480" i="5" s="1"/>
  <c r="AC135" i="5"/>
  <c r="AS135" i="5" s="1"/>
  <c r="AC420" i="5"/>
  <c r="AD420" i="5" s="1"/>
  <c r="AC559" i="5"/>
  <c r="AD559" i="5" s="1"/>
  <c r="AC436" i="5"/>
  <c r="AS436" i="5" s="1"/>
  <c r="AA66" i="5"/>
  <c r="AC182" i="5"/>
  <c r="AS182" i="5" s="1"/>
  <c r="AT182" i="5" s="1"/>
  <c r="AC20" i="5"/>
  <c r="AD20" i="5" s="1"/>
  <c r="AC45" i="5"/>
  <c r="AE45" i="5" s="1"/>
  <c r="AC201" i="5"/>
  <c r="AD201" i="5" s="1"/>
  <c r="AC102" i="5"/>
  <c r="AD102" i="5" s="1"/>
  <c r="AC323" i="5"/>
  <c r="AD323" i="5" s="1"/>
  <c r="AC66" i="5"/>
  <c r="AE66" i="5" s="1"/>
  <c r="AC528" i="5"/>
  <c r="AE528" i="5" s="1"/>
  <c r="AA369" i="5"/>
  <c r="AA317" i="5"/>
  <c r="AA410" i="5"/>
  <c r="AC204" i="5"/>
  <c r="AE204" i="5" s="1"/>
  <c r="AC506" i="5"/>
  <c r="AS506" i="5" s="1"/>
  <c r="AC409" i="5"/>
  <c r="AE409" i="5" s="1"/>
  <c r="AA282" i="5"/>
  <c r="AA506" i="5"/>
  <c r="AB135" i="5"/>
  <c r="AA201" i="5"/>
  <c r="AC272" i="5"/>
  <c r="AE272" i="5" s="1"/>
  <c r="AC414" i="5"/>
  <c r="AE414" i="5" s="1"/>
  <c r="AC81" i="5"/>
  <c r="AS81" i="5" s="1"/>
  <c r="AU81" i="5" s="1"/>
  <c r="AC387" i="5"/>
  <c r="AD387" i="5" s="1"/>
  <c r="AC266" i="5"/>
  <c r="AS266" i="5" s="1"/>
  <c r="AC282" i="5"/>
  <c r="AS282" i="5" s="1"/>
  <c r="AC72" i="5"/>
  <c r="AS72" i="5" s="1"/>
  <c r="AU72" i="5" s="1"/>
  <c r="AC558" i="5"/>
  <c r="AD558" i="5" s="1"/>
  <c r="AC317" i="5"/>
  <c r="AS317" i="5" s="1"/>
  <c r="AC240" i="5"/>
  <c r="AD240" i="5" s="1"/>
  <c r="AL11" i="5"/>
  <c r="AE96" i="4"/>
  <c r="X96" i="4"/>
  <c r="AJ96" i="4" s="1"/>
  <c r="AJ77" i="4"/>
  <c r="AO9" i="5"/>
  <c r="W39" i="4"/>
  <c r="X39" i="4" s="1"/>
  <c r="AJ39" i="4" s="1"/>
  <c r="W72" i="4"/>
  <c r="Y72" i="4" s="1"/>
  <c r="Z72" i="4" s="1"/>
  <c r="AF72" i="4" s="1"/>
  <c r="AG72" i="4" s="1"/>
  <c r="AI72" i="4" s="1"/>
  <c r="AG96" i="4"/>
  <c r="AI96" i="4" s="1"/>
  <c r="Z149" i="4"/>
  <c r="AF149" i="4" s="1"/>
  <c r="AO149" i="4" s="1"/>
  <c r="W22" i="4"/>
  <c r="X22" i="4" s="1"/>
  <c r="AJ22" i="4" s="1"/>
  <c r="AE140" i="4"/>
  <c r="X140" i="4"/>
  <c r="AJ140" i="4" s="1"/>
  <c r="W109" i="4"/>
  <c r="X109" i="4" s="1"/>
  <c r="AJ109" i="4" s="1"/>
  <c r="Z42" i="4"/>
  <c r="AF42" i="4" s="1"/>
  <c r="W129" i="4"/>
  <c r="Y129" i="4" s="1"/>
  <c r="Z129" i="4" s="1"/>
  <c r="AF129" i="4" s="1"/>
  <c r="AP9" i="5"/>
  <c r="AR9" i="5" s="1"/>
  <c r="W148" i="4"/>
  <c r="X148" i="4" s="1"/>
  <c r="AJ148" i="4" s="1"/>
  <c r="AP11" i="5"/>
  <c r="AQ11" i="5" s="1"/>
  <c r="AM121" i="4"/>
  <c r="AN121" i="4" s="1"/>
  <c r="W67" i="4"/>
  <c r="Y67" i="4" s="1"/>
  <c r="Z67" i="4" s="1"/>
  <c r="AM59" i="4"/>
  <c r="AN59" i="4" s="1"/>
  <c r="W59" i="4"/>
  <c r="X59" i="4" s="1"/>
  <c r="AJ59" i="4" s="1"/>
  <c r="AM132" i="4"/>
  <c r="AN132" i="4" s="1"/>
  <c r="W132" i="4"/>
  <c r="AM83" i="4"/>
  <c r="AN83" i="4" s="1"/>
  <c r="W83" i="4"/>
  <c r="AM141" i="4"/>
  <c r="AN141" i="4" s="1"/>
  <c r="W141" i="4"/>
  <c r="AM62" i="4"/>
  <c r="AN62" i="4" s="1"/>
  <c r="W62" i="4"/>
  <c r="AM21" i="4"/>
  <c r="AN21" i="4" s="1"/>
  <c r="W21" i="4"/>
  <c r="AN84" i="4"/>
  <c r="AM79" i="4"/>
  <c r="AN79" i="4" s="1"/>
  <c r="W79" i="4"/>
  <c r="Y79" i="4" s="1"/>
  <c r="Z79" i="4" s="1"/>
  <c r="W24" i="4"/>
  <c r="AM24" i="4"/>
  <c r="AN24" i="4" s="1"/>
  <c r="X105" i="4"/>
  <c r="AJ105" i="4" s="1"/>
  <c r="Y105" i="4"/>
  <c r="Z105" i="4" s="1"/>
  <c r="AE105" i="4"/>
  <c r="AH105" i="4"/>
  <c r="AM133" i="4"/>
  <c r="AN133" i="4" s="1"/>
  <c r="W133" i="4"/>
  <c r="W155" i="4"/>
  <c r="AE155" i="4" s="1"/>
  <c r="AM155" i="4"/>
  <c r="AN155" i="4" s="1"/>
  <c r="AM101" i="4"/>
  <c r="AN101" i="4" s="1"/>
  <c r="W101" i="4"/>
  <c r="AM34" i="4"/>
  <c r="AN34" i="4" s="1"/>
  <c r="W34" i="4"/>
  <c r="AM130" i="4"/>
  <c r="AN130" i="4" s="1"/>
  <c r="W130" i="4"/>
  <c r="Z140" i="4"/>
  <c r="AN143" i="4"/>
  <c r="AM144" i="4"/>
  <c r="AN144" i="4" s="1"/>
  <c r="W144" i="4"/>
  <c r="AN140" i="4"/>
  <c r="W152" i="4"/>
  <c r="Y152" i="4" s="1"/>
  <c r="Z152" i="4" s="1"/>
  <c r="W94" i="4"/>
  <c r="AE94" i="4" s="1"/>
  <c r="AM94" i="4"/>
  <c r="AN94" i="4" s="1"/>
  <c r="AM58" i="4"/>
  <c r="AN58" i="4" s="1"/>
  <c r="W58" i="4"/>
  <c r="AH155" i="4"/>
  <c r="AM10" i="4"/>
  <c r="AN10" i="4" s="1"/>
  <c r="W10" i="4"/>
  <c r="R9" i="5"/>
  <c r="S9" i="5"/>
  <c r="X84" i="4"/>
  <c r="AJ84" i="4" s="1"/>
  <c r="AE84" i="4"/>
  <c r="Y84" i="4"/>
  <c r="Z84" i="4" s="1"/>
  <c r="AI9" i="5"/>
  <c r="AH9" i="5"/>
  <c r="V9" i="5"/>
  <c r="U9" i="5"/>
  <c r="Y9" i="5"/>
  <c r="X9" i="5"/>
  <c r="AE40" i="4"/>
  <c r="AA11" i="5"/>
  <c r="AI11" i="5"/>
  <c r="AH11" i="5"/>
  <c r="S11" i="5"/>
  <c r="R11" i="5"/>
  <c r="X11" i="5"/>
  <c r="Y11" i="5"/>
  <c r="AR327" i="5"/>
  <c r="AR436" i="5"/>
  <c r="AQ438" i="5"/>
  <c r="AQ420" i="5"/>
  <c r="AR381" i="5"/>
  <c r="AQ392" i="5"/>
  <c r="AR261" i="5"/>
  <c r="AR531" i="5"/>
  <c r="AQ259" i="5"/>
  <c r="AR103" i="5"/>
  <c r="AR533" i="5"/>
  <c r="AR274" i="5"/>
  <c r="AQ66" i="5"/>
  <c r="AR474" i="5"/>
  <c r="AQ140" i="5"/>
  <c r="AQ101" i="5"/>
  <c r="AQ487" i="5"/>
  <c r="AR278" i="5"/>
  <c r="AR337" i="5"/>
  <c r="AQ143" i="5"/>
  <c r="AR397" i="5"/>
  <c r="AR226" i="5"/>
  <c r="AR296" i="5"/>
  <c r="AE122" i="4"/>
  <c r="AB128" i="5"/>
  <c r="AA180" i="5"/>
  <c r="AA361" i="5"/>
  <c r="AA338" i="5"/>
  <c r="AB353" i="5"/>
  <c r="AC315" i="5"/>
  <c r="AE315" i="5" s="1"/>
  <c r="AA267" i="5"/>
  <c r="AA253" i="5"/>
  <c r="AB362" i="5"/>
  <c r="AC396" i="5"/>
  <c r="AE396" i="5" s="1"/>
  <c r="AA318" i="5"/>
  <c r="AB511" i="5"/>
  <c r="AC539" i="5"/>
  <c r="AD539" i="5" s="1"/>
  <c r="AB465" i="5"/>
  <c r="AC430" i="5"/>
  <c r="AD430" i="5" s="1"/>
  <c r="AA346" i="5"/>
  <c r="AA281" i="5"/>
  <c r="AC8" i="5"/>
  <c r="AE8" i="5" s="1"/>
  <c r="AA158" i="5"/>
  <c r="AB357" i="5"/>
  <c r="AC290" i="5"/>
  <c r="AS290" i="5" s="1"/>
  <c r="AC305" i="5"/>
  <c r="AS305" i="5" s="1"/>
  <c r="AB206" i="5"/>
  <c r="AB440" i="5"/>
  <c r="AC292" i="5"/>
  <c r="AD292" i="5" s="1"/>
  <c r="AB65" i="5"/>
  <c r="AB214" i="5"/>
  <c r="AB101" i="5"/>
  <c r="AB326" i="5"/>
  <c r="AB253" i="5"/>
  <c r="AB287" i="5"/>
  <c r="AA465" i="5"/>
  <c r="AA295" i="5"/>
  <c r="AC346" i="5"/>
  <c r="AD346" i="5" s="1"/>
  <c r="AA186" i="5"/>
  <c r="AB158" i="5"/>
  <c r="AC407" i="5"/>
  <c r="AD407" i="5" s="1"/>
  <c r="AC357" i="5"/>
  <c r="AE357" i="5" s="1"/>
  <c r="AA290" i="5"/>
  <c r="AA305" i="5"/>
  <c r="AA440" i="5"/>
  <c r="AB292" i="5"/>
  <c r="AA65" i="5"/>
  <c r="AB230" i="5"/>
  <c r="AC326" i="5"/>
  <c r="AD326" i="5" s="1"/>
  <c r="AA353" i="5"/>
  <c r="AB339" i="5"/>
  <c r="AC95" i="5"/>
  <c r="AE95" i="5" s="1"/>
  <c r="AB295" i="5"/>
  <c r="AB186" i="5"/>
  <c r="AA488" i="5"/>
  <c r="AA407" i="5"/>
  <c r="AA427" i="5"/>
  <c r="AA323" i="5"/>
  <c r="AC227" i="5"/>
  <c r="AD227" i="5" s="1"/>
  <c r="AC230" i="5"/>
  <c r="AD230" i="5" s="1"/>
  <c r="AA315" i="5"/>
  <c r="AA245" i="5"/>
  <c r="AC284" i="5"/>
  <c r="AS284" i="5" s="1"/>
  <c r="AC287" i="5"/>
  <c r="AE287" i="5" s="1"/>
  <c r="AC311" i="5"/>
  <c r="AS311" i="5" s="1"/>
  <c r="AC124" i="5"/>
  <c r="AD124" i="5" s="1"/>
  <c r="AA496" i="5"/>
  <c r="AB377" i="5"/>
  <c r="AB245" i="5"/>
  <c r="AC224" i="5"/>
  <c r="AD224" i="5" s="1"/>
  <c r="AA339" i="5"/>
  <c r="AA284" i="5"/>
  <c r="AA95" i="5"/>
  <c r="AA311" i="5"/>
  <c r="AA365" i="5"/>
  <c r="AA391" i="5"/>
  <c r="AC172" i="5"/>
  <c r="AD172" i="5" s="1"/>
  <c r="AB20" i="5"/>
  <c r="AB458" i="5"/>
  <c r="AA127" i="5"/>
  <c r="AA122" i="5"/>
  <c r="AB323" i="5"/>
  <c r="AB496" i="5"/>
  <c r="AA377" i="5"/>
  <c r="AA172" i="5"/>
  <c r="AA197" i="5"/>
  <c r="AB399" i="5"/>
  <c r="AA224" i="5"/>
  <c r="AB365" i="5"/>
  <c r="AC176" i="5"/>
  <c r="AS176" i="5" s="1"/>
  <c r="AC391" i="5"/>
  <c r="AD391" i="5" s="1"/>
  <c r="AC458" i="5"/>
  <c r="AE458" i="5" s="1"/>
  <c r="AB127" i="5"/>
  <c r="AB122" i="5"/>
  <c r="AC435" i="5"/>
  <c r="AE435" i="5" s="1"/>
  <c r="AA176" i="5"/>
  <c r="AA504" i="5"/>
  <c r="AB117" i="5"/>
  <c r="AB124" i="5"/>
  <c r="AA239" i="5"/>
  <c r="AB197" i="5"/>
  <c r="AB45" i="5"/>
  <c r="AC196" i="5"/>
  <c r="AD196" i="5" s="1"/>
  <c r="AA450" i="5"/>
  <c r="AA20" i="5"/>
  <c r="AC442" i="5"/>
  <c r="AD442" i="5" s="1"/>
  <c r="AA269" i="5"/>
  <c r="AB473" i="5"/>
  <c r="AB450" i="5"/>
  <c r="AB165" i="5"/>
  <c r="AB120" i="5"/>
  <c r="AA45" i="5"/>
  <c r="AC423" i="5"/>
  <c r="AD423" i="5" s="1"/>
  <c r="AC490" i="5"/>
  <c r="AD490" i="5" s="1"/>
  <c r="AC355" i="5"/>
  <c r="AD355" i="5" s="1"/>
  <c r="AF108" i="4"/>
  <c r="AG108" i="4" s="1"/>
  <c r="AI108" i="4" s="1"/>
  <c r="AA300" i="5"/>
  <c r="AB433" i="5"/>
  <c r="AA248" i="5"/>
  <c r="AA252" i="5"/>
  <c r="AA84" i="5"/>
  <c r="AA23" i="5"/>
  <c r="AB427" i="5"/>
  <c r="AA28" i="5"/>
  <c r="AA399" i="5"/>
  <c r="AA87" i="5"/>
  <c r="AA381" i="5"/>
  <c r="AA178" i="5"/>
  <c r="AC28" i="5"/>
  <c r="AE28" i="5" s="1"/>
  <c r="AB178" i="5"/>
  <c r="AA334" i="5"/>
  <c r="AC524" i="5"/>
  <c r="AS524" i="5" s="1"/>
  <c r="AB54" i="5"/>
  <c r="AB143" i="5"/>
  <c r="AB61" i="5"/>
  <c r="AB246" i="5"/>
  <c r="AA21" i="5"/>
  <c r="AA225" i="5"/>
  <c r="AA10" i="5"/>
  <c r="AB341" i="5"/>
  <c r="AB268" i="5"/>
  <c r="AA480" i="5"/>
  <c r="AA434" i="5"/>
  <c r="AA104" i="5"/>
  <c r="AB434" i="5"/>
  <c r="AB280" i="5"/>
  <c r="AB182" i="5"/>
  <c r="AA530" i="5"/>
  <c r="AB542" i="5"/>
  <c r="X40" i="4"/>
  <c r="AJ40" i="4" s="1"/>
  <c r="AB302" i="5"/>
  <c r="AA310" i="5"/>
  <c r="AB307" i="5"/>
  <c r="AB30" i="5"/>
  <c r="AC187" i="5"/>
  <c r="AS187" i="5" s="1"/>
  <c r="AC167" i="5"/>
  <c r="AS167" i="5" s="1"/>
  <c r="AB508" i="5"/>
  <c r="AC449" i="5"/>
  <c r="AS449" i="5" s="1"/>
  <c r="AB44" i="5"/>
  <c r="AB449" i="5"/>
  <c r="AE71" i="4"/>
  <c r="AB210" i="5"/>
  <c r="AB73" i="5"/>
  <c r="AB279" i="5"/>
  <c r="AB159" i="5"/>
  <c r="AB411" i="5"/>
  <c r="AA383" i="5"/>
  <c r="AA183" i="5"/>
  <c r="AC322" i="5"/>
  <c r="AE322" i="5" s="1"/>
  <c r="AB237" i="5"/>
  <c r="AA73" i="5"/>
  <c r="AA337" i="5"/>
  <c r="AC37" i="5"/>
  <c r="AS37" i="5" s="1"/>
  <c r="AA510" i="5"/>
  <c r="AA152" i="5"/>
  <c r="AC86" i="5"/>
  <c r="AE86" i="5" s="1"/>
  <c r="AA508" i="5"/>
  <c r="AA78" i="5"/>
  <c r="AC79" i="5"/>
  <c r="AD79" i="5" s="1"/>
  <c r="AA162" i="5"/>
  <c r="AB240" i="5"/>
  <c r="AA79" i="5"/>
  <c r="AB378" i="5"/>
  <c r="AB233" i="5"/>
  <c r="AC249" i="5"/>
  <c r="AE249" i="5" s="1"/>
  <c r="AB68" i="5"/>
  <c r="AA190" i="5"/>
  <c r="AA52" i="5"/>
  <c r="AA12" i="5"/>
  <c r="AC177" i="5"/>
  <c r="AD177" i="5" s="1"/>
  <c r="AC211" i="5"/>
  <c r="AE211" i="5" s="1"/>
  <c r="AA227" i="5"/>
  <c r="AA237" i="5"/>
  <c r="AA352" i="5"/>
  <c r="AC233" i="5"/>
  <c r="AE233" i="5" s="1"/>
  <c r="AB249" i="5"/>
  <c r="AA68" i="5"/>
  <c r="AA234" i="5"/>
  <c r="AA177" i="5"/>
  <c r="AB156" i="5"/>
  <c r="AB198" i="5"/>
  <c r="AC419" i="5"/>
  <c r="AD419" i="5" s="1"/>
  <c r="AB211" i="5"/>
  <c r="AB195" i="5"/>
  <c r="AB345" i="5"/>
  <c r="AA378" i="5"/>
  <c r="AC246" i="5"/>
  <c r="AD246" i="5" s="1"/>
  <c r="AB123" i="5"/>
  <c r="AB271" i="5"/>
  <c r="AA56" i="5"/>
  <c r="AC352" i="5"/>
  <c r="AD352" i="5" s="1"/>
  <c r="AC393" i="5"/>
  <c r="AE393" i="5" s="1"/>
  <c r="AB234" i="5"/>
  <c r="AA556" i="5"/>
  <c r="AC330" i="5"/>
  <c r="AE330" i="5" s="1"/>
  <c r="AC156" i="5"/>
  <c r="AD156" i="5" s="1"/>
  <c r="AA164" i="5"/>
  <c r="AB141" i="5"/>
  <c r="AB386" i="5"/>
  <c r="AC195" i="5"/>
  <c r="AE195" i="5" s="1"/>
  <c r="AA552" i="5"/>
  <c r="AA115" i="5"/>
  <c r="AA280" i="5"/>
  <c r="AC123" i="5"/>
  <c r="AS123" i="5" s="1"/>
  <c r="AC271" i="5"/>
  <c r="AD271" i="5" s="1"/>
  <c r="AC56" i="5"/>
  <c r="AE56" i="5" s="1"/>
  <c r="AC159" i="5"/>
  <c r="AS159" i="5" s="1"/>
  <c r="AB393" i="5"/>
  <c r="AA187" i="5"/>
  <c r="AC337" i="5"/>
  <c r="AS337" i="5" s="1"/>
  <c r="AB556" i="5"/>
  <c r="AA44" i="5"/>
  <c r="AB37" i="5"/>
  <c r="AA330" i="5"/>
  <c r="AA218" i="5"/>
  <c r="AB102" i="5"/>
  <c r="AA141" i="5"/>
  <c r="AA167" i="5"/>
  <c r="AA229" i="5"/>
  <c r="AB115" i="5"/>
  <c r="AB77" i="5"/>
  <c r="AB21" i="5"/>
  <c r="AB310" i="5"/>
  <c r="AB218" i="5"/>
  <c r="AA102" i="5"/>
  <c r="AB183" i="5"/>
  <c r="AC30" i="5"/>
  <c r="AD30" i="5" s="1"/>
  <c r="AB322" i="5"/>
  <c r="AC542" i="5"/>
  <c r="AE542" i="5" s="1"/>
  <c r="AB229" i="5"/>
  <c r="AE108" i="4"/>
  <c r="AC162" i="5"/>
  <c r="AD162" i="5" s="1"/>
  <c r="AC52" i="5"/>
  <c r="AD52" i="5" s="1"/>
  <c r="AC307" i="5"/>
  <c r="AE307" i="5" s="1"/>
  <c r="AA182" i="5"/>
  <c r="AC152" i="5"/>
  <c r="AD152" i="5" s="1"/>
  <c r="AA210" i="5"/>
  <c r="AC10" i="5"/>
  <c r="AD10" i="5" s="1"/>
  <c r="AA279" i="5"/>
  <c r="AC190" i="5"/>
  <c r="AD190" i="5" s="1"/>
  <c r="AC225" i="5"/>
  <c r="AE225" i="5" s="1"/>
  <c r="AC96" i="5"/>
  <c r="AE96" i="5" s="1"/>
  <c r="AA240" i="5"/>
  <c r="AC164" i="5"/>
  <c r="AE164" i="5" s="1"/>
  <c r="AB12" i="5"/>
  <c r="AB78" i="5"/>
  <c r="AC299" i="5"/>
  <c r="AD299" i="5" s="1"/>
  <c r="AE70" i="4"/>
  <c r="AA243" i="5"/>
  <c r="AB38" i="5"/>
  <c r="AC63" i="5"/>
  <c r="AS63" i="5" s="1"/>
  <c r="AB154" i="5"/>
  <c r="AB272" i="5"/>
  <c r="AA385" i="5"/>
  <c r="AA492" i="5"/>
  <c r="AA72" i="5"/>
  <c r="AB559" i="5"/>
  <c r="AC250" i="5"/>
  <c r="AD250" i="5" s="1"/>
  <c r="AC131" i="5"/>
  <c r="AD131" i="5" s="1"/>
  <c r="AC64" i="5"/>
  <c r="AD64" i="5" s="1"/>
  <c r="AB67" i="5"/>
  <c r="AB477" i="5"/>
  <c r="AB204" i="5"/>
  <c r="AC516" i="5"/>
  <c r="AE516" i="5" s="1"/>
  <c r="AC347" i="5"/>
  <c r="AS347" i="5" s="1"/>
  <c r="AB99" i="5"/>
  <c r="AC74" i="5"/>
  <c r="AS74" i="5" s="1"/>
  <c r="AC169" i="5"/>
  <c r="AE169" i="5" s="1"/>
  <c r="AB83" i="5"/>
  <c r="AC281" i="5"/>
  <c r="AE281" i="5" s="1"/>
  <c r="AC154" i="5"/>
  <c r="AD154" i="5" s="1"/>
  <c r="AA107" i="5"/>
  <c r="AC146" i="5"/>
  <c r="AS146" i="5" s="1"/>
  <c r="AC98" i="5"/>
  <c r="AD98" i="5" s="1"/>
  <c r="AA559" i="5"/>
  <c r="AB131" i="5"/>
  <c r="AA266" i="5"/>
  <c r="AA204" i="5"/>
  <c r="AC550" i="5"/>
  <c r="AD550" i="5" s="1"/>
  <c r="AA478" i="5"/>
  <c r="AA374" i="5"/>
  <c r="AC11" i="5"/>
  <c r="AA328" i="5"/>
  <c r="AC328" i="5"/>
  <c r="AD328" i="5" s="1"/>
  <c r="AC526" i="5"/>
  <c r="AD526" i="5" s="1"/>
  <c r="AA113" i="5"/>
  <c r="AA500" i="5"/>
  <c r="AA516" i="5"/>
  <c r="AA457" i="5"/>
  <c r="AA541" i="5"/>
  <c r="AB347" i="5"/>
  <c r="AA99" i="5"/>
  <c r="AC273" i="5"/>
  <c r="AE273" i="5" s="1"/>
  <c r="AB74" i="5"/>
  <c r="AA344" i="5"/>
  <c r="AA319" i="5"/>
  <c r="AC107" i="5"/>
  <c r="AD107" i="5" s="1"/>
  <c r="AA146" i="5"/>
  <c r="AB98" i="5"/>
  <c r="AB534" i="5"/>
  <c r="AC139" i="5"/>
  <c r="AE139" i="5" s="1"/>
  <c r="AB419" i="5"/>
  <c r="AC170" i="5"/>
  <c r="AS170" i="5" s="1"/>
  <c r="AB266" i="5"/>
  <c r="AA173" i="5"/>
  <c r="AB96" i="5"/>
  <c r="X102" i="4"/>
  <c r="AJ102" i="4" s="1"/>
  <c r="AC288" i="5"/>
  <c r="AS288" i="5" s="1"/>
  <c r="AB413" i="5"/>
  <c r="AC488" i="5"/>
  <c r="AS488" i="5" s="1"/>
  <c r="AB526" i="5"/>
  <c r="AB113" i="5"/>
  <c r="AB500" i="5"/>
  <c r="AA134" i="5"/>
  <c r="AC457" i="5"/>
  <c r="AD457" i="5" s="1"/>
  <c r="AC71" i="5"/>
  <c r="AE71" i="5" s="1"/>
  <c r="AB541" i="5"/>
  <c r="AE51" i="4"/>
  <c r="AA273" i="5"/>
  <c r="AB344" i="5"/>
  <c r="AC258" i="5"/>
  <c r="AS258" i="5" s="1"/>
  <c r="AC319" i="5"/>
  <c r="AS319" i="5" s="1"/>
  <c r="AB39" i="5"/>
  <c r="AA534" i="5"/>
  <c r="AA198" i="5"/>
  <c r="AB139" i="5"/>
  <c r="AA170" i="5"/>
  <c r="AA345" i="5"/>
  <c r="AC370" i="5"/>
  <c r="AS370" i="5" s="1"/>
  <c r="AB71" i="5"/>
  <c r="AC39" i="5"/>
  <c r="AE39" i="5" s="1"/>
  <c r="AA519" i="5"/>
  <c r="AB134" i="5"/>
  <c r="AB432" i="5"/>
  <c r="AC100" i="5"/>
  <c r="AS100" i="5" s="1"/>
  <c r="AA238" i="5"/>
  <c r="AA22" i="5"/>
  <c r="AC85" i="5"/>
  <c r="AS85" i="5" s="1"/>
  <c r="AC235" i="5"/>
  <c r="AE235" i="5" s="1"/>
  <c r="AA444" i="5"/>
  <c r="AC92" i="5"/>
  <c r="AE92" i="5" s="1"/>
  <c r="AC185" i="5"/>
  <c r="AD185" i="5" s="1"/>
  <c r="AA517" i="5"/>
  <c r="AA258" i="5"/>
  <c r="AB370" i="5"/>
  <c r="AC161" i="5"/>
  <c r="AS161" i="5" s="1"/>
  <c r="AA432" i="5"/>
  <c r="AB299" i="5"/>
  <c r="AB22" i="5"/>
  <c r="AB85" i="5"/>
  <c r="AA185" i="5"/>
  <c r="AB238" i="5"/>
  <c r="AA277" i="5"/>
  <c r="AB481" i="5"/>
  <c r="AB466" i="5"/>
  <c r="AC412" i="5"/>
  <c r="AD412" i="5" s="1"/>
  <c r="AB381" i="5"/>
  <c r="AA47" i="5"/>
  <c r="AC464" i="5"/>
  <c r="AS464" i="5" s="1"/>
  <c r="AB248" i="5"/>
  <c r="AA408" i="5"/>
  <c r="AA433" i="5"/>
  <c r="AA349" i="5"/>
  <c r="AB312" i="5"/>
  <c r="AB555" i="5"/>
  <c r="AB443" i="5"/>
  <c r="AA505" i="5"/>
  <c r="AA155" i="5"/>
  <c r="AA512" i="5"/>
  <c r="AC334" i="5"/>
  <c r="AE334" i="5" s="1"/>
  <c r="AA355" i="5"/>
  <c r="AA547" i="5"/>
  <c r="AB451" i="5"/>
  <c r="AB232" i="5"/>
  <c r="AA46" i="5"/>
  <c r="AA420" i="5"/>
  <c r="AB536" i="5"/>
  <c r="AA481" i="5"/>
  <c r="AR210" i="5"/>
  <c r="AQ291" i="5"/>
  <c r="X23" i="4"/>
  <c r="AJ23" i="4" s="1"/>
  <c r="Y23" i="4"/>
  <c r="Z23" i="4" s="1"/>
  <c r="AE23" i="4"/>
  <c r="AN10" i="5"/>
  <c r="AO10" i="5"/>
  <c r="AE52" i="4"/>
  <c r="X52" i="4"/>
  <c r="AJ52" i="4" s="1"/>
  <c r="Y52" i="4"/>
  <c r="Z52" i="4" s="1"/>
  <c r="AA466" i="5"/>
  <c r="AA483" i="5"/>
  <c r="AB483" i="5"/>
  <c r="AC84" i="5"/>
  <c r="AD84" i="5" s="1"/>
  <c r="AB412" i="5"/>
  <c r="AC252" i="5"/>
  <c r="AS252" i="5" s="1"/>
  <c r="AB349" i="5"/>
  <c r="AA555" i="5"/>
  <c r="AB505" i="5"/>
  <c r="AB512" i="5"/>
  <c r="AA490" i="5"/>
  <c r="AA451" i="5"/>
  <c r="AA232" i="5"/>
  <c r="AB46" i="5"/>
  <c r="AA520" i="5"/>
  <c r="AA536" i="5"/>
  <c r="U10" i="5"/>
  <c r="V10" i="5"/>
  <c r="AE126" i="4"/>
  <c r="Y126" i="4"/>
  <c r="Z126" i="4" s="1"/>
  <c r="X128" i="4"/>
  <c r="AJ128" i="4" s="1"/>
  <c r="Y128" i="4"/>
  <c r="Z128" i="4" s="1"/>
  <c r="AE128" i="4"/>
  <c r="X93" i="4"/>
  <c r="AJ93" i="4" s="1"/>
  <c r="AE93" i="4"/>
  <c r="Y93" i="4"/>
  <c r="Z93" i="4" s="1"/>
  <c r="X45" i="4"/>
  <c r="AJ45" i="4" s="1"/>
  <c r="Y45" i="4"/>
  <c r="Z45" i="4" s="1"/>
  <c r="AF45" i="4" s="1"/>
  <c r="AG45" i="4" s="1"/>
  <c r="AI45" i="4" s="1"/>
  <c r="AE45" i="4"/>
  <c r="AH10" i="5"/>
  <c r="AI10" i="5"/>
  <c r="AA89" i="5"/>
  <c r="AA308" i="5"/>
  <c r="AA58" i="5"/>
  <c r="AB493" i="5"/>
  <c r="AA423" i="5"/>
  <c r="AA454" i="5"/>
  <c r="AC358" i="5"/>
  <c r="AE358" i="5" s="1"/>
  <c r="AA418" i="5"/>
  <c r="AA395" i="5"/>
  <c r="AB474" i="5"/>
  <c r="AB524" i="5"/>
  <c r="AC527" i="5"/>
  <c r="AE527" i="5" s="1"/>
  <c r="AA489" i="5"/>
  <c r="AA193" i="5"/>
  <c r="AQ181" i="5"/>
  <c r="X134" i="4"/>
  <c r="AJ134" i="4" s="1"/>
  <c r="Y134" i="4"/>
  <c r="Z134" i="4" s="1"/>
  <c r="AE134" i="4"/>
  <c r="R10" i="5"/>
  <c r="S10" i="5"/>
  <c r="Y137" i="4"/>
  <c r="Z137" i="4" s="1"/>
  <c r="X137" i="4"/>
  <c r="AJ137" i="4" s="1"/>
  <c r="AE137" i="4"/>
  <c r="AA286" i="5"/>
  <c r="AB300" i="5"/>
  <c r="AC286" i="5"/>
  <c r="AS286" i="5" s="1"/>
  <c r="AC467" i="5"/>
  <c r="AS467" i="5" s="1"/>
  <c r="AB342" i="5"/>
  <c r="AC89" i="5"/>
  <c r="AD89" i="5" s="1"/>
  <c r="AB439" i="5"/>
  <c r="AB308" i="5"/>
  <c r="AC535" i="5"/>
  <c r="AD535" i="5" s="1"/>
  <c r="AC144" i="5"/>
  <c r="AS144" i="5" s="1"/>
  <c r="AB58" i="5"/>
  <c r="AC397" i="5"/>
  <c r="AS397" i="5" s="1"/>
  <c r="AC493" i="5"/>
  <c r="AD493" i="5" s="1"/>
  <c r="AC454" i="5"/>
  <c r="AS454" i="5" s="1"/>
  <c r="AA324" i="5"/>
  <c r="AA358" i="5"/>
  <c r="AB147" i="5"/>
  <c r="AC418" i="5"/>
  <c r="AD418" i="5" s="1"/>
  <c r="AB395" i="5"/>
  <c r="AB558" i="5"/>
  <c r="AC474" i="5"/>
  <c r="AD474" i="5" s="1"/>
  <c r="AC373" i="5"/>
  <c r="AS373" i="5" s="1"/>
  <c r="AB527" i="5"/>
  <c r="AC489" i="5"/>
  <c r="AS489" i="5" s="1"/>
  <c r="AB446" i="5"/>
  <c r="AC448" i="5"/>
  <c r="AS448" i="5" s="1"/>
  <c r="AC340" i="5"/>
  <c r="AD340" i="5" s="1"/>
  <c r="AB144" i="5"/>
  <c r="X108" i="4"/>
  <c r="Y8" i="4"/>
  <c r="Z8" i="4" s="1"/>
  <c r="AE8" i="4"/>
  <c r="X8" i="4"/>
  <c r="AJ8" i="4" s="1"/>
  <c r="AF44" i="4"/>
  <c r="X70" i="4"/>
  <c r="AB34" i="5"/>
  <c r="AA467" i="5"/>
  <c r="AA342" i="5"/>
  <c r="AB485" i="5"/>
  <c r="AC439" i="5"/>
  <c r="AE439" i="5" s="1"/>
  <c r="AB325" i="5"/>
  <c r="AB535" i="5"/>
  <c r="AC367" i="5"/>
  <c r="AE367" i="5" s="1"/>
  <c r="AA415" i="5"/>
  <c r="AA397" i="5"/>
  <c r="AC324" i="5"/>
  <c r="AS324" i="5" s="1"/>
  <c r="AA147" i="5"/>
  <c r="AA558" i="5"/>
  <c r="AB109" i="5"/>
  <c r="AA373" i="5"/>
  <c r="AA446" i="5"/>
  <c r="AB448" i="5"/>
  <c r="AA340" i="5"/>
  <c r="AR94" i="5"/>
  <c r="Y157" i="4"/>
  <c r="Z157" i="4" s="1"/>
  <c r="AE157" i="4"/>
  <c r="AE102" i="4"/>
  <c r="AA184" i="5"/>
  <c r="AC485" i="5"/>
  <c r="AS485" i="5" s="1"/>
  <c r="AA325" i="5"/>
  <c r="AC47" i="5"/>
  <c r="AE47" i="5" s="1"/>
  <c r="AB367" i="5"/>
  <c r="AC415" i="5"/>
  <c r="AE415" i="5" s="1"/>
  <c r="AB464" i="5"/>
  <c r="AC408" i="5"/>
  <c r="AS408" i="5" s="1"/>
  <c r="AC312" i="5"/>
  <c r="AS312" i="5" s="1"/>
  <c r="AC443" i="5"/>
  <c r="AE443" i="5" s="1"/>
  <c r="AC109" i="5"/>
  <c r="AS109" i="5" s="1"/>
  <c r="AC547" i="5"/>
  <c r="AE547" i="5" s="1"/>
  <c r="AE43" i="4"/>
  <c r="AA81" i="5"/>
  <c r="Y77" i="4"/>
  <c r="Z77" i="4" s="1"/>
  <c r="AE77" i="4"/>
  <c r="AB184" i="5"/>
  <c r="AB81" i="5"/>
  <c r="X10" i="5"/>
  <c r="Y10" i="5"/>
  <c r="Y116" i="4"/>
  <c r="Z116" i="4" s="1"/>
  <c r="AE116" i="4"/>
  <c r="X71" i="4"/>
  <c r="AJ71" i="4" s="1"/>
  <c r="AG40" i="4"/>
  <c r="AI40" i="4" s="1"/>
  <c r="AO40" i="4"/>
  <c r="X116" i="4"/>
  <c r="AC192" i="5"/>
  <c r="AS192" i="5" s="1"/>
  <c r="AB242" i="5"/>
  <c r="AC549" i="5"/>
  <c r="AD549" i="5" s="1"/>
  <c r="AA145" i="5"/>
  <c r="AB145" i="5"/>
  <c r="AC149" i="5"/>
  <c r="AS149" i="5" s="1"/>
  <c r="AA264" i="5"/>
  <c r="AA528" i="5"/>
  <c r="AB51" i="5"/>
  <c r="AA476" i="5"/>
  <c r="AA33" i="5"/>
  <c r="AC445" i="5"/>
  <c r="AS445" i="5" s="1"/>
  <c r="AA553" i="5"/>
  <c r="AB24" i="5"/>
  <c r="AA398" i="5"/>
  <c r="AC88" i="5"/>
  <c r="AE88" i="5" s="1"/>
  <c r="AC368" i="5"/>
  <c r="AD368" i="5" s="1"/>
  <c r="AB406" i="5"/>
  <c r="AA497" i="5"/>
  <c r="AA136" i="5"/>
  <c r="AC431" i="5"/>
  <c r="AD431" i="5" s="1"/>
  <c r="AC519" i="5"/>
  <c r="AD519" i="5" s="1"/>
  <c r="AB191" i="5"/>
  <c r="AC484" i="5"/>
  <c r="AS484" i="5" s="1"/>
  <c r="AC461" i="5"/>
  <c r="AS461" i="5" s="1"/>
  <c r="AC207" i="5"/>
  <c r="AD207" i="5" s="1"/>
  <c r="AB41" i="5"/>
  <c r="AC538" i="5"/>
  <c r="AS538" i="5" s="1"/>
  <c r="AB200" i="5"/>
  <c r="AA314" i="5"/>
  <c r="AC61" i="5"/>
  <c r="AD61" i="5" s="1"/>
  <c r="AB215" i="5"/>
  <c r="AC87" i="5"/>
  <c r="AS87" i="5" s="1"/>
  <c r="AA67" i="5"/>
  <c r="AA126" i="5"/>
  <c r="AB384" i="5"/>
  <c r="AC503" i="5"/>
  <c r="AE503" i="5" s="1"/>
  <c r="AB264" i="5"/>
  <c r="AA153" i="5"/>
  <c r="AB110" i="5"/>
  <c r="AB316" i="5"/>
  <c r="AB437" i="5"/>
  <c r="AA148" i="5"/>
  <c r="AB476" i="5"/>
  <c r="AB33" i="5"/>
  <c r="AA138" i="5"/>
  <c r="AB76" i="5"/>
  <c r="AA24" i="5"/>
  <c r="AB88" i="5"/>
  <c r="AC510" i="5"/>
  <c r="AD510" i="5" s="1"/>
  <c r="AC545" i="5"/>
  <c r="AD545" i="5" s="1"/>
  <c r="AB459" i="5"/>
  <c r="AB40" i="5"/>
  <c r="AC91" i="5"/>
  <c r="AS91" i="5" s="1"/>
  <c r="AB136" i="5"/>
  <c r="AC191" i="5"/>
  <c r="AE191" i="5" s="1"/>
  <c r="AA484" i="5"/>
  <c r="AA461" i="5"/>
  <c r="AA207" i="5"/>
  <c r="AC276" i="5"/>
  <c r="AD276" i="5" s="1"/>
  <c r="AA538" i="5"/>
  <c r="AB173" i="5"/>
  <c r="AB388" i="5"/>
  <c r="AB126" i="5"/>
  <c r="B112" i="2"/>
  <c r="B154" i="2" s="1"/>
  <c r="H40" i="1" s="1"/>
  <c r="AB9" i="5"/>
  <c r="AA9" i="5"/>
  <c r="AC9" i="5"/>
  <c r="AC118" i="5"/>
  <c r="AS118" i="5" s="1"/>
  <c r="AB219" i="5"/>
  <c r="AC212" i="5"/>
  <c r="AS212" i="5" s="1"/>
  <c r="AA503" i="5"/>
  <c r="AA549" i="5"/>
  <c r="AC531" i="5"/>
  <c r="AD531" i="5" s="1"/>
  <c r="AB350" i="5"/>
  <c r="AC487" i="5"/>
  <c r="AD487" i="5" s="1"/>
  <c r="AA422" i="5"/>
  <c r="AA482" i="5"/>
  <c r="AA468" i="5"/>
  <c r="AA479" i="5"/>
  <c r="AA518" i="5"/>
  <c r="AB530" i="5"/>
  <c r="AA515" i="5"/>
  <c r="AC256" i="5"/>
  <c r="AS256" i="5" s="1"/>
  <c r="AA531" i="5"/>
  <c r="AC557" i="5"/>
  <c r="AS557" i="5" s="1"/>
  <c r="AA364" i="5"/>
  <c r="AC372" i="5"/>
  <c r="AE372" i="5" s="1"/>
  <c r="AB479" i="5"/>
  <c r="AA192" i="5"/>
  <c r="AC242" i="5"/>
  <c r="AD242" i="5" s="1"/>
  <c r="AB507" i="5"/>
  <c r="AA75" i="5"/>
  <c r="AC130" i="5"/>
  <c r="AS130" i="5" s="1"/>
  <c r="AB557" i="5"/>
  <c r="AC554" i="5"/>
  <c r="AS554" i="5" s="1"/>
  <c r="AB216" i="5"/>
  <c r="AA35" i="5"/>
  <c r="AB482" i="5"/>
  <c r="AA250" i="5"/>
  <c r="AC364" i="5"/>
  <c r="AE364" i="5" s="1"/>
  <c r="AA57" i="5"/>
  <c r="AA372" i="5"/>
  <c r="AC389" i="5"/>
  <c r="AE389" i="5" s="1"/>
  <c r="AA212" i="5"/>
  <c r="AB285" i="5"/>
  <c r="AB389" i="5"/>
  <c r="AA285" i="5"/>
  <c r="AA257" i="5"/>
  <c r="AB528" i="5"/>
  <c r="AC507" i="5"/>
  <c r="AD507" i="5" s="1"/>
  <c r="AB75" i="5"/>
  <c r="AB130" i="5"/>
  <c r="AC51" i="5"/>
  <c r="AE51" i="5" s="1"/>
  <c r="AB554" i="5"/>
  <c r="AA216" i="5"/>
  <c r="AB398" i="5"/>
  <c r="B118" i="2"/>
  <c r="B99" i="2" s="1"/>
  <c r="B119" i="2" s="1"/>
  <c r="AB35" i="5"/>
  <c r="AC497" i="5"/>
  <c r="AE497" i="5" s="1"/>
  <c r="AC41" i="5"/>
  <c r="AD41" i="5" s="1"/>
  <c r="AC57" i="5"/>
  <c r="AD57" i="5" s="1"/>
  <c r="AC215" i="5"/>
  <c r="AS215" i="5" s="1"/>
  <c r="AB257" i="5"/>
  <c r="AA200" i="5"/>
  <c r="AE92" i="4"/>
  <c r="AE136" i="4"/>
  <c r="AE55" i="4"/>
  <c r="X151" i="4"/>
  <c r="AJ151" i="4" s="1"/>
  <c r="AE53" i="4"/>
  <c r="B115" i="2"/>
  <c r="B96" i="2" s="1"/>
  <c r="B116" i="2" s="1"/>
  <c r="X81" i="4"/>
  <c r="AJ81" i="4" s="1"/>
  <c r="AE87" i="4"/>
  <c r="X117" i="4"/>
  <c r="AJ117" i="4" s="1"/>
  <c r="X80" i="4"/>
  <c r="AJ80" i="4" s="1"/>
  <c r="X124" i="4"/>
  <c r="AJ124" i="4" s="1"/>
  <c r="X122" i="4"/>
  <c r="AJ122" i="4" s="1"/>
  <c r="AF85" i="4"/>
  <c r="AG85" i="4" s="1"/>
  <c r="AI85" i="4" s="1"/>
  <c r="AE50" i="4"/>
  <c r="AE13" i="4"/>
  <c r="X65" i="4"/>
  <c r="AJ65" i="4" s="1"/>
  <c r="X13" i="4"/>
  <c r="AJ13" i="4" s="1"/>
  <c r="AE36" i="4"/>
  <c r="X85" i="4"/>
  <c r="AJ85" i="4" s="1"/>
  <c r="AE120" i="4"/>
  <c r="X51" i="4"/>
  <c r="AJ51" i="4" s="1"/>
  <c r="AF17" i="4"/>
  <c r="AG17" i="4" s="1"/>
  <c r="AI17" i="4" s="1"/>
  <c r="AF139" i="4"/>
  <c r="AO139" i="4" s="1"/>
  <c r="AF81" i="4"/>
  <c r="AG81" i="4" s="1"/>
  <c r="AI81" i="4" s="1"/>
  <c r="AE97" i="4"/>
  <c r="X153" i="4"/>
  <c r="AJ153" i="4" s="1"/>
  <c r="X92" i="4"/>
  <c r="AJ92" i="4" s="1"/>
  <c r="AE117" i="4"/>
  <c r="AE17" i="4"/>
  <c r="AE33" i="4"/>
  <c r="X104" i="4"/>
  <c r="AK104" i="4" s="1"/>
  <c r="X138" i="4"/>
  <c r="AJ138" i="4" s="1"/>
  <c r="X55" i="4"/>
  <c r="AJ55" i="4" s="1"/>
  <c r="AE80" i="4"/>
  <c r="X97" i="4"/>
  <c r="AJ97" i="4" s="1"/>
  <c r="X120" i="4"/>
  <c r="AJ120" i="4" s="1"/>
  <c r="AE151" i="4"/>
  <c r="X136" i="4"/>
  <c r="AJ136" i="4" s="1"/>
  <c r="Z120" i="4"/>
  <c r="X17" i="4"/>
  <c r="AJ17" i="4" s="1"/>
  <c r="B76" i="2"/>
  <c r="AG151" i="4"/>
  <c r="AI151" i="4" s="1"/>
  <c r="AO151" i="4"/>
  <c r="AO78" i="4"/>
  <c r="AQ484" i="5"/>
  <c r="AR484" i="5"/>
  <c r="AQ500" i="5"/>
  <c r="AR500" i="5"/>
  <c r="AR347" i="5"/>
  <c r="AQ347" i="5"/>
  <c r="AQ341" i="5"/>
  <c r="AR341" i="5"/>
  <c r="AQ409" i="5"/>
  <c r="AR409" i="5"/>
  <c r="AR61" i="5"/>
  <c r="AQ61" i="5"/>
  <c r="B81" i="2"/>
  <c r="B82" i="2" s="1"/>
  <c r="H22" i="1" s="1"/>
  <c r="AR102" i="5"/>
  <c r="AQ102" i="5"/>
  <c r="AR120" i="5"/>
  <c r="AQ120" i="5"/>
  <c r="AQ53" i="5"/>
  <c r="AR53" i="5"/>
  <c r="AR515" i="5"/>
  <c r="AQ515" i="5"/>
  <c r="AQ293" i="5"/>
  <c r="AR293" i="5"/>
  <c r="AR559" i="5"/>
  <c r="AQ559" i="5"/>
  <c r="AE131" i="4"/>
  <c r="AR8" i="5"/>
  <c r="AQ8" i="5"/>
  <c r="AQ223" i="5"/>
  <c r="AR223" i="5"/>
  <c r="AQ200" i="5"/>
  <c r="AR200" i="5"/>
  <c r="AQ519" i="5"/>
  <c r="AR519" i="5"/>
  <c r="AQ106" i="5"/>
  <c r="AR106" i="5"/>
  <c r="AQ289" i="5"/>
  <c r="AR289" i="5"/>
  <c r="AR235" i="5"/>
  <c r="AQ235" i="5"/>
  <c r="AQ343" i="5"/>
  <c r="AR343" i="5"/>
  <c r="AR456" i="5"/>
  <c r="AQ456" i="5"/>
  <c r="AQ96" i="5"/>
  <c r="AR96" i="5"/>
  <c r="AE85" i="4"/>
  <c r="AQ203" i="5"/>
  <c r="AR203" i="5"/>
  <c r="AR553" i="5"/>
  <c r="AQ553" i="5"/>
  <c r="AR151" i="5"/>
  <c r="AQ151" i="5"/>
  <c r="AQ424" i="5"/>
  <c r="AR424" i="5"/>
  <c r="AQ464" i="5"/>
  <c r="AR464" i="5"/>
  <c r="AQ320" i="5"/>
  <c r="AR320" i="5"/>
  <c r="AQ504" i="5"/>
  <c r="AR504" i="5"/>
  <c r="AQ137" i="5"/>
  <c r="AR137" i="5"/>
  <c r="AQ393" i="5"/>
  <c r="AR393" i="5"/>
  <c r="AR391" i="5"/>
  <c r="AQ391" i="5"/>
  <c r="AR268" i="5"/>
  <c r="AQ268" i="5"/>
  <c r="AQ400" i="5"/>
  <c r="AR400" i="5"/>
  <c r="AF154" i="4"/>
  <c r="AE48" i="4"/>
  <c r="AR303" i="5"/>
  <c r="AQ303" i="5"/>
  <c r="AQ32" i="5"/>
  <c r="AR32" i="5"/>
  <c r="AR523" i="5"/>
  <c r="AQ523" i="5"/>
  <c r="AF13" i="4"/>
  <c r="AR242" i="5"/>
  <c r="AQ242" i="5"/>
  <c r="X48" i="4"/>
  <c r="AQ538" i="5"/>
  <c r="AR538" i="5"/>
  <c r="AQ505" i="5"/>
  <c r="AR505" i="5"/>
  <c r="AQ408" i="5"/>
  <c r="AR408" i="5"/>
  <c r="AQ468" i="5"/>
  <c r="AR468" i="5"/>
  <c r="AQ208" i="5"/>
  <c r="AR208" i="5"/>
  <c r="AR508" i="5"/>
  <c r="AQ508" i="5"/>
  <c r="AR532" i="5"/>
  <c r="AQ532" i="5"/>
  <c r="AR443" i="5"/>
  <c r="AQ443" i="5"/>
  <c r="AE153" i="4"/>
  <c r="AF33" i="4"/>
  <c r="AQ480" i="5"/>
  <c r="AR480" i="5"/>
  <c r="AR111" i="5"/>
  <c r="AQ111" i="5"/>
  <c r="AQ180" i="5"/>
  <c r="AR180" i="5"/>
  <c r="AR503" i="5"/>
  <c r="AQ503" i="5"/>
  <c r="AQ156" i="5"/>
  <c r="AR156" i="5"/>
  <c r="AR99" i="5"/>
  <c r="AQ99" i="5"/>
  <c r="AQ358" i="5"/>
  <c r="AR358" i="5"/>
  <c r="AQ439" i="5"/>
  <c r="AR439" i="5"/>
  <c r="AQ509" i="5"/>
  <c r="AR509" i="5"/>
  <c r="AQ230" i="5"/>
  <c r="AR230" i="5"/>
  <c r="AR115" i="5"/>
  <c r="AQ115" i="5"/>
  <c r="AQ256" i="5"/>
  <c r="AR256" i="5"/>
  <c r="AR546" i="5"/>
  <c r="AQ546" i="5"/>
  <c r="AQ207" i="5"/>
  <c r="AR207" i="5"/>
  <c r="AE90" i="4"/>
  <c r="AQ466" i="5"/>
  <c r="AR466" i="5"/>
  <c r="Y13" i="5"/>
  <c r="X13" i="5"/>
  <c r="AR265" i="5"/>
  <c r="AQ265" i="5"/>
  <c r="AR107" i="5"/>
  <c r="AQ107" i="5"/>
  <c r="AQ367" i="5"/>
  <c r="AR367" i="5"/>
  <c r="AR286" i="5"/>
  <c r="AQ286" i="5"/>
  <c r="AQ228" i="5"/>
  <c r="AR228" i="5"/>
  <c r="AR266" i="5"/>
  <c r="AQ266" i="5"/>
  <c r="AR248" i="5"/>
  <c r="AQ248" i="5"/>
  <c r="AR168" i="5"/>
  <c r="AQ168" i="5"/>
  <c r="AR427" i="5"/>
  <c r="AQ427" i="5"/>
  <c r="AG36" i="4"/>
  <c r="AI36" i="4" s="1"/>
  <c r="AO36" i="4"/>
  <c r="AQ399" i="5"/>
  <c r="AR399" i="5"/>
  <c r="AR164" i="5"/>
  <c r="AQ164" i="5"/>
  <c r="AQ329" i="5"/>
  <c r="AR329" i="5"/>
  <c r="AR63" i="5"/>
  <c r="AQ63" i="5"/>
  <c r="AR123" i="5"/>
  <c r="AQ123" i="5"/>
  <c r="AQ534" i="5"/>
  <c r="AR534" i="5"/>
  <c r="AR376" i="5"/>
  <c r="AQ376" i="5"/>
  <c r="AR28" i="5"/>
  <c r="AQ28" i="5"/>
  <c r="AQ526" i="5"/>
  <c r="AR526" i="5"/>
  <c r="AQ472" i="5"/>
  <c r="AR472" i="5"/>
  <c r="AR275" i="5"/>
  <c r="AQ275" i="5"/>
  <c r="AR198" i="5"/>
  <c r="AQ198" i="5"/>
  <c r="AQ482" i="5"/>
  <c r="AR482" i="5"/>
  <c r="AQ75" i="5"/>
  <c r="AR75" i="5"/>
  <c r="AQ170" i="5"/>
  <c r="AR170" i="5"/>
  <c r="AQ139" i="5"/>
  <c r="AR139" i="5"/>
  <c r="AQ529" i="5"/>
  <c r="AR529" i="5"/>
  <c r="AE115" i="4"/>
  <c r="AQ403" i="5"/>
  <c r="AR403" i="5"/>
  <c r="AR389" i="5"/>
  <c r="AQ389" i="5"/>
  <c r="AR352" i="5"/>
  <c r="AQ352" i="5"/>
  <c r="AR555" i="5"/>
  <c r="AQ555" i="5"/>
  <c r="AR366" i="5"/>
  <c r="AQ366" i="5"/>
  <c r="AQ458" i="5"/>
  <c r="AR458" i="5"/>
  <c r="AQ297" i="5"/>
  <c r="AR297" i="5"/>
  <c r="AQ84" i="5"/>
  <c r="AR84" i="5"/>
  <c r="AQ249" i="5"/>
  <c r="AR249" i="5"/>
  <c r="AR27" i="5"/>
  <c r="AQ27" i="5"/>
  <c r="AQ271" i="5"/>
  <c r="AR271" i="5"/>
  <c r="X16" i="4"/>
  <c r="AJ16" i="4" s="1"/>
  <c r="AQ294" i="5"/>
  <c r="AR294" i="5"/>
  <c r="AE81" i="4"/>
  <c r="AR149" i="5"/>
  <c r="AQ149" i="5"/>
  <c r="AR197" i="5"/>
  <c r="AQ197" i="5"/>
  <c r="AR52" i="5"/>
  <c r="AQ52" i="5"/>
  <c r="AQ373" i="5"/>
  <c r="AR373" i="5"/>
  <c r="AQ469" i="5"/>
  <c r="AR469" i="5"/>
  <c r="AE29" i="4"/>
  <c r="AR253" i="5"/>
  <c r="AQ253" i="5"/>
  <c r="AR100" i="5"/>
  <c r="AQ100" i="5"/>
  <c r="AL13" i="5"/>
  <c r="AK13" i="5"/>
  <c r="AQ76" i="5"/>
  <c r="AR76" i="5"/>
  <c r="AF153" i="4"/>
  <c r="AR224" i="5"/>
  <c r="AQ224" i="5"/>
  <c r="AQ55" i="5"/>
  <c r="AR55" i="5"/>
  <c r="AQ336" i="5"/>
  <c r="AR336" i="5"/>
  <c r="AR288" i="5"/>
  <c r="AQ288" i="5"/>
  <c r="AE107" i="4"/>
  <c r="AR85" i="5"/>
  <c r="AQ85" i="5"/>
  <c r="AR501" i="5"/>
  <c r="AQ501" i="5"/>
  <c r="X53" i="4"/>
  <c r="AQ251" i="5"/>
  <c r="AR251" i="5"/>
  <c r="AQ236" i="5"/>
  <c r="AR236" i="5"/>
  <c r="AR243" i="5"/>
  <c r="AQ243" i="5"/>
  <c r="AR471" i="5"/>
  <c r="AQ471" i="5"/>
  <c r="AQ435" i="5"/>
  <c r="AR435" i="5"/>
  <c r="AQ213" i="5"/>
  <c r="AR213" i="5"/>
  <c r="AQ513" i="5"/>
  <c r="AR513" i="5"/>
  <c r="AR334" i="5"/>
  <c r="AQ334" i="5"/>
  <c r="AQ395" i="5"/>
  <c r="AR395" i="5"/>
  <c r="AO13" i="5"/>
  <c r="AN13" i="5"/>
  <c r="AQ323" i="5"/>
  <c r="AR323" i="5"/>
  <c r="AR292" i="5"/>
  <c r="AQ292" i="5"/>
  <c r="AQ499" i="5"/>
  <c r="AR499" i="5"/>
  <c r="AQ33" i="5"/>
  <c r="AR33" i="5"/>
  <c r="AR331" i="5"/>
  <c r="AQ331" i="5"/>
  <c r="AQ537" i="5"/>
  <c r="AR537" i="5"/>
  <c r="AQ91" i="5"/>
  <c r="AR91" i="5"/>
  <c r="AQ161" i="5"/>
  <c r="AR161" i="5"/>
  <c r="AQ163" i="5"/>
  <c r="AR163" i="5"/>
  <c r="AQ272" i="5"/>
  <c r="AR272" i="5"/>
  <c r="AR31" i="5"/>
  <c r="AQ31" i="5"/>
  <c r="AQ349" i="5"/>
  <c r="AR349" i="5"/>
  <c r="AQ206" i="5"/>
  <c r="AR206" i="5"/>
  <c r="AR425" i="5"/>
  <c r="AQ425" i="5"/>
  <c r="AQ195" i="5"/>
  <c r="AR195" i="5"/>
  <c r="AQ29" i="5"/>
  <c r="AR29" i="5"/>
  <c r="AR108" i="5"/>
  <c r="AQ108" i="5"/>
  <c r="AR41" i="5"/>
  <c r="AQ41" i="5"/>
  <c r="AF56" i="4"/>
  <c r="X110" i="4"/>
  <c r="X121" i="4"/>
  <c r="AA121" i="4" s="1"/>
  <c r="AC121" i="4" s="1"/>
  <c r="AD121" i="4" s="1"/>
  <c r="X115" i="4"/>
  <c r="AF107" i="4"/>
  <c r="AR449" i="5"/>
  <c r="AQ449" i="5"/>
  <c r="AQ473" i="5"/>
  <c r="AR473" i="5"/>
  <c r="AQ136" i="5"/>
  <c r="AR136" i="5"/>
  <c r="AQ441" i="5"/>
  <c r="AR441" i="5"/>
  <c r="AQ361" i="5"/>
  <c r="AR361" i="5"/>
  <c r="AQ430" i="5"/>
  <c r="AR430" i="5"/>
  <c r="AR113" i="5"/>
  <c r="AQ113" i="5"/>
  <c r="AR240" i="5"/>
  <c r="AQ240" i="5"/>
  <c r="AQ285" i="5"/>
  <c r="AR285" i="5"/>
  <c r="AQ263" i="5"/>
  <c r="AR263" i="5"/>
  <c r="AR154" i="5"/>
  <c r="AQ154" i="5"/>
  <c r="AQ124" i="5"/>
  <c r="AR124" i="5"/>
  <c r="AR40" i="5"/>
  <c r="AQ40" i="5"/>
  <c r="Z131" i="4"/>
  <c r="AF131" i="4" s="1"/>
  <c r="AR363" i="5"/>
  <c r="AQ363" i="5"/>
  <c r="AB13" i="5"/>
  <c r="AA13" i="5"/>
  <c r="AQ549" i="5"/>
  <c r="AR549" i="5"/>
  <c r="AE104" i="4"/>
  <c r="AQ446" i="5"/>
  <c r="AR446" i="5"/>
  <c r="AR543" i="5"/>
  <c r="AQ543" i="5"/>
  <c r="AF138" i="4"/>
  <c r="AE124" i="4"/>
  <c r="AQ414" i="5"/>
  <c r="AR414" i="5"/>
  <c r="AQ407" i="5"/>
  <c r="AR407" i="5"/>
  <c r="AR215" i="5"/>
  <c r="AQ215" i="5"/>
  <c r="AE154" i="4"/>
  <c r="AQ431" i="5"/>
  <c r="AR431" i="5"/>
  <c r="AR7" i="5"/>
  <c r="AQ7" i="5"/>
  <c r="Z90" i="4"/>
  <c r="AF90" i="4" s="1"/>
  <c r="AR369" i="5"/>
  <c r="AQ369" i="5"/>
  <c r="AR177" i="5"/>
  <c r="AQ177" i="5"/>
  <c r="AR46" i="5"/>
  <c r="AQ46" i="5"/>
  <c r="AR80" i="5"/>
  <c r="AQ80" i="5"/>
  <c r="AQ362" i="5"/>
  <c r="AR362" i="5"/>
  <c r="AE65" i="4"/>
  <c r="AR411" i="5"/>
  <c r="AQ411" i="5"/>
  <c r="AQ97" i="5"/>
  <c r="AR97" i="5"/>
  <c r="AQ90" i="5"/>
  <c r="AR90" i="5"/>
  <c r="AQ19" i="5"/>
  <c r="AR19" i="5"/>
  <c r="AR308" i="5"/>
  <c r="AQ308" i="5"/>
  <c r="AQ188" i="5"/>
  <c r="AR188" i="5"/>
  <c r="AE110" i="4"/>
  <c r="AR121" i="5"/>
  <c r="AQ121" i="5"/>
  <c r="AQ241" i="5"/>
  <c r="AR241" i="5"/>
  <c r="X42" i="4"/>
  <c r="AQ311" i="5"/>
  <c r="AR311" i="5"/>
  <c r="AR193" i="5"/>
  <c r="AQ193" i="5"/>
  <c r="AQ445" i="5"/>
  <c r="AR445" i="5"/>
  <c r="S13" i="5"/>
  <c r="R13" i="5"/>
  <c r="AQ269" i="5"/>
  <c r="AR269" i="5"/>
  <c r="AQ209" i="5"/>
  <c r="AR209" i="5"/>
  <c r="AQ433" i="5"/>
  <c r="AR433" i="5"/>
  <c r="AQ412" i="5"/>
  <c r="AR412" i="5"/>
  <c r="Z48" i="4"/>
  <c r="AF48" i="4" s="1"/>
  <c r="AQ322" i="5"/>
  <c r="AR322" i="5"/>
  <c r="AR514" i="5"/>
  <c r="AQ514" i="5"/>
  <c r="AE78" i="4"/>
  <c r="AR152" i="5"/>
  <c r="AQ152" i="5"/>
  <c r="AQ95" i="5"/>
  <c r="AR95" i="5"/>
  <c r="AR479" i="5"/>
  <c r="AQ479" i="5"/>
  <c r="AQ502" i="5"/>
  <c r="AR502" i="5"/>
  <c r="AQ518" i="5"/>
  <c r="AR518" i="5"/>
  <c r="AQ167" i="5"/>
  <c r="AR167" i="5"/>
  <c r="AE42" i="4"/>
  <c r="AQ442" i="5"/>
  <c r="AR442" i="5"/>
  <c r="AQ59" i="5"/>
  <c r="AR59" i="5"/>
  <c r="AR277" i="5"/>
  <c r="AQ277" i="5"/>
  <c r="AQ221" i="5"/>
  <c r="AR221" i="5"/>
  <c r="AQ310" i="5"/>
  <c r="AR310" i="5"/>
  <c r="AQ204" i="5"/>
  <c r="AR204" i="5"/>
  <c r="AR375" i="5"/>
  <c r="AQ375" i="5"/>
  <c r="AR507" i="5"/>
  <c r="AQ507" i="5"/>
  <c r="AQ191" i="5"/>
  <c r="AR191" i="5"/>
  <c r="AR298" i="5"/>
  <c r="AQ298" i="5"/>
  <c r="AQ357" i="5"/>
  <c r="AR357" i="5"/>
  <c r="AR309" i="5"/>
  <c r="AQ309" i="5"/>
  <c r="AQ478" i="5"/>
  <c r="AR478" i="5"/>
  <c r="AR89" i="5"/>
  <c r="AQ89" i="5"/>
  <c r="AR174" i="5"/>
  <c r="AQ174" i="5"/>
  <c r="AE56" i="4"/>
  <c r="AR385" i="5"/>
  <c r="AQ385" i="5"/>
  <c r="AR342" i="5"/>
  <c r="AQ342" i="5"/>
  <c r="AR186" i="5"/>
  <c r="AQ186" i="5"/>
  <c r="AQ282" i="5"/>
  <c r="AR282" i="5"/>
  <c r="AR57" i="5"/>
  <c r="AQ57" i="5"/>
  <c r="AQ440" i="5"/>
  <c r="AR440" i="5"/>
  <c r="AQ264" i="5"/>
  <c r="AR264" i="5"/>
  <c r="AQ467" i="5"/>
  <c r="AR467" i="5"/>
  <c r="AR162" i="5"/>
  <c r="AQ162" i="5"/>
  <c r="AQ419" i="5"/>
  <c r="AR419" i="5"/>
  <c r="AF121" i="4"/>
  <c r="AE16" i="4"/>
  <c r="AR295" i="5"/>
  <c r="AQ295" i="5"/>
  <c r="X139" i="4"/>
  <c r="AA139" i="4" s="1"/>
  <c r="AC139" i="4" s="1"/>
  <c r="AD139" i="4" s="1"/>
  <c r="X107" i="4"/>
  <c r="AA107" i="4" s="1"/>
  <c r="AC107" i="4" s="1"/>
  <c r="AD107" i="4" s="1"/>
  <c r="X29" i="4"/>
  <c r="AR116" i="5"/>
  <c r="AQ116" i="5"/>
  <c r="AR145" i="5"/>
  <c r="AQ145" i="5"/>
  <c r="AQ453" i="5"/>
  <c r="AR453" i="5"/>
  <c r="AQ220" i="5"/>
  <c r="AR220" i="5"/>
  <c r="AQ279" i="5"/>
  <c r="AR279" i="5"/>
  <c r="AR128" i="5"/>
  <c r="AQ128" i="5"/>
  <c r="AQ415" i="5"/>
  <c r="AR415" i="5"/>
  <c r="X87" i="4"/>
  <c r="AQ328" i="5"/>
  <c r="AR328" i="5"/>
  <c r="AQ160" i="5"/>
  <c r="AR160" i="5"/>
  <c r="AH13" i="5"/>
  <c r="AP13" i="5"/>
  <c r="AI13" i="5"/>
  <c r="AQ475" i="5"/>
  <c r="AR475" i="5"/>
  <c r="AQ423" i="5"/>
  <c r="AR423" i="5"/>
  <c r="X154" i="4"/>
  <c r="AA154" i="4" s="1"/>
  <c r="AC154" i="4" s="1"/>
  <c r="AD154" i="4" s="1"/>
  <c r="X149" i="4"/>
  <c r="AQ35" i="5"/>
  <c r="AR35" i="5"/>
  <c r="AR155" i="5"/>
  <c r="AQ155" i="5"/>
  <c r="AQ351" i="5"/>
  <c r="AR351" i="5"/>
  <c r="AR114" i="5"/>
  <c r="AQ114" i="5"/>
  <c r="AR179" i="5"/>
  <c r="AQ179" i="5"/>
  <c r="AQ344" i="5"/>
  <c r="AR344" i="5"/>
  <c r="X78" i="4"/>
  <c r="AA78" i="4" s="1"/>
  <c r="AC78" i="4" s="1"/>
  <c r="AD78" i="4" s="1"/>
  <c r="X50" i="4"/>
  <c r="AE149" i="4"/>
  <c r="AQ459" i="5"/>
  <c r="AR459" i="5"/>
  <c r="AR172" i="5"/>
  <c r="AQ172" i="5"/>
  <c r="AR315" i="5"/>
  <c r="AQ315" i="5"/>
  <c r="AR196" i="5"/>
  <c r="AQ196" i="5"/>
  <c r="AQ325" i="5"/>
  <c r="AR325" i="5"/>
  <c r="AQ452" i="5"/>
  <c r="AR452" i="5"/>
  <c r="AR353" i="5"/>
  <c r="AQ353" i="5"/>
  <c r="AE139" i="4"/>
  <c r="AR68" i="5"/>
  <c r="AQ68" i="5"/>
  <c r="AQ62" i="5"/>
  <c r="AR62" i="5"/>
  <c r="X33" i="4"/>
  <c r="AA33" i="4" s="1"/>
  <c r="AC33" i="4" s="1"/>
  <c r="AD33" i="4" s="1"/>
  <c r="AQ299" i="5"/>
  <c r="AR299" i="5"/>
  <c r="AQ171" i="5"/>
  <c r="AR171" i="5"/>
  <c r="AR246" i="5"/>
  <c r="AQ246" i="5"/>
  <c r="AQ183" i="5"/>
  <c r="AR183" i="5"/>
  <c r="AR125" i="5"/>
  <c r="AQ125" i="5"/>
  <c r="AQ50" i="5"/>
  <c r="AR50" i="5"/>
  <c r="AQ67" i="5"/>
  <c r="AR67" i="5"/>
  <c r="AQ74" i="5"/>
  <c r="AR74" i="5"/>
  <c r="AQ132" i="5"/>
  <c r="AR132" i="5"/>
  <c r="AQ455" i="5"/>
  <c r="AR455" i="5"/>
  <c r="AR83" i="5"/>
  <c r="AQ83" i="5"/>
  <c r="AQ316" i="5"/>
  <c r="AR316" i="5"/>
  <c r="AQ490" i="5"/>
  <c r="AR490" i="5"/>
  <c r="AE121" i="4"/>
  <c r="AR421" i="5"/>
  <c r="AQ421" i="5"/>
  <c r="AQ231" i="5"/>
  <c r="AR231" i="5"/>
  <c r="AR317" i="5"/>
  <c r="AQ317" i="5"/>
  <c r="AR319" i="5"/>
  <c r="AQ319" i="5"/>
  <c r="X56" i="4"/>
  <c r="AA56" i="4" s="1"/>
  <c r="AC56" i="4" s="1"/>
  <c r="AD56" i="4" s="1"/>
  <c r="AQ280" i="5"/>
  <c r="AR280" i="5"/>
  <c r="AF104" i="4"/>
  <c r="AQ36" i="5"/>
  <c r="AR36" i="5"/>
  <c r="AR550" i="5"/>
  <c r="AQ550" i="5"/>
  <c r="AQ401" i="5"/>
  <c r="AR401" i="5"/>
  <c r="AR150" i="5"/>
  <c r="AQ150" i="5"/>
  <c r="AQ122" i="5"/>
  <c r="AR122" i="5"/>
  <c r="AQ339" i="5"/>
  <c r="AR339" i="5"/>
  <c r="AQ254" i="5"/>
  <c r="AR254" i="5"/>
  <c r="AR547" i="5"/>
  <c r="AQ547" i="5"/>
  <c r="AR413" i="5"/>
  <c r="AQ413" i="5"/>
  <c r="AQ511" i="5"/>
  <c r="AR511" i="5"/>
  <c r="AF124" i="4"/>
  <c r="X131" i="4"/>
  <c r="AQ481" i="5"/>
  <c r="AR481" i="5"/>
  <c r="U13" i="5"/>
  <c r="V13" i="5"/>
  <c r="AC13" i="5"/>
  <c r="AR247" i="5"/>
  <c r="AQ247" i="5"/>
  <c r="AR86" i="5"/>
  <c r="AQ86" i="5"/>
  <c r="AR98" i="5"/>
  <c r="AQ98" i="5"/>
  <c r="AQ201" i="5"/>
  <c r="AR201" i="5"/>
  <c r="AE138" i="4"/>
  <c r="AF65" i="4"/>
  <c r="H34" i="1"/>
  <c r="B145" i="2"/>
  <c r="H35" i="1" s="1"/>
  <c r="AQ60" i="5"/>
  <c r="AR60" i="5"/>
  <c r="AQ429" i="5"/>
  <c r="AR429" i="5"/>
  <c r="AR377" i="5"/>
  <c r="AQ377" i="5"/>
  <c r="AQ554" i="5"/>
  <c r="AR554" i="5"/>
  <c r="X36" i="4"/>
  <c r="AA36" i="4" s="1"/>
  <c r="AC36" i="4" s="1"/>
  <c r="AD36" i="4" s="1"/>
  <c r="AQ489" i="5"/>
  <c r="AR489" i="5"/>
  <c r="AQ541" i="5"/>
  <c r="AR541" i="5"/>
  <c r="AR88" i="5"/>
  <c r="AQ88" i="5"/>
  <c r="AQ305" i="5"/>
  <c r="AR305" i="5"/>
  <c r="AF92" i="4"/>
  <c r="AR44" i="5"/>
  <c r="AQ44" i="5"/>
  <c r="AR39" i="5"/>
  <c r="AQ39" i="5"/>
  <c r="AQ73" i="5"/>
  <c r="AR73" i="5"/>
  <c r="AQ374" i="5"/>
  <c r="AR374" i="5"/>
  <c r="AQ416" i="5"/>
  <c r="AR416" i="5"/>
  <c r="X90" i="4"/>
  <c r="X43" i="4"/>
  <c r="AQ388" i="5"/>
  <c r="AR388" i="5"/>
  <c r="AR185" i="5"/>
  <c r="AQ185" i="5"/>
  <c r="AR49" i="5"/>
  <c r="AQ49" i="5"/>
  <c r="AR71" i="5"/>
  <c r="AQ71" i="5"/>
  <c r="Y54" i="4" l="1"/>
  <c r="Z54" i="4" s="1"/>
  <c r="X44" i="4"/>
  <c r="AK44" i="4" s="1"/>
  <c r="AE44" i="4"/>
  <c r="AR10" i="5"/>
  <c r="AG82" i="4"/>
  <c r="AI82" i="4" s="1"/>
  <c r="AE82" i="4"/>
  <c r="X82" i="4"/>
  <c r="AJ82" i="4" s="1"/>
  <c r="AG136" i="4"/>
  <c r="AI136" i="4" s="1"/>
  <c r="AO136" i="4"/>
  <c r="AG27" i="4"/>
  <c r="AI27" i="4" s="1"/>
  <c r="AK70" i="4"/>
  <c r="X99" i="4"/>
  <c r="AJ99" i="4" s="1"/>
  <c r="AE99" i="4"/>
  <c r="X103" i="4"/>
  <c r="AJ103" i="4" s="1"/>
  <c r="AE103" i="4"/>
  <c r="AA110" i="4"/>
  <c r="AC110" i="4" s="1"/>
  <c r="AD110" i="4" s="1"/>
  <c r="AR12" i="5"/>
  <c r="X28" i="4"/>
  <c r="AA28" i="4" s="1"/>
  <c r="AC28" i="4" s="1"/>
  <c r="AD28" i="4" s="1"/>
  <c r="X27" i="4"/>
  <c r="AJ27" i="4" s="1"/>
  <c r="AE27" i="4"/>
  <c r="AE54" i="4"/>
  <c r="AE28" i="4"/>
  <c r="AF88" i="4"/>
  <c r="AO88" i="4" s="1"/>
  <c r="Y150" i="4"/>
  <c r="Z150" i="4" s="1"/>
  <c r="AA150" i="4" s="1"/>
  <c r="AC150" i="4" s="1"/>
  <c r="AD150" i="4" s="1"/>
  <c r="AE150" i="4"/>
  <c r="AE118" i="4"/>
  <c r="X88" i="4"/>
  <c r="AJ88" i="4" s="1"/>
  <c r="Y38" i="4"/>
  <c r="Z38" i="4" s="1"/>
  <c r="AF38" i="4" s="1"/>
  <c r="X38" i="4"/>
  <c r="AJ38" i="4" s="1"/>
  <c r="AE88" i="4"/>
  <c r="Y64" i="4"/>
  <c r="Z64" i="4" s="1"/>
  <c r="AF64" i="4" s="1"/>
  <c r="AF118" i="4"/>
  <c r="AG118" i="4" s="1"/>
  <c r="AI118" i="4" s="1"/>
  <c r="AE64" i="4"/>
  <c r="X112" i="4"/>
  <c r="AA112" i="4" s="1"/>
  <c r="AC112" i="4" s="1"/>
  <c r="AD112" i="4" s="1"/>
  <c r="X111" i="4"/>
  <c r="AJ111" i="4" s="1"/>
  <c r="AE111" i="4"/>
  <c r="X118" i="4"/>
  <c r="AA118" i="4" s="1"/>
  <c r="AC118" i="4" s="1"/>
  <c r="AD118" i="4" s="1"/>
  <c r="AE113" i="4"/>
  <c r="X113" i="4"/>
  <c r="AJ113" i="4" s="1"/>
  <c r="AE147" i="4"/>
  <c r="X147" i="4"/>
  <c r="AA147" i="4" s="1"/>
  <c r="AC147" i="4" s="1"/>
  <c r="AD147" i="4" s="1"/>
  <c r="AE86" i="4"/>
  <c r="X86" i="4"/>
  <c r="AJ86" i="4" s="1"/>
  <c r="AE25" i="4"/>
  <c r="AO25" i="4"/>
  <c r="AE156" i="4"/>
  <c r="X156" i="4"/>
  <c r="AA156" i="4" s="1"/>
  <c r="AC156" i="4" s="1"/>
  <c r="AD156" i="4" s="1"/>
  <c r="AF156" i="4"/>
  <c r="AG156" i="4" s="1"/>
  <c r="AI156" i="4" s="1"/>
  <c r="X143" i="4"/>
  <c r="AJ143" i="4" s="1"/>
  <c r="AF143" i="4"/>
  <c r="AO143" i="4" s="1"/>
  <c r="AE143" i="4"/>
  <c r="X74" i="4"/>
  <c r="AJ74" i="4" s="1"/>
  <c r="AG112" i="4"/>
  <c r="AI112" i="4" s="1"/>
  <c r="AE74" i="4"/>
  <c r="AE112" i="4"/>
  <c r="AE114" i="4"/>
  <c r="AE119" i="4"/>
  <c r="X119" i="4"/>
  <c r="AA119" i="4" s="1"/>
  <c r="AC119" i="4" s="1"/>
  <c r="AD119" i="4" s="1"/>
  <c r="AG71" i="4"/>
  <c r="AI71" i="4" s="1"/>
  <c r="AF119" i="4"/>
  <c r="AG119" i="4" s="1"/>
  <c r="AI119" i="4" s="1"/>
  <c r="AE69" i="4"/>
  <c r="X69" i="4"/>
  <c r="AJ69" i="4" s="1"/>
  <c r="X114" i="4"/>
  <c r="AJ114" i="4" s="1"/>
  <c r="X68" i="4"/>
  <c r="AJ68" i="4" s="1"/>
  <c r="AE68" i="4"/>
  <c r="AA29" i="4"/>
  <c r="AC29" i="4" s="1"/>
  <c r="AD29" i="4" s="1"/>
  <c r="AG9" i="4"/>
  <c r="AI9" i="4" s="1"/>
  <c r="AG53" i="4"/>
  <c r="AI53" i="4" s="1"/>
  <c r="AA53" i="4"/>
  <c r="AC53" i="4" s="1"/>
  <c r="AD53" i="4" s="1"/>
  <c r="AO19" i="4"/>
  <c r="X25" i="4"/>
  <c r="AK25" i="4" s="1"/>
  <c r="AA87" i="4"/>
  <c r="AC87" i="4" s="1"/>
  <c r="AD87" i="4" s="1"/>
  <c r="AE89" i="4"/>
  <c r="X89" i="4"/>
  <c r="AJ89" i="4" s="1"/>
  <c r="AE75" i="4"/>
  <c r="X75" i="4"/>
  <c r="AJ75" i="4" s="1"/>
  <c r="AA50" i="4"/>
  <c r="AC50" i="4" s="1"/>
  <c r="AD50" i="4" s="1"/>
  <c r="AG31" i="4"/>
  <c r="AI31" i="4" s="1"/>
  <c r="AE31" i="4"/>
  <c r="X31" i="4"/>
  <c r="AA31" i="4" s="1"/>
  <c r="AC31" i="4" s="1"/>
  <c r="AD31" i="4" s="1"/>
  <c r="AG74" i="4"/>
  <c r="AI74" i="4" s="1"/>
  <c r="AO74" i="4"/>
  <c r="AE60" i="4"/>
  <c r="AE32" i="4"/>
  <c r="AE95" i="4"/>
  <c r="X32" i="4"/>
  <c r="AA32" i="4" s="1"/>
  <c r="AC32" i="4" s="1"/>
  <c r="AD32" i="4" s="1"/>
  <c r="X60" i="4"/>
  <c r="AJ60" i="4" s="1"/>
  <c r="X19" i="4"/>
  <c r="AJ19" i="4" s="1"/>
  <c r="AE19" i="4"/>
  <c r="X95" i="4"/>
  <c r="AJ95" i="4" s="1"/>
  <c r="X106" i="4"/>
  <c r="AA106" i="4" s="1"/>
  <c r="AC106" i="4" s="1"/>
  <c r="AD106" i="4" s="1"/>
  <c r="AO102" i="4"/>
  <c r="AE106" i="4"/>
  <c r="AO106" i="4"/>
  <c r="X146" i="4"/>
  <c r="AA146" i="4" s="1"/>
  <c r="AC146" i="4" s="1"/>
  <c r="AD146" i="4" s="1"/>
  <c r="AO41" i="4"/>
  <c r="AE49" i="4"/>
  <c r="AE41" i="4"/>
  <c r="AO98" i="4"/>
  <c r="X41" i="4"/>
  <c r="AK41" i="4" s="1"/>
  <c r="AE146" i="4"/>
  <c r="AE9" i="4"/>
  <c r="X9" i="4"/>
  <c r="AJ9" i="4" s="1"/>
  <c r="Y100" i="4"/>
  <c r="Z100" i="4" s="1"/>
  <c r="AF100" i="4" s="1"/>
  <c r="AE100" i="4"/>
  <c r="AE522" i="5"/>
  <c r="X47" i="4"/>
  <c r="AJ47" i="4" s="1"/>
  <c r="AS522" i="5"/>
  <c r="AU522" i="5" s="1"/>
  <c r="AE47" i="4"/>
  <c r="AO30" i="4"/>
  <c r="X30" i="4"/>
  <c r="AJ30" i="4" s="1"/>
  <c r="AE459" i="5"/>
  <c r="AD459" i="5"/>
  <c r="AD265" i="5"/>
  <c r="AK98" i="4"/>
  <c r="X49" i="4"/>
  <c r="AA49" i="4" s="1"/>
  <c r="AC49" i="4" s="1"/>
  <c r="AD49" i="4" s="1"/>
  <c r="AE11" i="4"/>
  <c r="AE91" i="4"/>
  <c r="X11" i="4"/>
  <c r="AJ11" i="4" s="1"/>
  <c r="AA98" i="4"/>
  <c r="AC98" i="4" s="1"/>
  <c r="AD98" i="4" s="1"/>
  <c r="Y76" i="4"/>
  <c r="Z76" i="4" s="1"/>
  <c r="AF76" i="4" s="1"/>
  <c r="AE30" i="4"/>
  <c r="AE76" i="4"/>
  <c r="Y91" i="4"/>
  <c r="Z91" i="4" s="1"/>
  <c r="AA91" i="4" s="1"/>
  <c r="AC91" i="4" s="1"/>
  <c r="AD91" i="4" s="1"/>
  <c r="AG89" i="4"/>
  <c r="AI89" i="4" s="1"/>
  <c r="AE206" i="5"/>
  <c r="X123" i="4"/>
  <c r="AJ123" i="4" s="1"/>
  <c r="AE123" i="4"/>
  <c r="X127" i="4"/>
  <c r="AJ127" i="4" s="1"/>
  <c r="AD523" i="5"/>
  <c r="Y127" i="4"/>
  <c r="Z127" i="4" s="1"/>
  <c r="AF127" i="4" s="1"/>
  <c r="Y35" i="4"/>
  <c r="Z35" i="4" s="1"/>
  <c r="AF35" i="4" s="1"/>
  <c r="AE35" i="4"/>
  <c r="AG87" i="4"/>
  <c r="AI87" i="4" s="1"/>
  <c r="AS525" i="5"/>
  <c r="AT525" i="5" s="1"/>
  <c r="AS264" i="5"/>
  <c r="AU264" i="5" s="1"/>
  <c r="X63" i="4"/>
  <c r="AJ63" i="4" s="1"/>
  <c r="Y63" i="4"/>
  <c r="Z63" i="4" s="1"/>
  <c r="AF63" i="4" s="1"/>
  <c r="AD371" i="5"/>
  <c r="AS371" i="5"/>
  <c r="AU371" i="5" s="1"/>
  <c r="AD221" i="5"/>
  <c r="AE221" i="5"/>
  <c r="AE512" i="5"/>
  <c r="AD512" i="5"/>
  <c r="Y7" i="4"/>
  <c r="Z7" i="4" s="1"/>
  <c r="X7" i="4"/>
  <c r="AJ7" i="4" s="1"/>
  <c r="AD206" i="5"/>
  <c r="X18" i="4"/>
  <c r="AJ18" i="4" s="1"/>
  <c r="AE18" i="4"/>
  <c r="AG18" i="4"/>
  <c r="AI18" i="4" s="1"/>
  <c r="AO18" i="4"/>
  <c r="AS523" i="5"/>
  <c r="AU523" i="5" s="1"/>
  <c r="AD80" i="5"/>
  <c r="AD525" i="5"/>
  <c r="AE80" i="5"/>
  <c r="AD105" i="5"/>
  <c r="AE546" i="5"/>
  <c r="AS546" i="5"/>
  <c r="AT546" i="5" s="1"/>
  <c r="AD537" i="5"/>
  <c r="AS379" i="5"/>
  <c r="AU379" i="5" s="1"/>
  <c r="AS537" i="5"/>
  <c r="AT537" i="5" s="1"/>
  <c r="AD379" i="5"/>
  <c r="AE117" i="5"/>
  <c r="AE234" i="5"/>
  <c r="AS234" i="5"/>
  <c r="AU234" i="5" s="1"/>
  <c r="AD392" i="5"/>
  <c r="AS446" i="5"/>
  <c r="AU446" i="5" s="1"/>
  <c r="AD26" i="5"/>
  <c r="AD121" i="5"/>
  <c r="AD254" i="5"/>
  <c r="AD160" i="5"/>
  <c r="AE121" i="5"/>
  <c r="AE446" i="5"/>
  <c r="AE392" i="5"/>
  <c r="AE160" i="5"/>
  <c r="AS376" i="5"/>
  <c r="AT376" i="5" s="1"/>
  <c r="AD429" i="5"/>
  <c r="AE432" i="5"/>
  <c r="AE429" i="5"/>
  <c r="AD432" i="5"/>
  <c r="AE426" i="5"/>
  <c r="AS23" i="5"/>
  <c r="AT23" i="5" s="1"/>
  <c r="AS426" i="5"/>
  <c r="AT426" i="5" s="1"/>
  <c r="Y37" i="4"/>
  <c r="Z37" i="4" s="1"/>
  <c r="AA37" i="4" s="1"/>
  <c r="AC37" i="4" s="1"/>
  <c r="AD37" i="4" s="1"/>
  <c r="AE23" i="5"/>
  <c r="AE534" i="5"/>
  <c r="AS534" i="5"/>
  <c r="AT534" i="5" s="1"/>
  <c r="AS530" i="5"/>
  <c r="AU530" i="5" s="1"/>
  <c r="AE530" i="5"/>
  <c r="X145" i="4"/>
  <c r="AJ145" i="4" s="1"/>
  <c r="AE145" i="4"/>
  <c r="AE376" i="5"/>
  <c r="AS105" i="5"/>
  <c r="AU105" i="5" s="1"/>
  <c r="AD264" i="5"/>
  <c r="AD508" i="5"/>
  <c r="AD417" i="5"/>
  <c r="AD422" i="5"/>
  <c r="AS483" i="5"/>
  <c r="AU483" i="5" s="1"/>
  <c r="AS508" i="5"/>
  <c r="AU508" i="5" s="1"/>
  <c r="AE289" i="5"/>
  <c r="AD232" i="5"/>
  <c r="AE483" i="5"/>
  <c r="AE279" i="5"/>
  <c r="AE254" i="5"/>
  <c r="AE232" i="5"/>
  <c r="AD500" i="5"/>
  <c r="AD279" i="5"/>
  <c r="X66" i="4"/>
  <c r="AJ66" i="4" s="1"/>
  <c r="AE422" i="5"/>
  <c r="AS532" i="5"/>
  <c r="AT532" i="5" s="1"/>
  <c r="AS200" i="5"/>
  <c r="AT200" i="5" s="1"/>
  <c r="AE500" i="5"/>
  <c r="AS26" i="5"/>
  <c r="AT26" i="5" s="1"/>
  <c r="AE532" i="5"/>
  <c r="AD479" i="5"/>
  <c r="AS289" i="5"/>
  <c r="AT289" i="5" s="1"/>
  <c r="AE14" i="4"/>
  <c r="AS469" i="5"/>
  <c r="AU469" i="5" s="1"/>
  <c r="AD469" i="5"/>
  <c r="AE417" i="5"/>
  <c r="AS243" i="5"/>
  <c r="AU243" i="5" s="1"/>
  <c r="AS345" i="5"/>
  <c r="AT345" i="5" s="1"/>
  <c r="AD117" i="5"/>
  <c r="AS97" i="5"/>
  <c r="AT97" i="5" s="1"/>
  <c r="AS463" i="5"/>
  <c r="AU463" i="5" s="1"/>
  <c r="AE97" i="5"/>
  <c r="K36" i="2"/>
  <c r="L36" i="2"/>
  <c r="X46" i="4"/>
  <c r="AK46" i="4" s="1"/>
  <c r="AE15" i="4"/>
  <c r="AO46" i="4"/>
  <c r="AE37" i="4"/>
  <c r="AS265" i="5"/>
  <c r="AT265" i="5" s="1"/>
  <c r="AE520" i="5"/>
  <c r="AD520" i="5"/>
  <c r="AS184" i="5"/>
  <c r="AT184" i="5" s="1"/>
  <c r="AE184" i="5"/>
  <c r="AD463" i="5"/>
  <c r="AE205" i="5"/>
  <c r="AD470" i="5"/>
  <c r="AS470" i="5"/>
  <c r="AU470" i="5" s="1"/>
  <c r="AD556" i="5"/>
  <c r="AS327" i="5"/>
  <c r="AT327" i="5" s="1"/>
  <c r="AS509" i="5"/>
  <c r="AT509" i="5" s="1"/>
  <c r="AD511" i="5"/>
  <c r="AE140" i="5"/>
  <c r="AD452" i="5"/>
  <c r="AS226" i="5"/>
  <c r="AT226" i="5" s="1"/>
  <c r="AE354" i="5"/>
  <c r="AS22" i="5"/>
  <c r="AT22" i="5" s="1"/>
  <c r="AE213" i="5"/>
  <c r="AS511" i="5"/>
  <c r="AT511" i="5" s="1"/>
  <c r="AS297" i="5"/>
  <c r="AT297" i="5" s="1"/>
  <c r="AS466" i="5"/>
  <c r="AU466" i="5" s="1"/>
  <c r="AE297" i="5"/>
  <c r="AS213" i="5"/>
  <c r="AU213" i="5" s="1"/>
  <c r="AS540" i="5"/>
  <c r="AU540" i="5" s="1"/>
  <c r="AE359" i="5"/>
  <c r="Y20" i="4"/>
  <c r="Z20" i="4" s="1"/>
  <c r="AF20" i="4" s="1"/>
  <c r="AE20" i="4"/>
  <c r="AD444" i="5"/>
  <c r="AD183" i="5"/>
  <c r="AS49" i="5"/>
  <c r="AT49" i="5" s="1"/>
  <c r="AE46" i="4"/>
  <c r="AA43" i="4"/>
  <c r="AC43" i="4" s="1"/>
  <c r="AD43" i="4" s="1"/>
  <c r="AD540" i="5"/>
  <c r="AS359" i="5"/>
  <c r="AT359" i="5" s="1"/>
  <c r="AE365" i="5"/>
  <c r="AS514" i="5"/>
  <c r="AT514" i="5" s="1"/>
  <c r="AE479" i="5"/>
  <c r="X14" i="4"/>
  <c r="AJ14" i="4" s="1"/>
  <c r="AE24" i="5"/>
  <c r="AS166" i="5"/>
  <c r="AT166" i="5" s="1"/>
  <c r="AD136" i="5"/>
  <c r="X61" i="4"/>
  <c r="AJ61" i="4" s="1"/>
  <c r="AE66" i="4"/>
  <c r="AF66" i="4"/>
  <c r="AO66" i="4" s="1"/>
  <c r="AD302" i="5"/>
  <c r="AA149" i="4"/>
  <c r="AC149" i="4" s="1"/>
  <c r="AD149" i="4" s="1"/>
  <c r="AO61" i="4"/>
  <c r="AA115" i="4"/>
  <c r="AC115" i="4" s="1"/>
  <c r="AD115" i="4" s="1"/>
  <c r="AE61" i="4"/>
  <c r="AE40" i="5"/>
  <c r="AE237" i="5"/>
  <c r="AE42" i="5"/>
  <c r="AD386" i="5"/>
  <c r="AE261" i="5"/>
  <c r="AS188" i="5"/>
  <c r="AT188" i="5" s="1"/>
  <c r="AE386" i="5"/>
  <c r="AS42" i="5"/>
  <c r="AU42" i="5" s="1"/>
  <c r="AF142" i="4"/>
  <c r="AG142" i="4" s="1"/>
  <c r="AI142" i="4" s="1"/>
  <c r="AS248" i="5"/>
  <c r="AU248" i="5" s="1"/>
  <c r="AD261" i="5"/>
  <c r="AE142" i="4"/>
  <c r="AS361" i="5"/>
  <c r="AU361" i="5" s="1"/>
  <c r="AD361" i="5"/>
  <c r="AD543" i="5"/>
  <c r="AD280" i="5"/>
  <c r="AS313" i="5"/>
  <c r="AU313" i="5" s="1"/>
  <c r="X142" i="4"/>
  <c r="AJ142" i="4" s="1"/>
  <c r="AE280" i="5"/>
  <c r="AD301" i="5"/>
  <c r="AE303" i="5"/>
  <c r="AE482" i="5"/>
  <c r="AE382" i="5"/>
  <c r="AS351" i="5"/>
  <c r="AT351" i="5" s="1"/>
  <c r="AS518" i="5"/>
  <c r="AU518" i="5" s="1"/>
  <c r="AS31" i="5"/>
  <c r="AT31" i="5" s="1"/>
  <c r="AE491" i="5"/>
  <c r="AT278" i="5"/>
  <c r="AD365" i="5"/>
  <c r="AE501" i="5"/>
  <c r="AS353" i="5"/>
  <c r="AT353" i="5" s="1"/>
  <c r="AS421" i="5"/>
  <c r="AT421" i="5" s="1"/>
  <c r="AD332" i="5"/>
  <c r="AE332" i="5"/>
  <c r="AD518" i="5"/>
  <c r="AD203" i="5"/>
  <c r="AE166" i="5"/>
  <c r="AS302" i="5"/>
  <c r="AU302" i="5" s="1"/>
  <c r="AE70" i="5"/>
  <c r="AS145" i="5"/>
  <c r="AU145" i="5" s="1"/>
  <c r="AD514" i="5"/>
  <c r="AS300" i="5"/>
  <c r="AT300" i="5" s="1"/>
  <c r="AS444" i="5"/>
  <c r="AU444" i="5" s="1"/>
  <c r="AD345" i="5"/>
  <c r="AE136" i="5"/>
  <c r="AE243" i="5"/>
  <c r="AS113" i="5"/>
  <c r="AU113" i="5" s="1"/>
  <c r="AE300" i="5"/>
  <c r="AS382" i="5"/>
  <c r="AT382" i="5" s="1"/>
  <c r="AD482" i="5"/>
  <c r="AS58" i="5"/>
  <c r="AU58" i="5" s="1"/>
  <c r="AE58" i="5"/>
  <c r="AD48" i="5"/>
  <c r="AD363" i="5"/>
  <c r="AS201" i="5"/>
  <c r="AU201" i="5" s="1"/>
  <c r="AS349" i="5"/>
  <c r="AT349" i="5" s="1"/>
  <c r="AE336" i="5"/>
  <c r="AS137" i="5"/>
  <c r="AT137" i="5" s="1"/>
  <c r="AE59" i="5"/>
  <c r="AE349" i="5"/>
  <c r="AE378" i="5"/>
  <c r="AS222" i="5"/>
  <c r="AU222" i="5" s="1"/>
  <c r="AS336" i="5"/>
  <c r="AT336" i="5" s="1"/>
  <c r="AS21" i="5"/>
  <c r="AT21" i="5" s="1"/>
  <c r="AD21" i="5"/>
  <c r="AS148" i="5"/>
  <c r="AT148" i="5" s="1"/>
  <c r="AE248" i="5"/>
  <c r="AE188" i="5"/>
  <c r="AE137" i="5"/>
  <c r="AD59" i="5"/>
  <c r="AD374" i="5"/>
  <c r="AD32" i="5"/>
  <c r="AS478" i="5"/>
  <c r="AU478" i="5" s="1"/>
  <c r="AE223" i="5"/>
  <c r="AS374" i="5"/>
  <c r="AU374" i="5" s="1"/>
  <c r="AE455" i="5"/>
  <c r="AS32" i="5"/>
  <c r="AT32" i="5" s="1"/>
  <c r="AD478" i="5"/>
  <c r="AD223" i="5"/>
  <c r="AE199" i="5"/>
  <c r="AD303" i="5"/>
  <c r="AE313" i="5"/>
  <c r="AD481" i="5"/>
  <c r="AD237" i="5"/>
  <c r="AS363" i="5"/>
  <c r="AT363" i="5" s="1"/>
  <c r="AS378" i="5"/>
  <c r="AU378" i="5" s="1"/>
  <c r="AE222" i="5"/>
  <c r="AE69" i="5"/>
  <c r="AE543" i="5"/>
  <c r="AS301" i="5"/>
  <c r="AU301" i="5" s="1"/>
  <c r="AS455" i="5"/>
  <c r="AU455" i="5" s="1"/>
  <c r="AD453" i="5"/>
  <c r="AS48" i="5"/>
  <c r="AU48" i="5" s="1"/>
  <c r="AD138" i="5"/>
  <c r="AS138" i="5"/>
  <c r="AT138" i="5" s="1"/>
  <c r="AD360" i="5"/>
  <c r="AS477" i="5"/>
  <c r="AT477" i="5" s="1"/>
  <c r="AE333" i="5"/>
  <c r="AE477" i="5"/>
  <c r="AS94" i="5"/>
  <c r="AU94" i="5" s="1"/>
  <c r="AD194" i="5"/>
  <c r="AS306" i="5"/>
  <c r="AU306" i="5" s="1"/>
  <c r="AS494" i="5"/>
  <c r="AU494" i="5" s="1"/>
  <c r="AA96" i="4"/>
  <c r="AC96" i="4" s="1"/>
  <c r="AD96" i="4" s="1"/>
  <c r="AR96" i="4" s="1"/>
  <c r="AT96" i="4" s="1"/>
  <c r="AD94" i="5"/>
  <c r="AD333" i="5"/>
  <c r="AS360" i="5"/>
  <c r="AU360" i="5" s="1"/>
  <c r="AS259" i="5"/>
  <c r="AU259" i="5" s="1"/>
  <c r="AD460" i="5"/>
  <c r="AT147" i="5"/>
  <c r="AS194" i="5"/>
  <c r="AU194" i="5" s="1"/>
  <c r="AD306" i="5"/>
  <c r="AE494" i="5"/>
  <c r="AT54" i="5"/>
  <c r="AS158" i="5"/>
  <c r="AU158" i="5" s="1"/>
  <c r="AD54" i="5"/>
  <c r="AE173" i="5"/>
  <c r="AD269" i="5"/>
  <c r="AS119" i="5"/>
  <c r="AU119" i="5" s="1"/>
  <c r="AE186" i="5"/>
  <c r="AE460" i="5"/>
  <c r="AD475" i="5"/>
  <c r="AE399" i="5"/>
  <c r="AD398" i="5"/>
  <c r="AS475" i="5"/>
  <c r="AU475" i="5" s="1"/>
  <c r="AD536" i="5"/>
  <c r="AE165" i="5"/>
  <c r="AE125" i="5"/>
  <c r="AS186" i="5"/>
  <c r="AU186" i="5" s="1"/>
  <c r="AD399" i="5"/>
  <c r="AD456" i="5"/>
  <c r="AE54" i="5"/>
  <c r="AS425" i="5"/>
  <c r="AT425" i="5" s="1"/>
  <c r="AS55" i="5"/>
  <c r="AT55" i="5" s="1"/>
  <c r="AE135" i="4"/>
  <c r="AE533" i="5"/>
  <c r="AD31" i="5"/>
  <c r="AS440" i="5"/>
  <c r="AT440" i="5" s="1"/>
  <c r="AD366" i="5"/>
  <c r="AS462" i="5"/>
  <c r="AU462" i="5" s="1"/>
  <c r="AE65" i="5"/>
  <c r="AD436" i="5"/>
  <c r="AD400" i="5"/>
  <c r="AD296" i="5"/>
  <c r="AS283" i="5"/>
  <c r="AT283" i="5" s="1"/>
  <c r="AE269" i="5"/>
  <c r="AE241" i="5"/>
  <c r="AS517" i="5"/>
  <c r="AT517" i="5" s="1"/>
  <c r="AE208" i="5"/>
  <c r="AS140" i="5"/>
  <c r="AU140" i="5" s="1"/>
  <c r="AS556" i="5"/>
  <c r="AU556" i="5" s="1"/>
  <c r="AE22" i="5"/>
  <c r="AD151" i="5"/>
  <c r="AD226" i="5"/>
  <c r="AD466" i="5"/>
  <c r="AS62" i="5"/>
  <c r="AT62" i="5" s="1"/>
  <c r="AS354" i="5"/>
  <c r="AU354" i="5" s="1"/>
  <c r="AS309" i="5"/>
  <c r="AT309" i="5" s="1"/>
  <c r="AD401" i="5"/>
  <c r="AS325" i="5"/>
  <c r="AU325" i="5" s="1"/>
  <c r="X15" i="4"/>
  <c r="AJ15" i="4" s="1"/>
  <c r="AE210" i="5"/>
  <c r="AE151" i="5"/>
  <c r="AD472" i="5"/>
  <c r="AD112" i="5"/>
  <c r="AE551" i="5"/>
  <c r="AE309" i="5"/>
  <c r="AD486" i="5"/>
  <c r="AE112" i="5"/>
  <c r="AS551" i="5"/>
  <c r="AU551" i="5" s="1"/>
  <c r="AD245" i="5"/>
  <c r="AD277" i="5"/>
  <c r="AS116" i="5"/>
  <c r="AT116" i="5" s="1"/>
  <c r="AD325" i="5"/>
  <c r="AS504" i="5"/>
  <c r="AT504" i="5" s="1"/>
  <c r="AS210" i="5"/>
  <c r="AU210" i="5" s="1"/>
  <c r="AE304" i="5"/>
  <c r="AD327" i="5"/>
  <c r="AS452" i="5"/>
  <c r="AU452" i="5" s="1"/>
  <c r="AD504" i="5"/>
  <c r="AD304" i="5"/>
  <c r="AS245" i="5"/>
  <c r="AT245" i="5" s="1"/>
  <c r="AS46" i="5"/>
  <c r="AT46" i="5" s="1"/>
  <c r="AS277" i="5"/>
  <c r="AU277" i="5" s="1"/>
  <c r="AD158" i="5"/>
  <c r="AD46" i="5"/>
  <c r="AD116" i="5"/>
  <c r="AS438" i="5"/>
  <c r="AT438" i="5" s="1"/>
  <c r="AS244" i="5"/>
  <c r="AU244" i="5" s="1"/>
  <c r="AD189" i="5"/>
  <c r="AD40" i="5"/>
  <c r="AE502" i="5"/>
  <c r="AD38" i="5"/>
  <c r="AD180" i="5"/>
  <c r="AE101" i="5"/>
  <c r="AE480" i="5"/>
  <c r="AS548" i="5"/>
  <c r="AT548" i="5" s="1"/>
  <c r="AS36" i="5"/>
  <c r="AU36" i="5" s="1"/>
  <c r="AS502" i="5"/>
  <c r="AT502" i="5" s="1"/>
  <c r="AS310" i="5"/>
  <c r="AU310" i="5" s="1"/>
  <c r="AD142" i="5"/>
  <c r="AE76" i="5"/>
  <c r="AS308" i="5"/>
  <c r="AU308" i="5" s="1"/>
  <c r="AD338" i="5"/>
  <c r="AE142" i="5"/>
  <c r="AD274" i="5"/>
  <c r="AD238" i="5"/>
  <c r="AE19" i="5"/>
  <c r="AD150" i="5"/>
  <c r="AE544" i="5"/>
  <c r="AD450" i="5"/>
  <c r="AS115" i="5"/>
  <c r="AT115" i="5" s="1"/>
  <c r="AD295" i="5"/>
  <c r="AE115" i="5"/>
  <c r="AD491" i="5"/>
  <c r="AS150" i="5"/>
  <c r="AU150" i="5" s="1"/>
  <c r="AE552" i="5"/>
  <c r="AE517" i="5"/>
  <c r="AE341" i="5"/>
  <c r="AE25" i="5"/>
  <c r="AS552" i="5"/>
  <c r="AT552" i="5" s="1"/>
  <c r="AD241" i="5"/>
  <c r="AD298" i="5"/>
  <c r="AS25" i="5"/>
  <c r="AT25" i="5" s="1"/>
  <c r="AE298" i="5"/>
  <c r="AD451" i="5"/>
  <c r="AT202" i="5"/>
  <c r="AE202" i="5"/>
  <c r="AD202" i="5"/>
  <c r="AD208" i="5"/>
  <c r="AS451" i="5"/>
  <c r="AU451" i="5" s="1"/>
  <c r="AS267" i="5"/>
  <c r="AU267" i="5" s="1"/>
  <c r="AS174" i="5"/>
  <c r="AU174" i="5" s="1"/>
  <c r="AS104" i="5"/>
  <c r="AU104" i="5" s="1"/>
  <c r="AE145" i="5"/>
  <c r="AD104" i="5"/>
  <c r="AS178" i="5"/>
  <c r="AU178" i="5" s="1"/>
  <c r="AE113" i="5"/>
  <c r="AE200" i="5"/>
  <c r="AS533" i="5"/>
  <c r="AT533" i="5" s="1"/>
  <c r="AE216" i="5"/>
  <c r="AS120" i="5"/>
  <c r="AU120" i="5" s="1"/>
  <c r="AS501" i="5"/>
  <c r="AU501" i="5" s="1"/>
  <c r="AE456" i="5"/>
  <c r="AD421" i="5"/>
  <c r="AE120" i="5"/>
  <c r="AU78" i="5"/>
  <c r="AE351" i="5"/>
  <c r="AD275" i="5"/>
  <c r="AD440" i="5"/>
  <c r="AS400" i="5"/>
  <c r="AT400" i="5" s="1"/>
  <c r="AE203" i="5"/>
  <c r="AS366" i="5"/>
  <c r="AU366" i="5" s="1"/>
  <c r="AD216" i="5"/>
  <c r="AE434" i="5"/>
  <c r="AS390" i="5"/>
  <c r="AU390" i="5" s="1"/>
  <c r="AD383" i="5"/>
  <c r="AE275" i="5"/>
  <c r="AE181" i="5"/>
  <c r="AD260" i="5"/>
  <c r="AD434" i="5"/>
  <c r="AE384" i="5"/>
  <c r="AE425" i="5"/>
  <c r="AE390" i="5"/>
  <c r="AD165" i="5"/>
  <c r="AD335" i="5"/>
  <c r="AD506" i="5"/>
  <c r="AD181" i="5"/>
  <c r="AE260" i="5"/>
  <c r="AS383" i="5"/>
  <c r="AU383" i="5" s="1"/>
  <c r="AS492" i="5"/>
  <c r="AU492" i="5" s="1"/>
  <c r="AS384" i="5"/>
  <c r="AT384" i="5" s="1"/>
  <c r="AS335" i="5"/>
  <c r="AU335" i="5" s="1"/>
  <c r="AE506" i="5"/>
  <c r="AD492" i="5"/>
  <c r="AD353" i="5"/>
  <c r="AE495" i="5"/>
  <c r="AS193" i="5"/>
  <c r="AT193" i="5" s="1"/>
  <c r="AD114" i="5"/>
  <c r="AD495" i="5"/>
  <c r="AT81" i="5"/>
  <c r="AD283" i="5"/>
  <c r="AS114" i="5"/>
  <c r="AT114" i="5" s="1"/>
  <c r="AS420" i="5"/>
  <c r="AT420" i="5" s="1"/>
  <c r="AD441" i="5"/>
  <c r="AE462" i="5"/>
  <c r="AS441" i="5"/>
  <c r="AU441" i="5" s="1"/>
  <c r="AE420" i="5"/>
  <c r="AE278" i="5"/>
  <c r="AS60" i="5"/>
  <c r="AU60" i="5" s="1"/>
  <c r="X135" i="4"/>
  <c r="AJ135" i="4" s="1"/>
  <c r="AD278" i="5"/>
  <c r="AD81" i="5"/>
  <c r="AE122" i="5"/>
  <c r="AE49" i="5"/>
  <c r="AD70" i="5"/>
  <c r="AS122" i="5"/>
  <c r="AT122" i="5" s="1"/>
  <c r="AE81" i="5"/>
  <c r="AE78" i="5"/>
  <c r="AE60" i="5"/>
  <c r="AE36" i="5"/>
  <c r="AD356" i="5"/>
  <c r="AD310" i="5"/>
  <c r="AF125" i="4"/>
  <c r="AG125" i="4" s="1"/>
  <c r="AI125" i="4" s="1"/>
  <c r="AD127" i="5"/>
  <c r="AE356" i="5"/>
  <c r="AE125" i="4"/>
  <c r="AE127" i="5"/>
  <c r="AE143" i="5"/>
  <c r="AD343" i="5"/>
  <c r="AS314" i="5"/>
  <c r="AT314" i="5" s="1"/>
  <c r="AE343" i="5"/>
  <c r="AS50" i="5"/>
  <c r="AT50" i="5" s="1"/>
  <c r="AE342" i="5"/>
  <c r="X125" i="4"/>
  <c r="AJ125" i="4" s="1"/>
  <c r="AS143" i="5"/>
  <c r="AT143" i="5" s="1"/>
  <c r="AE12" i="5"/>
  <c r="AS541" i="5"/>
  <c r="AT541" i="5" s="1"/>
  <c r="AD50" i="5"/>
  <c r="AD428" i="5"/>
  <c r="AS12" i="5"/>
  <c r="AU12" i="5" s="1"/>
  <c r="AS496" i="5"/>
  <c r="AU496" i="5" s="1"/>
  <c r="AE496" i="5"/>
  <c r="AE314" i="5"/>
  <c r="AE38" i="5"/>
  <c r="AD342" i="5"/>
  <c r="AE308" i="5"/>
  <c r="AS77" i="5"/>
  <c r="AT77" i="5" s="1"/>
  <c r="AX77" i="5" s="1"/>
  <c r="AY77" i="5" s="1"/>
  <c r="AS476" i="5"/>
  <c r="AT476" i="5" s="1"/>
  <c r="AS405" i="5"/>
  <c r="AU405" i="5" s="1"/>
  <c r="AE106" i="5"/>
  <c r="AD244" i="5"/>
  <c r="AS295" i="5"/>
  <c r="AU295" i="5" s="1"/>
  <c r="AS76" i="5"/>
  <c r="AU76" i="5" s="1"/>
  <c r="AD438" i="5"/>
  <c r="AE405" i="5"/>
  <c r="AS106" i="5"/>
  <c r="AT106" i="5" s="1"/>
  <c r="AS134" i="5"/>
  <c r="AU134" i="5" s="1"/>
  <c r="AE180" i="5"/>
  <c r="AE476" i="5"/>
  <c r="AS90" i="5"/>
  <c r="AU90" i="5" s="1"/>
  <c r="AD282" i="5"/>
  <c r="AD528" i="5"/>
  <c r="X57" i="4"/>
  <c r="AJ57" i="4" s="1"/>
  <c r="AD77" i="5"/>
  <c r="AE57" i="4"/>
  <c r="AD239" i="5"/>
  <c r="AS24" i="5"/>
  <c r="AT24" i="5" s="1"/>
  <c r="AE338" i="5"/>
  <c r="AE274" i="5"/>
  <c r="AD294" i="5"/>
  <c r="AS239" i="5"/>
  <c r="AU239" i="5" s="1"/>
  <c r="AS293" i="5"/>
  <c r="AT293" i="5" s="1"/>
  <c r="AD262" i="5"/>
  <c r="AS44" i="5"/>
  <c r="AT44" i="5" s="1"/>
  <c r="AE294" i="5"/>
  <c r="AD217" i="5"/>
  <c r="AE247" i="5"/>
  <c r="AS238" i="5"/>
  <c r="AU238" i="5" s="1"/>
  <c r="AD293" i="5"/>
  <c r="AE189" i="5"/>
  <c r="AE262" i="5"/>
  <c r="AS344" i="5"/>
  <c r="AU344" i="5" s="1"/>
  <c r="AD101" i="5"/>
  <c r="AE44" i="5"/>
  <c r="AS394" i="5"/>
  <c r="AT394" i="5" s="1"/>
  <c r="AS19" i="5"/>
  <c r="AT19" i="5" s="1"/>
  <c r="AS453" i="5"/>
  <c r="AT453" i="5" s="1"/>
  <c r="AD548" i="5"/>
  <c r="AE148" i="5"/>
  <c r="AD197" i="5"/>
  <c r="AS220" i="5"/>
  <c r="AU220" i="5" s="1"/>
  <c r="AD544" i="5"/>
  <c r="AE450" i="5"/>
  <c r="AK96" i="4"/>
  <c r="AS217" i="5"/>
  <c r="AU217" i="5" s="1"/>
  <c r="AS197" i="5"/>
  <c r="AU197" i="5" s="1"/>
  <c r="AE220" i="5"/>
  <c r="AE266" i="5"/>
  <c r="AD257" i="5"/>
  <c r="AE436" i="5"/>
  <c r="AD174" i="5"/>
  <c r="AS410" i="5"/>
  <c r="AU410" i="5" s="1"/>
  <c r="AE34" i="5"/>
  <c r="AS132" i="5"/>
  <c r="AU132" i="5" s="1"/>
  <c r="AS27" i="5"/>
  <c r="AU27" i="5" s="1"/>
  <c r="AE133" i="5"/>
  <c r="AS126" i="5"/>
  <c r="AT126" i="5" s="1"/>
  <c r="AS416" i="5"/>
  <c r="AT416" i="5" s="1"/>
  <c r="AS385" i="5"/>
  <c r="AT385" i="5" s="1"/>
  <c r="AS111" i="5"/>
  <c r="AU111" i="5" s="1"/>
  <c r="AD133" i="5"/>
  <c r="AD267" i="5"/>
  <c r="AS68" i="5"/>
  <c r="AT68" i="5" s="1"/>
  <c r="AE416" i="5"/>
  <c r="AD27" i="5"/>
  <c r="AS447" i="5"/>
  <c r="AT447" i="5" s="1"/>
  <c r="AD385" i="5"/>
  <c r="AD350" i="5"/>
  <c r="AS350" i="5"/>
  <c r="AT350" i="5" s="1"/>
  <c r="AE375" i="5"/>
  <c r="AS179" i="5"/>
  <c r="AU179" i="5" s="1"/>
  <c r="AE35" i="5"/>
  <c r="AD73" i="5"/>
  <c r="AD29" i="5"/>
  <c r="AS155" i="5"/>
  <c r="AU155" i="5" s="1"/>
  <c r="AE505" i="5"/>
  <c r="AS369" i="5"/>
  <c r="AT369" i="5" s="1"/>
  <c r="AE43" i="5"/>
  <c r="AD155" i="5"/>
  <c r="AE68" i="5"/>
  <c r="AS73" i="5"/>
  <c r="AT73" i="5" s="1"/>
  <c r="AE111" i="5"/>
  <c r="AD369" i="5"/>
  <c r="AD341" i="5"/>
  <c r="AS505" i="5"/>
  <c r="AT505" i="5" s="1"/>
  <c r="AD126" i="5"/>
  <c r="AS388" i="5"/>
  <c r="AU388" i="5" s="1"/>
  <c r="AD465" i="5"/>
  <c r="AD132" i="5"/>
  <c r="AU257" i="5"/>
  <c r="AD125" i="5"/>
  <c r="AD529" i="5"/>
  <c r="AE296" i="5"/>
  <c r="AD253" i="5"/>
  <c r="AD228" i="5"/>
  <c r="AD55" i="5"/>
  <c r="AS529" i="5"/>
  <c r="AU529" i="5" s="1"/>
  <c r="AD499" i="5"/>
  <c r="AD168" i="5"/>
  <c r="AS228" i="5"/>
  <c r="AU228" i="5" s="1"/>
  <c r="AD236" i="5"/>
  <c r="AE499" i="5"/>
  <c r="AE403" i="5"/>
  <c r="AD33" i="5"/>
  <c r="AE147" i="5"/>
  <c r="AE157" i="5"/>
  <c r="AS168" i="5"/>
  <c r="AU168" i="5" s="1"/>
  <c r="AS99" i="5"/>
  <c r="AU99" i="5" s="1"/>
  <c r="AE253" i="5"/>
  <c r="AD66" i="5"/>
  <c r="AS473" i="5"/>
  <c r="AU473" i="5" s="1"/>
  <c r="AS236" i="5"/>
  <c r="AU236" i="5" s="1"/>
  <c r="AE214" i="5"/>
  <c r="AS141" i="5"/>
  <c r="AU141" i="5" s="1"/>
  <c r="AS404" i="5"/>
  <c r="AU404" i="5" s="1"/>
  <c r="AD268" i="5"/>
  <c r="AS403" i="5"/>
  <c r="AU403" i="5" s="1"/>
  <c r="AE33" i="5"/>
  <c r="AS218" i="5"/>
  <c r="AT218" i="5" s="1"/>
  <c r="AS398" i="5"/>
  <c r="AT398" i="5" s="1"/>
  <c r="AD173" i="5"/>
  <c r="AS66" i="5"/>
  <c r="AU66" i="5" s="1"/>
  <c r="AE473" i="5"/>
  <c r="AD119" i="5"/>
  <c r="AS214" i="5"/>
  <c r="AU214" i="5" s="1"/>
  <c r="AE141" i="5"/>
  <c r="AE404" i="5"/>
  <c r="AE268" i="5"/>
  <c r="AD259" i="5"/>
  <c r="AD266" i="5"/>
  <c r="AE257" i="5"/>
  <c r="AS229" i="5"/>
  <c r="AU229" i="5" s="1"/>
  <c r="AE229" i="5"/>
  <c r="AE536" i="5"/>
  <c r="AS108" i="5"/>
  <c r="AT108" i="5" s="1"/>
  <c r="AD218" i="5"/>
  <c r="AS65" i="5"/>
  <c r="AU65" i="5" s="1"/>
  <c r="AD147" i="5"/>
  <c r="AE99" i="5"/>
  <c r="AS157" i="5"/>
  <c r="AU157" i="5" s="1"/>
  <c r="AE541" i="5"/>
  <c r="AD90" i="5"/>
  <c r="AE282" i="5"/>
  <c r="AS468" i="5"/>
  <c r="AT468" i="5" s="1"/>
  <c r="AS528" i="5"/>
  <c r="AU528" i="5" s="1"/>
  <c r="AD134" i="5"/>
  <c r="AS428" i="5"/>
  <c r="AU428" i="5" s="1"/>
  <c r="AE468" i="5"/>
  <c r="AS198" i="5"/>
  <c r="AT198" i="5" s="1"/>
  <c r="AD513" i="5"/>
  <c r="AE329" i="5"/>
  <c r="AS285" i="5"/>
  <c r="AT285" i="5" s="1"/>
  <c r="AE521" i="5"/>
  <c r="AE380" i="5"/>
  <c r="AS513" i="5"/>
  <c r="AU513" i="5" s="1"/>
  <c r="AE331" i="5"/>
  <c r="AD395" i="5"/>
  <c r="AS318" i="5"/>
  <c r="AU318" i="5" s="1"/>
  <c r="AD329" i="5"/>
  <c r="AD83" i="5"/>
  <c r="AE285" i="5"/>
  <c r="AD521" i="5"/>
  <c r="AE198" i="5"/>
  <c r="AD255" i="5"/>
  <c r="AE471" i="5"/>
  <c r="AD471" i="5"/>
  <c r="AD380" i="5"/>
  <c r="AD331" i="5"/>
  <c r="AE395" i="5"/>
  <c r="AE318" i="5"/>
  <c r="AS270" i="5"/>
  <c r="AT270" i="5" s="1"/>
  <c r="AD427" i="5"/>
  <c r="AE83" i="5"/>
  <c r="AS402" i="5"/>
  <c r="AU402" i="5" s="1"/>
  <c r="AD270" i="5"/>
  <c r="AE427" i="5"/>
  <c r="AE402" i="5"/>
  <c r="AS255" i="5"/>
  <c r="AT255" i="5" s="1"/>
  <c r="Y39" i="4"/>
  <c r="Z39" i="4" s="1"/>
  <c r="AF39" i="4" s="1"/>
  <c r="AE62" i="5"/>
  <c r="AS205" i="5"/>
  <c r="AT205" i="5" s="1"/>
  <c r="AD251" i="5"/>
  <c r="AU175" i="5"/>
  <c r="AS82" i="5"/>
  <c r="AU82" i="5" s="1"/>
  <c r="AE39" i="4"/>
  <c r="AS401" i="5"/>
  <c r="AU401" i="5" s="1"/>
  <c r="AS437" i="5"/>
  <c r="AT437" i="5" s="1"/>
  <c r="AD82" i="5"/>
  <c r="AE437" i="5"/>
  <c r="AE251" i="5"/>
  <c r="AD424" i="5"/>
  <c r="AS387" i="5"/>
  <c r="AT387" i="5" s="1"/>
  <c r="AS103" i="5"/>
  <c r="AT103" i="5" s="1"/>
  <c r="AE175" i="5"/>
  <c r="AD381" i="5"/>
  <c r="AE424" i="5"/>
  <c r="AS316" i="5"/>
  <c r="AU316" i="5" s="1"/>
  <c r="AD7" i="5"/>
  <c r="B215" i="2" s="1"/>
  <c r="B216" i="2" s="1"/>
  <c r="B217" i="2" s="1"/>
  <c r="B227" i="2" s="1"/>
  <c r="B229" i="2" s="1"/>
  <c r="AE381" i="5"/>
  <c r="AD67" i="5"/>
  <c r="AE509" i="5"/>
  <c r="AD316" i="5"/>
  <c r="AS67" i="5"/>
  <c r="AU67" i="5" s="1"/>
  <c r="AS486" i="5"/>
  <c r="AU486" i="5" s="1"/>
  <c r="AE7" i="5"/>
  <c r="AS472" i="5"/>
  <c r="AT472" i="5" s="1"/>
  <c r="AE103" i="5"/>
  <c r="AD175" i="5"/>
  <c r="AD410" i="5"/>
  <c r="AE339" i="5"/>
  <c r="AS558" i="5"/>
  <c r="AU558" i="5" s="1"/>
  <c r="AE555" i="5"/>
  <c r="AE515" i="5"/>
  <c r="AD553" i="5"/>
  <c r="AD339" i="5"/>
  <c r="AE178" i="5"/>
  <c r="AE72" i="5"/>
  <c r="X12" i="4"/>
  <c r="AJ12" i="4" s="1"/>
  <c r="AD34" i="5"/>
  <c r="AE558" i="5"/>
  <c r="AS555" i="5"/>
  <c r="AU555" i="5" s="1"/>
  <c r="AE553" i="5"/>
  <c r="AS128" i="5"/>
  <c r="AT128" i="5" s="1"/>
  <c r="AE209" i="5"/>
  <c r="AD388" i="5"/>
  <c r="AE406" i="5"/>
  <c r="AD498" i="5"/>
  <c r="AD515" i="5"/>
  <c r="AD433" i="5"/>
  <c r="AE498" i="5"/>
  <c r="AS411" i="5"/>
  <c r="AU411" i="5" s="1"/>
  <c r="AS321" i="5"/>
  <c r="AU321" i="5" s="1"/>
  <c r="AE377" i="5"/>
  <c r="AE153" i="5"/>
  <c r="AE263" i="5"/>
  <c r="AE75" i="5"/>
  <c r="AE102" i="5"/>
  <c r="AD193" i="5"/>
  <c r="AE128" i="5"/>
  <c r="AS102" i="5"/>
  <c r="AT102" i="5" s="1"/>
  <c r="AD110" i="5"/>
  <c r="Y12" i="4"/>
  <c r="Z12" i="4" s="1"/>
  <c r="AD411" i="5"/>
  <c r="AS263" i="5"/>
  <c r="AU263" i="5" s="1"/>
  <c r="AS75" i="5"/>
  <c r="AU75" i="5" s="1"/>
  <c r="AS209" i="5"/>
  <c r="AT209" i="5" s="1"/>
  <c r="AE171" i="5"/>
  <c r="AE433" i="5"/>
  <c r="AS29" i="5"/>
  <c r="AT29" i="5" s="1"/>
  <c r="AS377" i="5"/>
  <c r="AU377" i="5" s="1"/>
  <c r="AS153" i="5"/>
  <c r="AT153" i="5" s="1"/>
  <c r="AE465" i="5"/>
  <c r="AD43" i="5"/>
  <c r="AD179" i="5"/>
  <c r="AS110" i="5"/>
  <c r="AU110" i="5" s="1"/>
  <c r="AE447" i="5"/>
  <c r="AD171" i="5"/>
  <c r="AS35" i="5"/>
  <c r="AT35" i="5" s="1"/>
  <c r="AS375" i="5"/>
  <c r="AT375" i="5" s="1"/>
  <c r="AE182" i="5"/>
  <c r="AD78" i="5"/>
  <c r="AS20" i="5"/>
  <c r="AT20" i="5" s="1"/>
  <c r="AD69" i="5"/>
  <c r="AE135" i="5"/>
  <c r="AD414" i="5"/>
  <c r="AE481" i="5"/>
  <c r="AD560" i="5"/>
  <c r="AS240" i="5"/>
  <c r="AT240" i="5" s="1"/>
  <c r="AE129" i="5"/>
  <c r="AD135" i="5"/>
  <c r="AE394" i="5"/>
  <c r="AD362" i="5"/>
  <c r="AS414" i="5"/>
  <c r="AT414" i="5" s="1"/>
  <c r="AD204" i="5"/>
  <c r="AS560" i="5"/>
  <c r="AT560" i="5" s="1"/>
  <c r="AS231" i="5"/>
  <c r="AU231" i="5" s="1"/>
  <c r="AS219" i="5"/>
  <c r="AT219" i="5" s="1"/>
  <c r="AS129" i="5"/>
  <c r="AT129" i="5" s="1"/>
  <c r="AE201" i="5"/>
  <c r="AD93" i="5"/>
  <c r="AE362" i="5"/>
  <c r="AS53" i="5"/>
  <c r="AT53" i="5" s="1"/>
  <c r="AS204" i="5"/>
  <c r="AT204" i="5" s="1"/>
  <c r="AE231" i="5"/>
  <c r="AE240" i="5"/>
  <c r="AE163" i="5"/>
  <c r="AD53" i="5"/>
  <c r="AD219" i="5"/>
  <c r="AS93" i="5"/>
  <c r="AT93" i="5" s="1"/>
  <c r="AS199" i="5"/>
  <c r="AT199" i="5" s="1"/>
  <c r="AE344" i="5"/>
  <c r="AS163" i="5"/>
  <c r="AT163" i="5" s="1"/>
  <c r="AS247" i="5"/>
  <c r="AT247" i="5" s="1"/>
  <c r="AE321" i="5"/>
  <c r="AD320" i="5"/>
  <c r="AS291" i="5"/>
  <c r="AU291" i="5" s="1"/>
  <c r="AE108" i="5"/>
  <c r="AD348" i="5"/>
  <c r="AS320" i="5"/>
  <c r="AT320" i="5" s="1"/>
  <c r="AD291" i="5"/>
  <c r="AE183" i="5"/>
  <c r="AE348" i="5"/>
  <c r="AU182" i="5"/>
  <c r="AT72" i="5"/>
  <c r="AE413" i="5"/>
  <c r="AD182" i="5"/>
  <c r="AD413" i="5"/>
  <c r="AD72" i="5"/>
  <c r="AS406" i="5"/>
  <c r="AT406" i="5" s="1"/>
  <c r="AS480" i="5"/>
  <c r="AT480" i="5" s="1"/>
  <c r="AD45" i="5"/>
  <c r="AE317" i="5"/>
  <c r="AE20" i="5"/>
  <c r="AD317" i="5"/>
  <c r="AS272" i="5"/>
  <c r="AU272" i="5" s="1"/>
  <c r="Y26" i="4"/>
  <c r="Z26" i="4" s="1"/>
  <c r="X26" i="4"/>
  <c r="AJ26" i="4" s="1"/>
  <c r="AE26" i="4"/>
  <c r="AD272" i="5"/>
  <c r="AS45" i="5"/>
  <c r="AT45" i="5" s="1"/>
  <c r="AE323" i="5"/>
  <c r="AE559" i="5"/>
  <c r="AS323" i="5"/>
  <c r="AU323" i="5" s="1"/>
  <c r="AS559" i="5"/>
  <c r="AU559" i="5" s="1"/>
  <c r="AS409" i="5"/>
  <c r="AU409" i="5" s="1"/>
  <c r="AE387" i="5"/>
  <c r="AD409" i="5"/>
  <c r="AR11" i="5"/>
  <c r="Y22" i="4"/>
  <c r="Z22" i="4" s="1"/>
  <c r="AA22" i="4" s="1"/>
  <c r="AC22" i="4" s="1"/>
  <c r="AD22" i="4" s="1"/>
  <c r="AE22" i="4"/>
  <c r="AE129" i="4"/>
  <c r="X72" i="4"/>
  <c r="AJ72" i="4" s="1"/>
  <c r="AE72" i="4"/>
  <c r="AO72" i="4"/>
  <c r="AS11" i="5"/>
  <c r="AU11" i="5" s="1"/>
  <c r="Y148" i="4"/>
  <c r="Z148" i="4" s="1"/>
  <c r="AF148" i="4" s="1"/>
  <c r="AE148" i="4"/>
  <c r="Y109" i="4"/>
  <c r="Z109" i="4" s="1"/>
  <c r="AF109" i="4" s="1"/>
  <c r="AE109" i="4"/>
  <c r="AA143" i="4"/>
  <c r="AC143" i="4" s="1"/>
  <c r="AD143" i="4" s="1"/>
  <c r="AT127" i="5"/>
  <c r="AS287" i="5"/>
  <c r="AT287" i="5" s="1"/>
  <c r="AA42" i="4"/>
  <c r="AC42" i="4" s="1"/>
  <c r="AD42" i="4" s="1"/>
  <c r="AQ9" i="5"/>
  <c r="AE79" i="4"/>
  <c r="X129" i="4"/>
  <c r="AJ129" i="4" s="1"/>
  <c r="AF152" i="4"/>
  <c r="AG152" i="4" s="1"/>
  <c r="AI152" i="4" s="1"/>
  <c r="AS249" i="5"/>
  <c r="AU249" i="5" s="1"/>
  <c r="AF67" i="4"/>
  <c r="AG67" i="4" s="1"/>
  <c r="AI67" i="4" s="1"/>
  <c r="AE67" i="4"/>
  <c r="X67" i="4"/>
  <c r="AA67" i="4" s="1"/>
  <c r="AC67" i="4" s="1"/>
  <c r="AD67" i="4" s="1"/>
  <c r="X79" i="4"/>
  <c r="AJ79" i="4" s="1"/>
  <c r="AD130" i="5"/>
  <c r="AD449" i="5"/>
  <c r="X152" i="4"/>
  <c r="AA152" i="4" s="1"/>
  <c r="AC152" i="4" s="1"/>
  <c r="AD152" i="4" s="1"/>
  <c r="AE152" i="4"/>
  <c r="Y34" i="4"/>
  <c r="Z34" i="4" s="1"/>
  <c r="AE34" i="4"/>
  <c r="X34" i="4"/>
  <c r="AJ34" i="4" s="1"/>
  <c r="X133" i="4"/>
  <c r="AJ133" i="4" s="1"/>
  <c r="AE133" i="4"/>
  <c r="Y133" i="4"/>
  <c r="Z133" i="4" s="1"/>
  <c r="Y21" i="4"/>
  <c r="Z21" i="4" s="1"/>
  <c r="AE21" i="4"/>
  <c r="X21" i="4"/>
  <c r="AJ21" i="4" s="1"/>
  <c r="Y58" i="4"/>
  <c r="Z58" i="4" s="1"/>
  <c r="X58" i="4"/>
  <c r="AJ58" i="4" s="1"/>
  <c r="AE58" i="4"/>
  <c r="Y144" i="4"/>
  <c r="X144" i="4"/>
  <c r="AE144" i="4"/>
  <c r="Y24" i="4"/>
  <c r="Z24" i="4" s="1"/>
  <c r="AE24" i="4"/>
  <c r="X24" i="4"/>
  <c r="Y83" i="4"/>
  <c r="Z83" i="4" s="1"/>
  <c r="AE83" i="4"/>
  <c r="AE62" i="4"/>
  <c r="Y62" i="4"/>
  <c r="Z62" i="4" s="1"/>
  <c r="Y101" i="4"/>
  <c r="Z101" i="4" s="1"/>
  <c r="X101" i="4"/>
  <c r="AJ101" i="4" s="1"/>
  <c r="AE101" i="4"/>
  <c r="AF79" i="4"/>
  <c r="Y132" i="4"/>
  <c r="Z132" i="4" s="1"/>
  <c r="AF132" i="4" s="1"/>
  <c r="AE132" i="4"/>
  <c r="X132" i="4"/>
  <c r="Y94" i="4"/>
  <c r="Z94" i="4" s="1"/>
  <c r="X94" i="4"/>
  <c r="AA140" i="4"/>
  <c r="AC140" i="4" s="1"/>
  <c r="AD140" i="4" s="1"/>
  <c r="AK140" i="4"/>
  <c r="AF140" i="4"/>
  <c r="X62" i="4"/>
  <c r="AJ62" i="4" s="1"/>
  <c r="X83" i="4"/>
  <c r="AJ83" i="4" s="1"/>
  <c r="X141" i="4"/>
  <c r="AJ141" i="4" s="1"/>
  <c r="Y141" i="4"/>
  <c r="AE141" i="4"/>
  <c r="Y59" i="4"/>
  <c r="Z59" i="4" s="1"/>
  <c r="AE59" i="4"/>
  <c r="Y10" i="4"/>
  <c r="Z10" i="4" s="1"/>
  <c r="X10" i="4"/>
  <c r="AJ10" i="4" s="1"/>
  <c r="AE10" i="4"/>
  <c r="Y130" i="4"/>
  <c r="X130" i="4"/>
  <c r="AE130" i="4"/>
  <c r="X155" i="4"/>
  <c r="Y155" i="4"/>
  <c r="AF105" i="4"/>
  <c r="AA105" i="4"/>
  <c r="AC105" i="4" s="1"/>
  <c r="AD105" i="4" s="1"/>
  <c r="AK105" i="4"/>
  <c r="AD287" i="5"/>
  <c r="AD249" i="5"/>
  <c r="AE449" i="5"/>
  <c r="AE292" i="5"/>
  <c r="AS393" i="5"/>
  <c r="AT393" i="5" s="1"/>
  <c r="AS292" i="5"/>
  <c r="AU292" i="5" s="1"/>
  <c r="AS391" i="5"/>
  <c r="AT391" i="5" s="1"/>
  <c r="AD393" i="5"/>
  <c r="AE391" i="5"/>
  <c r="AA84" i="4"/>
  <c r="AC84" i="4" s="1"/>
  <c r="AD84" i="4" s="1"/>
  <c r="AK84" i="4"/>
  <c r="AF84" i="4"/>
  <c r="AE286" i="5"/>
  <c r="AD286" i="5"/>
  <c r="AS162" i="5"/>
  <c r="AT162" i="5" s="1"/>
  <c r="AD123" i="5"/>
  <c r="AD74" i="5"/>
  <c r="AD11" i="5"/>
  <c r="AG75" i="4"/>
  <c r="AI75" i="4" s="1"/>
  <c r="AE11" i="5"/>
  <c r="AS235" i="5"/>
  <c r="AU235" i="5" s="1"/>
  <c r="AE10" i="5"/>
  <c r="AS10" i="5"/>
  <c r="AU10" i="5" s="1"/>
  <c r="AD235" i="5"/>
  <c r="AE123" i="5"/>
  <c r="AE74" i="5"/>
  <c r="AE162" i="5"/>
  <c r="AS299" i="5"/>
  <c r="AU299" i="5" s="1"/>
  <c r="AO108" i="4"/>
  <c r="AK40" i="4"/>
  <c r="AD557" i="5"/>
  <c r="AE549" i="5"/>
  <c r="AE271" i="5"/>
  <c r="AA40" i="4"/>
  <c r="AC40" i="4" s="1"/>
  <c r="AD40" i="4" s="1"/>
  <c r="AR40" i="4" s="1"/>
  <c r="AT40" i="4" s="1"/>
  <c r="AD311" i="5"/>
  <c r="AS8" i="5"/>
  <c r="AT8" i="5" s="1"/>
  <c r="AS169" i="5"/>
  <c r="AT169" i="5" s="1"/>
  <c r="AE340" i="5"/>
  <c r="AD397" i="5"/>
  <c r="AD538" i="5"/>
  <c r="AE407" i="5"/>
  <c r="AD176" i="5"/>
  <c r="AE311" i="5"/>
  <c r="AE130" i="5"/>
  <c r="AS340" i="5"/>
  <c r="AU340" i="5" s="1"/>
  <c r="AE412" i="5"/>
  <c r="AS271" i="5"/>
  <c r="AT271" i="5" s="1"/>
  <c r="AD445" i="5"/>
  <c r="AS95" i="5"/>
  <c r="AT95" i="5" s="1"/>
  <c r="AE538" i="5"/>
  <c r="AS412" i="5"/>
  <c r="AT412" i="5" s="1"/>
  <c r="AD334" i="5"/>
  <c r="AE445" i="5"/>
  <c r="AD95" i="5"/>
  <c r="AD458" i="5"/>
  <c r="AS79" i="5"/>
  <c r="AT79" i="5" s="1"/>
  <c r="AX78" i="5" s="1"/>
  <c r="AY78" i="5" s="1"/>
  <c r="AE52" i="5"/>
  <c r="AS458" i="5"/>
  <c r="AU458" i="5" s="1"/>
  <c r="AE79" i="5"/>
  <c r="AS52" i="5"/>
  <c r="AU52" i="5" s="1"/>
  <c r="AD233" i="5"/>
  <c r="AE510" i="5"/>
  <c r="AE467" i="5"/>
  <c r="AS233" i="5"/>
  <c r="AU233" i="5" s="1"/>
  <c r="AS396" i="5"/>
  <c r="AT396" i="5" s="1"/>
  <c r="AD169" i="5"/>
  <c r="AS510" i="5"/>
  <c r="AU510" i="5" s="1"/>
  <c r="AD467" i="5"/>
  <c r="AE299" i="5"/>
  <c r="AD396" i="5"/>
  <c r="AE397" i="5"/>
  <c r="AS443" i="5"/>
  <c r="AU443" i="5" s="1"/>
  <c r="AE373" i="5"/>
  <c r="AD448" i="5"/>
  <c r="AS364" i="5"/>
  <c r="AT364" i="5" s="1"/>
  <c r="AE215" i="5"/>
  <c r="AD215" i="5"/>
  <c r="AS549" i="5"/>
  <c r="AU549" i="5" s="1"/>
  <c r="AE557" i="5"/>
  <c r="AE448" i="5"/>
  <c r="AD364" i="5"/>
  <c r="AS56" i="5"/>
  <c r="AU56" i="5" s="1"/>
  <c r="AE370" i="5"/>
  <c r="AE107" i="5"/>
  <c r="AE57" i="5"/>
  <c r="AD39" i="5"/>
  <c r="AS191" i="5"/>
  <c r="AU191" i="5" s="1"/>
  <c r="AE172" i="5"/>
  <c r="AS490" i="5"/>
  <c r="AT490" i="5" s="1"/>
  <c r="AD464" i="5"/>
  <c r="AD373" i="5"/>
  <c r="AS539" i="5"/>
  <c r="AT539" i="5" s="1"/>
  <c r="AD443" i="5"/>
  <c r="AS550" i="5"/>
  <c r="AU550" i="5" s="1"/>
  <c r="AS503" i="5"/>
  <c r="AT503" i="5" s="1"/>
  <c r="AE490" i="5"/>
  <c r="AE539" i="5"/>
  <c r="AE550" i="5"/>
  <c r="AD290" i="5"/>
  <c r="AE464" i="5"/>
  <c r="AE252" i="5"/>
  <c r="AD96" i="5"/>
  <c r="AS154" i="5"/>
  <c r="AU154" i="5" s="1"/>
  <c r="AE290" i="5"/>
  <c r="AD370" i="5"/>
  <c r="AS230" i="5"/>
  <c r="AT230" i="5" s="1"/>
  <c r="AD252" i="5"/>
  <c r="AS96" i="5"/>
  <c r="AU96" i="5" s="1"/>
  <c r="AE154" i="5"/>
  <c r="AD542" i="5"/>
  <c r="AS457" i="5"/>
  <c r="AT457" i="5" s="1"/>
  <c r="AE457" i="5"/>
  <c r="AE230" i="5"/>
  <c r="AS542" i="5"/>
  <c r="AU542" i="5" s="1"/>
  <c r="AD191" i="5"/>
  <c r="AS57" i="5"/>
  <c r="AT57" i="5" s="1"/>
  <c r="AS207" i="5"/>
  <c r="AU207" i="5" s="1"/>
  <c r="AE207" i="5"/>
  <c r="AE212" i="5"/>
  <c r="AD284" i="5"/>
  <c r="AD212" i="5"/>
  <c r="AE418" i="5"/>
  <c r="AE85" i="5"/>
  <c r="AS196" i="5"/>
  <c r="AU196" i="5" s="1"/>
  <c r="AS352" i="5"/>
  <c r="AU352" i="5" s="1"/>
  <c r="AE161" i="5"/>
  <c r="AE64" i="5"/>
  <c r="AD547" i="5"/>
  <c r="AE288" i="5"/>
  <c r="AD187" i="5"/>
  <c r="AD435" i="5"/>
  <c r="AE305" i="5"/>
  <c r="AE187" i="5"/>
  <c r="AS435" i="5"/>
  <c r="AT435" i="5" s="1"/>
  <c r="AD305" i="5"/>
  <c r="AD71" i="5"/>
  <c r="AD315" i="5"/>
  <c r="AS315" i="5"/>
  <c r="AT315" i="5" s="1"/>
  <c r="AE250" i="5"/>
  <c r="AE156" i="5"/>
  <c r="AS346" i="5"/>
  <c r="AT346" i="5" s="1"/>
  <c r="AD149" i="5"/>
  <c r="AE312" i="5"/>
  <c r="AS124" i="5"/>
  <c r="AU124" i="5" s="1"/>
  <c r="AD367" i="5"/>
  <c r="AE124" i="5"/>
  <c r="AE526" i="5"/>
  <c r="AS307" i="5"/>
  <c r="AT307" i="5" s="1"/>
  <c r="AS211" i="5"/>
  <c r="AT211" i="5" s="1"/>
  <c r="AS526" i="5"/>
  <c r="AU526" i="5" s="1"/>
  <c r="AE531" i="5"/>
  <c r="AD312" i="5"/>
  <c r="AD225" i="5"/>
  <c r="AD159" i="5"/>
  <c r="AS330" i="5"/>
  <c r="AT330" i="5" s="1"/>
  <c r="AD485" i="5"/>
  <c r="AS419" i="5"/>
  <c r="AU419" i="5" s="1"/>
  <c r="AD330" i="5"/>
  <c r="AE485" i="5"/>
  <c r="AS139" i="5"/>
  <c r="AT139" i="5" s="1"/>
  <c r="AS185" i="5"/>
  <c r="AT185" i="5" s="1"/>
  <c r="AS519" i="5"/>
  <c r="AU519" i="5" s="1"/>
  <c r="AS227" i="5"/>
  <c r="AU227" i="5" s="1"/>
  <c r="AE246" i="5"/>
  <c r="AE224" i="5"/>
  <c r="AD47" i="5"/>
  <c r="AS487" i="5"/>
  <c r="AU487" i="5" s="1"/>
  <c r="AA124" i="4"/>
  <c r="AC124" i="4" s="1"/>
  <c r="AD124" i="4" s="1"/>
  <c r="AE487" i="5"/>
  <c r="AE326" i="5"/>
  <c r="AD167" i="5"/>
  <c r="AD28" i="5"/>
  <c r="AS326" i="5"/>
  <c r="AU326" i="5" s="1"/>
  <c r="AE118" i="5"/>
  <c r="AE176" i="5"/>
  <c r="AS407" i="5"/>
  <c r="AT407" i="5" s="1"/>
  <c r="AS39" i="5"/>
  <c r="AT39" i="5" s="1"/>
  <c r="AE98" i="5"/>
  <c r="AS172" i="5"/>
  <c r="AU172" i="5" s="1"/>
  <c r="AE284" i="5"/>
  <c r="AS547" i="5"/>
  <c r="AU547" i="5" s="1"/>
  <c r="AD488" i="5"/>
  <c r="AS418" i="5"/>
  <c r="AT418" i="5" s="1"/>
  <c r="AE196" i="5"/>
  <c r="AS357" i="5"/>
  <c r="AU357" i="5" s="1"/>
  <c r="AD358" i="5"/>
  <c r="AS98" i="5"/>
  <c r="AT98" i="5" s="1"/>
  <c r="AE488" i="5"/>
  <c r="AD357" i="5"/>
  <c r="AD144" i="5"/>
  <c r="AS322" i="5"/>
  <c r="AT322" i="5" s="1"/>
  <c r="AE144" i="5"/>
  <c r="AS107" i="5"/>
  <c r="AU107" i="5" s="1"/>
  <c r="AE352" i="5"/>
  <c r="AD85" i="5"/>
  <c r="AD322" i="5"/>
  <c r="AD161" i="5"/>
  <c r="AS64" i="5"/>
  <c r="AT64" i="5" s="1"/>
  <c r="AD8" i="5"/>
  <c r="AD139" i="5"/>
  <c r="AE346" i="5"/>
  <c r="AE423" i="5"/>
  <c r="AE185" i="5"/>
  <c r="AE419" i="5"/>
  <c r="AE159" i="5"/>
  <c r="AE227" i="5"/>
  <c r="AD37" i="5"/>
  <c r="AS246" i="5"/>
  <c r="AU246" i="5" s="1"/>
  <c r="AD524" i="5"/>
  <c r="AS423" i="5"/>
  <c r="AU423" i="5" s="1"/>
  <c r="AE37" i="5"/>
  <c r="AE524" i="5"/>
  <c r="AE319" i="5"/>
  <c r="AE100" i="5"/>
  <c r="AD319" i="5"/>
  <c r="AD273" i="5"/>
  <c r="AE442" i="5"/>
  <c r="AS225" i="5"/>
  <c r="AT225" i="5" s="1"/>
  <c r="AD100" i="5"/>
  <c r="AS273" i="5"/>
  <c r="AT273" i="5" s="1"/>
  <c r="AS281" i="5"/>
  <c r="AT281" i="5" s="1"/>
  <c r="AE408" i="5"/>
  <c r="AS442" i="5"/>
  <c r="AU442" i="5" s="1"/>
  <c r="AD281" i="5"/>
  <c r="AE535" i="5"/>
  <c r="AD86" i="5"/>
  <c r="AS535" i="5"/>
  <c r="AU535" i="5" s="1"/>
  <c r="AE489" i="5"/>
  <c r="AO68" i="4"/>
  <c r="AD489" i="5"/>
  <c r="AS224" i="5"/>
  <c r="AT224" i="5" s="1"/>
  <c r="AE61" i="5"/>
  <c r="AE355" i="5"/>
  <c r="AE430" i="5"/>
  <c r="AS61" i="5"/>
  <c r="AU61" i="5" s="1"/>
  <c r="AE177" i="5"/>
  <c r="AS28" i="5"/>
  <c r="AU28" i="5" s="1"/>
  <c r="AS355" i="5"/>
  <c r="AT355" i="5" s="1"/>
  <c r="AS430" i="5"/>
  <c r="AU430" i="5" s="1"/>
  <c r="AD256" i="5"/>
  <c r="AE337" i="5"/>
  <c r="AD389" i="5"/>
  <c r="AD56" i="5"/>
  <c r="AD307" i="5"/>
  <c r="AD211" i="5"/>
  <c r="AG103" i="4"/>
  <c r="AI103" i="4" s="1"/>
  <c r="AD87" i="5"/>
  <c r="AE493" i="5"/>
  <c r="AS493" i="5"/>
  <c r="AT493" i="5" s="1"/>
  <c r="AS195" i="5"/>
  <c r="AT195" i="5" s="1"/>
  <c r="AS92" i="5"/>
  <c r="AT92" i="5" s="1"/>
  <c r="AS190" i="5"/>
  <c r="AU190" i="5" s="1"/>
  <c r="AS30" i="5"/>
  <c r="AU30" i="5" s="1"/>
  <c r="AD195" i="5"/>
  <c r="AE190" i="5"/>
  <c r="AE30" i="5"/>
  <c r="AS41" i="5"/>
  <c r="AU41" i="5" s="1"/>
  <c r="AD439" i="5"/>
  <c r="AK85" i="4"/>
  <c r="AD192" i="5"/>
  <c r="AS86" i="5"/>
  <c r="AT86" i="5" s="1"/>
  <c r="AS177" i="5"/>
  <c r="AT177" i="5" s="1"/>
  <c r="AS164" i="5"/>
  <c r="AU164" i="5" s="1"/>
  <c r="AD164" i="5"/>
  <c r="AE461" i="5"/>
  <c r="AE192" i="5"/>
  <c r="AE347" i="5"/>
  <c r="AE146" i="5"/>
  <c r="AE41" i="5"/>
  <c r="AD51" i="5"/>
  <c r="AS527" i="5"/>
  <c r="AU527" i="5" s="1"/>
  <c r="AD337" i="5"/>
  <c r="AE87" i="5"/>
  <c r="AK82" i="4"/>
  <c r="AD461" i="5"/>
  <c r="AS367" i="5"/>
  <c r="AU367" i="5" s="1"/>
  <c r="AS51" i="5"/>
  <c r="AU51" i="5" s="1"/>
  <c r="AA120" i="4"/>
  <c r="AC120" i="4" s="1"/>
  <c r="AD120" i="4" s="1"/>
  <c r="AD527" i="5"/>
  <c r="AK153" i="4"/>
  <c r="AD408" i="5"/>
  <c r="AS389" i="5"/>
  <c r="AT389" i="5" s="1"/>
  <c r="AK102" i="4"/>
  <c r="AS368" i="5"/>
  <c r="AT368" i="5" s="1"/>
  <c r="AE368" i="5"/>
  <c r="AE63" i="5"/>
  <c r="AE131" i="5"/>
  <c r="AS131" i="5"/>
  <c r="AT131" i="5" s="1"/>
  <c r="AE167" i="5"/>
  <c r="AK81" i="4"/>
  <c r="AD347" i="5"/>
  <c r="AD146" i="5"/>
  <c r="AD63" i="5"/>
  <c r="AS439" i="5"/>
  <c r="AT439" i="5" s="1"/>
  <c r="AG97" i="4"/>
  <c r="AI97" i="4" s="1"/>
  <c r="AA45" i="4"/>
  <c r="AC45" i="4" s="1"/>
  <c r="AD45" i="4" s="1"/>
  <c r="AA102" i="4"/>
  <c r="AC102" i="4" s="1"/>
  <c r="AD102" i="4" s="1"/>
  <c r="AS156" i="5"/>
  <c r="AU156" i="5" s="1"/>
  <c r="AS71" i="5"/>
  <c r="AT71" i="5" s="1"/>
  <c r="AD170" i="5"/>
  <c r="AE170" i="5"/>
  <c r="AS250" i="5"/>
  <c r="AT250" i="5" s="1"/>
  <c r="AF32" i="4"/>
  <c r="AG32" i="4" s="1"/>
  <c r="AI32" i="4" s="1"/>
  <c r="AA122" i="4"/>
  <c r="AC122" i="4" s="1"/>
  <c r="AD122" i="4" s="1"/>
  <c r="AK45" i="4"/>
  <c r="AS415" i="5"/>
  <c r="AU415" i="5" s="1"/>
  <c r="AD415" i="5"/>
  <c r="AO45" i="4"/>
  <c r="AD516" i="5"/>
  <c r="AA82" i="4"/>
  <c r="AC82" i="4" s="1"/>
  <c r="AD82" i="4" s="1"/>
  <c r="AR82" i="4" s="1"/>
  <c r="AT82" i="4" s="1"/>
  <c r="AS516" i="5"/>
  <c r="AU516" i="5" s="1"/>
  <c r="AS152" i="5"/>
  <c r="AU152" i="5" s="1"/>
  <c r="AE152" i="5"/>
  <c r="AD288" i="5"/>
  <c r="AK71" i="4"/>
  <c r="AE149" i="5"/>
  <c r="AF120" i="4"/>
  <c r="AO120" i="4" s="1"/>
  <c r="AS531" i="5"/>
  <c r="AU531" i="5" s="1"/>
  <c r="AE554" i="5"/>
  <c r="AS334" i="5"/>
  <c r="AU334" i="5" s="1"/>
  <c r="AE256" i="5"/>
  <c r="AD554" i="5"/>
  <c r="AK120" i="4"/>
  <c r="AE258" i="5"/>
  <c r="AE276" i="5"/>
  <c r="AE328" i="5"/>
  <c r="AS358" i="5"/>
  <c r="AU358" i="5" s="1"/>
  <c r="AE519" i="5"/>
  <c r="AD92" i="5"/>
  <c r="AS372" i="5"/>
  <c r="AT372" i="5" s="1"/>
  <c r="AS276" i="5"/>
  <c r="AT276" i="5" s="1"/>
  <c r="AS507" i="5"/>
  <c r="AT507" i="5" s="1"/>
  <c r="AD258" i="5"/>
  <c r="AS328" i="5"/>
  <c r="AT328" i="5" s="1"/>
  <c r="AE507" i="5"/>
  <c r="AK80" i="4"/>
  <c r="AA81" i="4"/>
  <c r="AC81" i="4" s="1"/>
  <c r="AD81" i="4" s="1"/>
  <c r="AF52" i="4"/>
  <c r="AA52" i="4"/>
  <c r="AC52" i="4" s="1"/>
  <c r="AD52" i="4" s="1"/>
  <c r="AE431" i="5"/>
  <c r="AS89" i="5"/>
  <c r="AU89" i="5" s="1"/>
  <c r="AS47" i="5"/>
  <c r="AT47" i="5" s="1"/>
  <c r="AE474" i="5"/>
  <c r="AF116" i="4"/>
  <c r="AK116" i="4"/>
  <c r="AJ108" i="4"/>
  <c r="AK108" i="4"/>
  <c r="AO70" i="4"/>
  <c r="AG70" i="4"/>
  <c r="AI70" i="4" s="1"/>
  <c r="AS431" i="5"/>
  <c r="AU431" i="5" s="1"/>
  <c r="AE89" i="5"/>
  <c r="AS474" i="5"/>
  <c r="AT474" i="5" s="1"/>
  <c r="B93" i="2"/>
  <c r="B113" i="2" s="1"/>
  <c r="H25" i="1" s="1"/>
  <c r="AG44" i="4"/>
  <c r="AI44" i="4" s="1"/>
  <c r="AO44" i="4"/>
  <c r="AF137" i="4"/>
  <c r="AK137" i="4"/>
  <c r="AA137" i="4"/>
  <c r="AC137" i="4" s="1"/>
  <c r="AD137" i="4" s="1"/>
  <c r="AA126" i="4"/>
  <c r="AC126" i="4" s="1"/>
  <c r="AD126" i="4" s="1"/>
  <c r="AF126" i="4"/>
  <c r="AK126" i="4"/>
  <c r="AF95" i="4"/>
  <c r="AS545" i="5"/>
  <c r="AU545" i="5" s="1"/>
  <c r="AD109" i="5"/>
  <c r="AA117" i="4"/>
  <c r="AC117" i="4" s="1"/>
  <c r="AD117" i="4" s="1"/>
  <c r="AF86" i="4"/>
  <c r="AF69" i="4"/>
  <c r="AE545" i="5"/>
  <c r="AE109" i="5"/>
  <c r="AD324" i="5"/>
  <c r="AA157" i="4"/>
  <c r="AC157" i="4" s="1"/>
  <c r="AD157" i="4" s="1"/>
  <c r="AF157" i="4"/>
  <c r="AK157" i="4"/>
  <c r="AF14" i="4"/>
  <c r="AS84" i="5"/>
  <c r="AT84" i="5" s="1"/>
  <c r="AE454" i="5"/>
  <c r="AA116" i="4"/>
  <c r="AC116" i="4" s="1"/>
  <c r="AD116" i="4" s="1"/>
  <c r="AJ116" i="4"/>
  <c r="AA71" i="4"/>
  <c r="AC71" i="4" s="1"/>
  <c r="AD71" i="4" s="1"/>
  <c r="AF54" i="4"/>
  <c r="AA54" i="4"/>
  <c r="AC54" i="4" s="1"/>
  <c r="AD54" i="4" s="1"/>
  <c r="AK54" i="4"/>
  <c r="AA44" i="4"/>
  <c r="AC44" i="4" s="1"/>
  <c r="AD44" i="4" s="1"/>
  <c r="AJ44" i="4"/>
  <c r="AK128" i="4"/>
  <c r="AF128" i="4"/>
  <c r="AA128" i="4"/>
  <c r="AC128" i="4" s="1"/>
  <c r="AD128" i="4" s="1"/>
  <c r="AF77" i="4"/>
  <c r="AA77" i="4"/>
  <c r="AC77" i="4" s="1"/>
  <c r="AD77" i="4" s="1"/>
  <c r="AK77" i="4"/>
  <c r="AE324" i="5"/>
  <c r="AE84" i="5"/>
  <c r="AD372" i="5"/>
  <c r="AK122" i="4"/>
  <c r="AD454" i="5"/>
  <c r="AO123" i="4"/>
  <c r="AG123" i="4"/>
  <c r="AI123" i="4" s="1"/>
  <c r="AA108" i="4"/>
  <c r="AC108" i="4" s="1"/>
  <c r="AD108" i="4" s="1"/>
  <c r="AA8" i="4"/>
  <c r="AC8" i="4" s="1"/>
  <c r="AD8" i="4" s="1"/>
  <c r="AF8" i="4"/>
  <c r="AK8" i="4"/>
  <c r="AA134" i="4"/>
  <c r="AC134" i="4" s="1"/>
  <c r="AD134" i="4" s="1"/>
  <c r="AF134" i="4"/>
  <c r="AK134" i="4"/>
  <c r="AA93" i="4"/>
  <c r="AC93" i="4" s="1"/>
  <c r="AD93" i="4" s="1"/>
  <c r="AF93" i="4"/>
  <c r="AK93" i="4"/>
  <c r="AO111" i="4"/>
  <c r="AG111" i="4"/>
  <c r="AI111" i="4" s="1"/>
  <c r="AK52" i="4"/>
  <c r="AA80" i="4"/>
  <c r="AC80" i="4" s="1"/>
  <c r="AD80" i="4" s="1"/>
  <c r="AF47" i="4"/>
  <c r="AF135" i="4"/>
  <c r="AJ70" i="4"/>
  <c r="AA70" i="4"/>
  <c r="AC70" i="4" s="1"/>
  <c r="AD70" i="4" s="1"/>
  <c r="AF23" i="4"/>
  <c r="AA23" i="4"/>
  <c r="AC23" i="4" s="1"/>
  <c r="AD23" i="4" s="1"/>
  <c r="AK23" i="4"/>
  <c r="AD118" i="5"/>
  <c r="AS242" i="5"/>
  <c r="AU242" i="5" s="1"/>
  <c r="AE91" i="5"/>
  <c r="AE242" i="5"/>
  <c r="AE484" i="5"/>
  <c r="AS88" i="5"/>
  <c r="AU88" i="5" s="1"/>
  <c r="AD91" i="5"/>
  <c r="AS497" i="5"/>
  <c r="AU497" i="5" s="1"/>
  <c r="AD484" i="5"/>
  <c r="AD88" i="5"/>
  <c r="AD497" i="5"/>
  <c r="AD503" i="5"/>
  <c r="AE9" i="5"/>
  <c r="AS9" i="5"/>
  <c r="AD9" i="5"/>
  <c r="AO85" i="4"/>
  <c r="AK65" i="4"/>
  <c r="AO81" i="4"/>
  <c r="AA151" i="4"/>
  <c r="AC151" i="4" s="1"/>
  <c r="AD151" i="4" s="1"/>
  <c r="AR151" i="4" s="1"/>
  <c r="AT151" i="4" s="1"/>
  <c r="AG49" i="4"/>
  <c r="AI49" i="4" s="1"/>
  <c r="AA153" i="4"/>
  <c r="AC153" i="4" s="1"/>
  <c r="AD153" i="4" s="1"/>
  <c r="AK117" i="4"/>
  <c r="AK151" i="4"/>
  <c r="AG114" i="4"/>
  <c r="AI114" i="4" s="1"/>
  <c r="AK124" i="4"/>
  <c r="AK13" i="4"/>
  <c r="AG43" i="4"/>
  <c r="AI43" i="4" s="1"/>
  <c r="AA13" i="4"/>
  <c r="AC13" i="4" s="1"/>
  <c r="AD13" i="4" s="1"/>
  <c r="AO17" i="4"/>
  <c r="AK92" i="4"/>
  <c r="AA65" i="4"/>
  <c r="AC65" i="4" s="1"/>
  <c r="AD65" i="4" s="1"/>
  <c r="AG149" i="4"/>
  <c r="AI149" i="4" s="1"/>
  <c r="AK51" i="4"/>
  <c r="AA17" i="4"/>
  <c r="AC17" i="4" s="1"/>
  <c r="AD17" i="4" s="1"/>
  <c r="AK136" i="4"/>
  <c r="AG139" i="4"/>
  <c r="AI139" i="4" s="1"/>
  <c r="AR139" i="4" s="1"/>
  <c r="AT139" i="4" s="1"/>
  <c r="AA92" i="4"/>
  <c r="AC92" i="4" s="1"/>
  <c r="AD92" i="4" s="1"/>
  <c r="AK97" i="4"/>
  <c r="AK17" i="4"/>
  <c r="AA48" i="4"/>
  <c r="AC48" i="4" s="1"/>
  <c r="AD48" i="4" s="1"/>
  <c r="AA51" i="4"/>
  <c r="AC51" i="4" s="1"/>
  <c r="AD51" i="4" s="1"/>
  <c r="AK55" i="4"/>
  <c r="AA97" i="4"/>
  <c r="AC97" i="4" s="1"/>
  <c r="AD97" i="4" s="1"/>
  <c r="AA136" i="4"/>
  <c r="AC136" i="4" s="1"/>
  <c r="AD136" i="4" s="1"/>
  <c r="AA85" i="4"/>
  <c r="AC85" i="4" s="1"/>
  <c r="AD85" i="4" s="1"/>
  <c r="AA90" i="4"/>
  <c r="AC90" i="4" s="1"/>
  <c r="AD90" i="4" s="1"/>
  <c r="AK138" i="4"/>
  <c r="AA113" i="4"/>
  <c r="AC113" i="4" s="1"/>
  <c r="AD113" i="4" s="1"/>
  <c r="AA138" i="4"/>
  <c r="AC138" i="4" s="1"/>
  <c r="AD138" i="4" s="1"/>
  <c r="AJ104" i="4"/>
  <c r="AA104" i="4"/>
  <c r="AC104" i="4" s="1"/>
  <c r="AD104" i="4" s="1"/>
  <c r="AK16" i="4"/>
  <c r="AA55" i="4"/>
  <c r="AC55" i="4" s="1"/>
  <c r="AD55" i="4" s="1"/>
  <c r="AA131" i="4"/>
  <c r="AC131" i="4" s="1"/>
  <c r="AD131" i="4" s="1"/>
  <c r="AR36" i="4"/>
  <c r="AT36" i="4" s="1"/>
  <c r="AO48" i="4"/>
  <c r="AG48" i="4"/>
  <c r="AI48" i="4" s="1"/>
  <c r="AG131" i="4"/>
  <c r="AI131" i="4" s="1"/>
  <c r="AO131" i="4"/>
  <c r="AG90" i="4"/>
  <c r="AI90" i="4" s="1"/>
  <c r="AO90" i="4"/>
  <c r="AG117" i="4"/>
  <c r="AI117" i="4" s="1"/>
  <c r="AO117" i="4"/>
  <c r="AT7" i="5"/>
  <c r="AU7" i="5"/>
  <c r="AT83" i="5"/>
  <c r="AU83" i="5"/>
  <c r="AT146" i="5"/>
  <c r="AU146" i="5"/>
  <c r="AO57" i="4"/>
  <c r="AG57" i="4"/>
  <c r="AI57" i="4" s="1"/>
  <c r="AU500" i="5"/>
  <c r="AT500" i="5"/>
  <c r="AU294" i="5"/>
  <c r="AT294" i="5"/>
  <c r="AF73" i="4"/>
  <c r="AK73" i="4"/>
  <c r="AJ36" i="4"/>
  <c r="AK36" i="4"/>
  <c r="AT109" i="5"/>
  <c r="AU109" i="5"/>
  <c r="AT337" i="5"/>
  <c r="AU337" i="5"/>
  <c r="AG104" i="4"/>
  <c r="AI104" i="4" s="1"/>
  <c r="AO104" i="4"/>
  <c r="AT434" i="5"/>
  <c r="AU434" i="5"/>
  <c r="AU424" i="5"/>
  <c r="AT424" i="5"/>
  <c r="AU171" i="5"/>
  <c r="AT171" i="5"/>
  <c r="AJ154" i="4"/>
  <c r="AK154" i="4"/>
  <c r="AT208" i="5"/>
  <c r="AU208" i="5"/>
  <c r="AU118" i="5"/>
  <c r="AT118" i="5"/>
  <c r="AG138" i="4"/>
  <c r="AI138" i="4" s="1"/>
  <c r="AO138" i="4"/>
  <c r="AT317" i="5"/>
  <c r="AU317" i="5"/>
  <c r="AJ115" i="4"/>
  <c r="AK115" i="4"/>
  <c r="AT461" i="5"/>
  <c r="AU461" i="5"/>
  <c r="AU159" i="5"/>
  <c r="AT159" i="5"/>
  <c r="AU303" i="5"/>
  <c r="AT303" i="5"/>
  <c r="AT520" i="5"/>
  <c r="AU520" i="5"/>
  <c r="AT347" i="5"/>
  <c r="AU347" i="5"/>
  <c r="AO33" i="4"/>
  <c r="AG33" i="4"/>
  <c r="AI33" i="4" s="1"/>
  <c r="AT101" i="5"/>
  <c r="AU101" i="5"/>
  <c r="AU495" i="5"/>
  <c r="AT495" i="5"/>
  <c r="AT544" i="5"/>
  <c r="AU544" i="5"/>
  <c r="AT33" i="5"/>
  <c r="AU33" i="5"/>
  <c r="AU413" i="5"/>
  <c r="AT413" i="5"/>
  <c r="AU279" i="5"/>
  <c r="AT279" i="5"/>
  <c r="AA16" i="4"/>
  <c r="AC16" i="4" s="1"/>
  <c r="AD16" i="4" s="1"/>
  <c r="AG51" i="4"/>
  <c r="AI51" i="4" s="1"/>
  <c r="AO51" i="4"/>
  <c r="AU135" i="5"/>
  <c r="AT135" i="5"/>
  <c r="AU251" i="5"/>
  <c r="AT251" i="5"/>
  <c r="AT180" i="5"/>
  <c r="AU180" i="5"/>
  <c r="AE13" i="5"/>
  <c r="AD13" i="5"/>
  <c r="AS13" i="5"/>
  <c r="AJ131" i="4"/>
  <c r="AK131" i="4"/>
  <c r="AO147" i="4"/>
  <c r="AG147" i="4"/>
  <c r="AI147" i="4" s="1"/>
  <c r="AO60" i="4"/>
  <c r="AG60" i="4"/>
  <c r="AI60" i="4" s="1"/>
  <c r="AU173" i="5"/>
  <c r="AT173" i="5"/>
  <c r="AJ78" i="4"/>
  <c r="AK78" i="4"/>
  <c r="AU183" i="5"/>
  <c r="AT183" i="5"/>
  <c r="AX182" i="5" s="1"/>
  <c r="AY182" i="5" s="1"/>
  <c r="AT392" i="5"/>
  <c r="AU392" i="5"/>
  <c r="AT464" i="5"/>
  <c r="AU464" i="5"/>
  <c r="AJ139" i="4"/>
  <c r="AK139" i="4"/>
  <c r="AG121" i="4"/>
  <c r="AI121" i="4" s="1"/>
  <c r="AO121" i="4"/>
  <c r="AU100" i="5"/>
  <c r="AT100" i="5"/>
  <c r="AT160" i="5"/>
  <c r="AU160" i="5"/>
  <c r="AU167" i="5"/>
  <c r="AT167" i="5"/>
  <c r="AT286" i="5"/>
  <c r="AU286" i="5"/>
  <c r="AU362" i="5"/>
  <c r="AT362" i="5"/>
  <c r="AO107" i="4"/>
  <c r="AG107" i="4"/>
  <c r="AI107" i="4" s="1"/>
  <c r="AJ121" i="4"/>
  <c r="AK121" i="4"/>
  <c r="AJ53" i="4"/>
  <c r="AK53" i="4"/>
  <c r="AT479" i="5"/>
  <c r="AU479" i="5"/>
  <c r="AG153" i="4"/>
  <c r="AI153" i="4" s="1"/>
  <c r="AO153" i="4"/>
  <c r="AT454" i="5"/>
  <c r="AU454" i="5"/>
  <c r="AT34" i="5"/>
  <c r="AU34" i="5"/>
  <c r="AO80" i="4"/>
  <c r="AG80" i="4"/>
  <c r="AI80" i="4" s="1"/>
  <c r="AT187" i="5"/>
  <c r="AU187" i="5"/>
  <c r="AT223" i="5"/>
  <c r="AU223" i="5"/>
  <c r="AU449" i="5"/>
  <c r="AT449" i="5"/>
  <c r="AT181" i="5"/>
  <c r="AU181" i="5"/>
  <c r="AT206" i="5"/>
  <c r="AU206" i="5"/>
  <c r="AU481" i="5"/>
  <c r="AT481" i="5"/>
  <c r="AU136" i="5"/>
  <c r="AT136" i="5"/>
  <c r="AG13" i="4"/>
  <c r="AI13" i="4" s="1"/>
  <c r="AO13" i="4"/>
  <c r="AU258" i="5"/>
  <c r="AT258" i="5"/>
  <c r="AX257" i="5" s="1"/>
  <c r="AY257" i="5" s="1"/>
  <c r="AT397" i="5"/>
  <c r="AU397" i="5"/>
  <c r="AU252" i="5"/>
  <c r="AT252" i="5"/>
  <c r="AU254" i="5"/>
  <c r="AT254" i="5"/>
  <c r="AU365" i="5"/>
  <c r="AT365" i="5"/>
  <c r="AU85" i="5"/>
  <c r="AT85" i="5"/>
  <c r="AU165" i="5"/>
  <c r="AT165" i="5"/>
  <c r="AG113" i="4"/>
  <c r="AI113" i="4" s="1"/>
  <c r="AO113" i="4"/>
  <c r="AT448" i="5"/>
  <c r="AU448" i="5"/>
  <c r="AT161" i="5"/>
  <c r="AU161" i="5"/>
  <c r="AJ110" i="4"/>
  <c r="AK110" i="4"/>
  <c r="AT331" i="5"/>
  <c r="AU331" i="5"/>
  <c r="AU395" i="5"/>
  <c r="AT395" i="5"/>
  <c r="AT282" i="5"/>
  <c r="AU282" i="5"/>
  <c r="AT192" i="5"/>
  <c r="AU192" i="5"/>
  <c r="AU456" i="5"/>
  <c r="AT456" i="5"/>
  <c r="AU329" i="5"/>
  <c r="AT329" i="5"/>
  <c r="AU515" i="5"/>
  <c r="AT515" i="5"/>
  <c r="AT43" i="5"/>
  <c r="AU43" i="5"/>
  <c r="AU538" i="5"/>
  <c r="AT538" i="5"/>
  <c r="AT521" i="5"/>
  <c r="AU521" i="5"/>
  <c r="AU408" i="5"/>
  <c r="AT408" i="5"/>
  <c r="AU274" i="5"/>
  <c r="AT274" i="5"/>
  <c r="AG129" i="4"/>
  <c r="AI129" i="4" s="1"/>
  <c r="AO129" i="4"/>
  <c r="AU142" i="5"/>
  <c r="AT142" i="5"/>
  <c r="AU333" i="5"/>
  <c r="AT333" i="5"/>
  <c r="AT221" i="5"/>
  <c r="AU221" i="5"/>
  <c r="AT170" i="5"/>
  <c r="AU170" i="5"/>
  <c r="AU460" i="5"/>
  <c r="AT460" i="5"/>
  <c r="AU253" i="5"/>
  <c r="AT253" i="5"/>
  <c r="AT298" i="5"/>
  <c r="AU298" i="5"/>
  <c r="AG99" i="4"/>
  <c r="AI99" i="4" s="1"/>
  <c r="AO99" i="4"/>
  <c r="AO124" i="4"/>
  <c r="AG124" i="4"/>
  <c r="AI124" i="4" s="1"/>
  <c r="AT554" i="5"/>
  <c r="AU554" i="5"/>
  <c r="AG145" i="4"/>
  <c r="AI145" i="4" s="1"/>
  <c r="AO145" i="4"/>
  <c r="AJ56" i="4"/>
  <c r="AK56" i="4"/>
  <c r="AT491" i="5"/>
  <c r="AU491" i="5"/>
  <c r="AJ149" i="4"/>
  <c r="AK149" i="4"/>
  <c r="AU348" i="5"/>
  <c r="AT348" i="5"/>
  <c r="AT485" i="5"/>
  <c r="AU485" i="5"/>
  <c r="AU87" i="5"/>
  <c r="AT87" i="5"/>
  <c r="AU432" i="5"/>
  <c r="AT432" i="5"/>
  <c r="AG56" i="4"/>
  <c r="AI56" i="4" s="1"/>
  <c r="AO56" i="4"/>
  <c r="AU467" i="5"/>
  <c r="AT467" i="5"/>
  <c r="AT269" i="5"/>
  <c r="AU269" i="5"/>
  <c r="AU121" i="5"/>
  <c r="AT121" i="5"/>
  <c r="AU288" i="5"/>
  <c r="AT288" i="5"/>
  <c r="AU203" i="5"/>
  <c r="AT203" i="5"/>
  <c r="AU488" i="5"/>
  <c r="AT488" i="5"/>
  <c r="AU429" i="5"/>
  <c r="AT429" i="5"/>
  <c r="AU260" i="5"/>
  <c r="AT260" i="5"/>
  <c r="AT290" i="5"/>
  <c r="AU290" i="5"/>
  <c r="AT37" i="5"/>
  <c r="AU37" i="5"/>
  <c r="AU40" i="5"/>
  <c r="AT40" i="5"/>
  <c r="AU144" i="5"/>
  <c r="AT144" i="5"/>
  <c r="AT557" i="5"/>
  <c r="AU557" i="5"/>
  <c r="AU482" i="5"/>
  <c r="AT482" i="5"/>
  <c r="AT176" i="5"/>
  <c r="AX175" i="5" s="1"/>
  <c r="AY175" i="5" s="1"/>
  <c r="AU176" i="5"/>
  <c r="AU311" i="5"/>
  <c r="AT311" i="5"/>
  <c r="AT149" i="5"/>
  <c r="AU149" i="5"/>
  <c r="AJ33" i="4"/>
  <c r="AK33" i="4"/>
  <c r="AU471" i="5"/>
  <c r="AT471" i="5"/>
  <c r="AG146" i="4"/>
  <c r="AI146" i="4" s="1"/>
  <c r="AO146" i="4"/>
  <c r="AU341" i="5"/>
  <c r="AT341" i="5"/>
  <c r="AO42" i="4"/>
  <c r="AG42" i="4"/>
  <c r="AI42" i="4" s="1"/>
  <c r="AU338" i="5"/>
  <c r="AT338" i="5"/>
  <c r="AU498" i="5"/>
  <c r="AT498" i="5"/>
  <c r="AU417" i="5"/>
  <c r="AT417" i="5"/>
  <c r="AG28" i="4"/>
  <c r="AI28" i="4" s="1"/>
  <c r="AO28" i="4"/>
  <c r="AT275" i="5"/>
  <c r="AU275" i="5"/>
  <c r="AU422" i="5"/>
  <c r="AT422" i="5"/>
  <c r="AT343" i="5"/>
  <c r="AU343" i="5"/>
  <c r="AU280" i="5"/>
  <c r="AT280" i="5"/>
  <c r="AU319" i="5"/>
  <c r="AT319" i="5"/>
  <c r="AT74" i="5"/>
  <c r="AU74" i="5"/>
  <c r="AT465" i="5"/>
  <c r="AU465" i="5"/>
  <c r="AG29" i="4"/>
  <c r="AI29" i="4" s="1"/>
  <c r="AO29" i="4"/>
  <c r="AU427" i="5"/>
  <c r="AT427" i="5"/>
  <c r="AU268" i="5"/>
  <c r="AT268" i="5"/>
  <c r="AT304" i="5"/>
  <c r="AU304" i="5"/>
  <c r="AU386" i="5"/>
  <c r="AT386" i="5"/>
  <c r="AJ48" i="4"/>
  <c r="AK48" i="4"/>
  <c r="AT459" i="5"/>
  <c r="AU459" i="5"/>
  <c r="AG154" i="4"/>
  <c r="AI154" i="4" s="1"/>
  <c r="AO154" i="4"/>
  <c r="AT70" i="5"/>
  <c r="AU70" i="5"/>
  <c r="AT339" i="5"/>
  <c r="AU339" i="5"/>
  <c r="AU342" i="5"/>
  <c r="AT342" i="5"/>
  <c r="AU256" i="5"/>
  <c r="AT256" i="5"/>
  <c r="AG15" i="4"/>
  <c r="AI15" i="4" s="1"/>
  <c r="AO15" i="4"/>
  <c r="AT296" i="5"/>
  <c r="AU296" i="5"/>
  <c r="AU489" i="5"/>
  <c r="AT489" i="5"/>
  <c r="AU232" i="5"/>
  <c r="AT232" i="5"/>
  <c r="AU262" i="5"/>
  <c r="AT262" i="5"/>
  <c r="AU499" i="5"/>
  <c r="AT499" i="5"/>
  <c r="AJ90" i="4"/>
  <c r="AK90" i="4"/>
  <c r="AU216" i="5"/>
  <c r="AT216" i="5"/>
  <c r="AU130" i="5"/>
  <c r="AT130" i="5"/>
  <c r="AO115" i="4"/>
  <c r="AG115" i="4"/>
  <c r="AI115" i="4" s="1"/>
  <c r="AT69" i="5"/>
  <c r="AU69" i="5"/>
  <c r="AU189" i="5"/>
  <c r="AT189" i="5"/>
  <c r="AJ43" i="4"/>
  <c r="AK43" i="4"/>
  <c r="AG92" i="4"/>
  <c r="AI92" i="4" s="1"/>
  <c r="AO92" i="4"/>
  <c r="AG65" i="4"/>
  <c r="AI65" i="4" s="1"/>
  <c r="AO65" i="4"/>
  <c r="AG110" i="4"/>
  <c r="AI110" i="4" s="1"/>
  <c r="AO110" i="4"/>
  <c r="AJ50" i="4"/>
  <c r="AK50" i="4"/>
  <c r="AJ87" i="4"/>
  <c r="AK87" i="4"/>
  <c r="AU433" i="5"/>
  <c r="AT433" i="5"/>
  <c r="AJ29" i="4"/>
  <c r="AK29" i="4"/>
  <c r="AT356" i="5"/>
  <c r="AU356" i="5"/>
  <c r="AU123" i="5"/>
  <c r="AT123" i="5"/>
  <c r="AT506" i="5"/>
  <c r="AU506" i="5"/>
  <c r="AO55" i="4"/>
  <c r="AG55" i="4"/>
  <c r="AI55" i="4" s="1"/>
  <c r="AU373" i="5"/>
  <c r="AT373" i="5"/>
  <c r="AJ42" i="4"/>
  <c r="AK42" i="4"/>
  <c r="AU215" i="5"/>
  <c r="AT215" i="5"/>
  <c r="AT484" i="5"/>
  <c r="AU484" i="5"/>
  <c r="AT332" i="5"/>
  <c r="AU332" i="5"/>
  <c r="AU151" i="5"/>
  <c r="AT151" i="5"/>
  <c r="AT436" i="5"/>
  <c r="AU436" i="5"/>
  <c r="AU399" i="5"/>
  <c r="AT399" i="5"/>
  <c r="AT553" i="5"/>
  <c r="AU553" i="5"/>
  <c r="AT63" i="5"/>
  <c r="AU63" i="5"/>
  <c r="AT450" i="5"/>
  <c r="AU450" i="5"/>
  <c r="AU524" i="5"/>
  <c r="AT524" i="5"/>
  <c r="AR78" i="4"/>
  <c r="AT78" i="4" s="1"/>
  <c r="AG11" i="4"/>
  <c r="AI11" i="4" s="1"/>
  <c r="AO11" i="4"/>
  <c r="AT536" i="5"/>
  <c r="AU536" i="5"/>
  <c r="AU91" i="5"/>
  <c r="AT91" i="5"/>
  <c r="AU380" i="5"/>
  <c r="AT380" i="5"/>
  <c r="AU324" i="5"/>
  <c r="AT324" i="5"/>
  <c r="AT237" i="5"/>
  <c r="AU237" i="5"/>
  <c r="AU80" i="5"/>
  <c r="AT80" i="5"/>
  <c r="AQ13" i="5"/>
  <c r="AR13" i="5"/>
  <c r="AU59" i="5"/>
  <c r="AT59" i="5"/>
  <c r="AJ107" i="4"/>
  <c r="AK107" i="4"/>
  <c r="AT261" i="5"/>
  <c r="AU261" i="5"/>
  <c r="AU125" i="5"/>
  <c r="AT125" i="5"/>
  <c r="AU305" i="5"/>
  <c r="AT305" i="5"/>
  <c r="AG122" i="4"/>
  <c r="AI122" i="4" s="1"/>
  <c r="AO122" i="4"/>
  <c r="AT117" i="5"/>
  <c r="AU117" i="5"/>
  <c r="AT543" i="5"/>
  <c r="AU543" i="5"/>
  <c r="AU38" i="5"/>
  <c r="AT38" i="5"/>
  <c r="AG50" i="4"/>
  <c r="AI50" i="4" s="1"/>
  <c r="AO50" i="4"/>
  <c r="AU241" i="5"/>
  <c r="AT241" i="5"/>
  <c r="AU312" i="5"/>
  <c r="AT312" i="5"/>
  <c r="AT284" i="5"/>
  <c r="AU284" i="5"/>
  <c r="AU381" i="5"/>
  <c r="AT381" i="5"/>
  <c r="AU212" i="5"/>
  <c r="AT212" i="5"/>
  <c r="AT512" i="5"/>
  <c r="AU512" i="5"/>
  <c r="AT445" i="5"/>
  <c r="AU445" i="5"/>
  <c r="AT112" i="5"/>
  <c r="AU112" i="5"/>
  <c r="AU370" i="5"/>
  <c r="AT370" i="5"/>
  <c r="AU133" i="5"/>
  <c r="AT133" i="5"/>
  <c r="AT266" i="5"/>
  <c r="AU266" i="5"/>
  <c r="AO16" i="4"/>
  <c r="AG16" i="4"/>
  <c r="AI16" i="4" s="1"/>
  <c r="AR136" i="4" l="1"/>
  <c r="AT136" i="4" s="1"/>
  <c r="AA103" i="4"/>
  <c r="AC103" i="4" s="1"/>
  <c r="AD103" i="4" s="1"/>
  <c r="AR103" i="4" s="1"/>
  <c r="AT103" i="4" s="1"/>
  <c r="AK38" i="4"/>
  <c r="AA99" i="4"/>
  <c r="AC99" i="4" s="1"/>
  <c r="AD99" i="4" s="1"/>
  <c r="AR99" i="4" s="1"/>
  <c r="AT99" i="4" s="1"/>
  <c r="AK99" i="4"/>
  <c r="AK88" i="4"/>
  <c r="AK103" i="4"/>
  <c r="AA111" i="4"/>
  <c r="AC111" i="4" s="1"/>
  <c r="AD111" i="4" s="1"/>
  <c r="AR111" i="4" s="1"/>
  <c r="AT111" i="4" s="1"/>
  <c r="AG88" i="4"/>
  <c r="AI88" i="4" s="1"/>
  <c r="AK28" i="4"/>
  <c r="AJ28" i="4"/>
  <c r="AK27" i="4"/>
  <c r="AA27" i="4"/>
  <c r="AC27" i="4" s="1"/>
  <c r="AD27" i="4" s="1"/>
  <c r="AR27" i="4" s="1"/>
  <c r="AT27" i="4" s="1"/>
  <c r="AA86" i="4"/>
  <c r="AC86" i="4" s="1"/>
  <c r="AD86" i="4" s="1"/>
  <c r="AK112" i="4"/>
  <c r="AJ112" i="4"/>
  <c r="AK119" i="4"/>
  <c r="AF150" i="4"/>
  <c r="AO150" i="4" s="1"/>
  <c r="AK150" i="4"/>
  <c r="AK111" i="4"/>
  <c r="AK64" i="4"/>
  <c r="AJ147" i="4"/>
  <c r="AA38" i="4"/>
  <c r="AC38" i="4" s="1"/>
  <c r="AD38" i="4" s="1"/>
  <c r="AA88" i="4"/>
  <c r="AC88" i="4" s="1"/>
  <c r="AD88" i="4" s="1"/>
  <c r="AK113" i="4"/>
  <c r="AK114" i="4"/>
  <c r="AO118" i="4"/>
  <c r="AR118" i="4" s="1"/>
  <c r="AT118" i="4" s="1"/>
  <c r="AR112" i="4"/>
  <c r="AT112" i="4" s="1"/>
  <c r="AA64" i="4"/>
  <c r="AC64" i="4" s="1"/>
  <c r="AD64" i="4" s="1"/>
  <c r="AK118" i="4"/>
  <c r="AK147" i="4"/>
  <c r="AK143" i="4"/>
  <c r="AJ118" i="4"/>
  <c r="AK74" i="4"/>
  <c r="AG143" i="4"/>
  <c r="AI143" i="4" s="1"/>
  <c r="AR143" i="4" s="1"/>
  <c r="AT143" i="4" s="1"/>
  <c r="AK12" i="4"/>
  <c r="AK156" i="4"/>
  <c r="AK86" i="4"/>
  <c r="AJ119" i="4"/>
  <c r="AO156" i="4"/>
  <c r="AR156" i="4" s="1"/>
  <c r="AT156" i="4" s="1"/>
  <c r="AJ156" i="4"/>
  <c r="AK68" i="4"/>
  <c r="AA68" i="4"/>
  <c r="AC68" i="4" s="1"/>
  <c r="AD68" i="4" s="1"/>
  <c r="AR53" i="4"/>
  <c r="AT53" i="4" s="1"/>
  <c r="AA114" i="4"/>
  <c r="AC114" i="4" s="1"/>
  <c r="AD114" i="4" s="1"/>
  <c r="AR114" i="4" s="1"/>
  <c r="AT114" i="4" s="1"/>
  <c r="AA74" i="4"/>
  <c r="AC74" i="4" s="1"/>
  <c r="AD74" i="4" s="1"/>
  <c r="AR74" i="4" s="1"/>
  <c r="AT74" i="4" s="1"/>
  <c r="AO119" i="4"/>
  <c r="AR119" i="4" s="1"/>
  <c r="AT119" i="4" s="1"/>
  <c r="AA25" i="4"/>
  <c r="AC25" i="4" s="1"/>
  <c r="AD25" i="4" s="1"/>
  <c r="AR25" i="4" s="1"/>
  <c r="AT25" i="4" s="1"/>
  <c r="AJ25" i="4"/>
  <c r="AR71" i="4"/>
  <c r="AT71" i="4" s="1"/>
  <c r="AA69" i="4"/>
  <c r="AC69" i="4" s="1"/>
  <c r="AD69" i="4" s="1"/>
  <c r="AK69" i="4"/>
  <c r="AA60" i="4"/>
  <c r="AC60" i="4" s="1"/>
  <c r="AD60" i="4" s="1"/>
  <c r="AR60" i="4" s="1"/>
  <c r="AT60" i="4" s="1"/>
  <c r="AK60" i="4"/>
  <c r="AK32" i="4"/>
  <c r="AK89" i="4"/>
  <c r="AA89" i="4"/>
  <c r="AC89" i="4" s="1"/>
  <c r="AD89" i="4" s="1"/>
  <c r="AR89" i="4" s="1"/>
  <c r="AT89" i="4" s="1"/>
  <c r="AA95" i="4"/>
  <c r="AC95" i="4" s="1"/>
  <c r="AD95" i="4" s="1"/>
  <c r="AA75" i="4"/>
  <c r="AC75" i="4" s="1"/>
  <c r="AD75" i="4" s="1"/>
  <c r="AR75" i="4" s="1"/>
  <c r="AT75" i="4" s="1"/>
  <c r="AK75" i="4"/>
  <c r="AK95" i="4"/>
  <c r="AA19" i="4"/>
  <c r="AC19" i="4" s="1"/>
  <c r="AD19" i="4" s="1"/>
  <c r="AR19" i="4" s="1"/>
  <c r="AT19" i="4" s="1"/>
  <c r="AR31" i="4"/>
  <c r="AT31" i="4" s="1"/>
  <c r="AK31" i="4"/>
  <c r="AJ31" i="4"/>
  <c r="AR102" i="4"/>
  <c r="AT102" i="4" s="1"/>
  <c r="AR87" i="4"/>
  <c r="AT87" i="4" s="1"/>
  <c r="AJ32" i="4"/>
  <c r="AK19" i="4"/>
  <c r="AT508" i="5"/>
  <c r="AX507" i="5" s="1"/>
  <c r="AY507" i="5" s="1"/>
  <c r="AK123" i="4"/>
  <c r="AK146" i="4"/>
  <c r="AJ146" i="4"/>
  <c r="AA30" i="4"/>
  <c r="AC30" i="4" s="1"/>
  <c r="AD30" i="4" s="1"/>
  <c r="AR30" i="4" s="1"/>
  <c r="AT30" i="4" s="1"/>
  <c r="AF91" i="4"/>
  <c r="AG91" i="4" s="1"/>
  <c r="AI91" i="4" s="1"/>
  <c r="AU525" i="5"/>
  <c r="AK30" i="4"/>
  <c r="AU426" i="5"/>
  <c r="AA41" i="4"/>
  <c r="AC41" i="4" s="1"/>
  <c r="AD41" i="4" s="1"/>
  <c r="AR41" i="4" s="1"/>
  <c r="AT41" i="4" s="1"/>
  <c r="AJ41" i="4"/>
  <c r="AR106" i="4"/>
  <c r="AT106" i="4" s="1"/>
  <c r="AK91" i="4"/>
  <c r="AA9" i="4"/>
  <c r="AC9" i="4" s="1"/>
  <c r="AD9" i="4" s="1"/>
  <c r="AR9" i="4" s="1"/>
  <c r="AT9" i="4" s="1"/>
  <c r="AK9" i="4"/>
  <c r="AA123" i="4"/>
  <c r="AC123" i="4" s="1"/>
  <c r="AD123" i="4" s="1"/>
  <c r="AR123" i="4" s="1"/>
  <c r="AT123" i="4" s="1"/>
  <c r="AK106" i="4"/>
  <c r="AJ106" i="4"/>
  <c r="AA100" i="4"/>
  <c r="AC100" i="4" s="1"/>
  <c r="AD100" i="4" s="1"/>
  <c r="AK49" i="4"/>
  <c r="AT523" i="5"/>
  <c r="AX523" i="5" s="1"/>
  <c r="AY523" i="5" s="1"/>
  <c r="AK100" i="4"/>
  <c r="AU376" i="5"/>
  <c r="AT371" i="5"/>
  <c r="AX370" i="5" s="1"/>
  <c r="AY370" i="5" s="1"/>
  <c r="AJ49" i="4"/>
  <c r="AR49" i="4"/>
  <c r="AT49" i="4" s="1"/>
  <c r="AA47" i="4"/>
  <c r="AC47" i="4" s="1"/>
  <c r="AD47" i="4" s="1"/>
  <c r="AK47" i="4"/>
  <c r="AR98" i="4"/>
  <c r="AT98" i="4" s="1"/>
  <c r="AT522" i="5"/>
  <c r="AX521" i="5" s="1"/>
  <c r="AY521" i="5" s="1"/>
  <c r="AT446" i="5"/>
  <c r="AX445" i="5" s="1"/>
  <c r="AY445" i="5" s="1"/>
  <c r="AA11" i="4"/>
  <c r="AC11" i="4" s="1"/>
  <c r="AD11" i="4" s="1"/>
  <c r="AR11" i="4" s="1"/>
  <c r="AT11" i="4" s="1"/>
  <c r="AK35" i="4"/>
  <c r="AA35" i="4"/>
  <c r="AC35" i="4" s="1"/>
  <c r="AD35" i="4" s="1"/>
  <c r="AK11" i="4"/>
  <c r="AU546" i="5"/>
  <c r="AK76" i="4"/>
  <c r="AA76" i="4"/>
  <c r="AC76" i="4" s="1"/>
  <c r="AD76" i="4" s="1"/>
  <c r="AU49" i="5"/>
  <c r="AK127" i="4"/>
  <c r="AA127" i="4"/>
  <c r="AC127" i="4" s="1"/>
  <c r="AD127" i="4" s="1"/>
  <c r="AT264" i="5"/>
  <c r="AX264" i="5" s="1"/>
  <c r="AY264" i="5" s="1"/>
  <c r="AA66" i="4"/>
  <c r="AC66" i="4" s="1"/>
  <c r="AD66" i="4" s="1"/>
  <c r="AT379" i="5"/>
  <c r="AX379" i="5" s="1"/>
  <c r="AY379" i="5" s="1"/>
  <c r="AK63" i="4"/>
  <c r="AA63" i="4"/>
  <c r="AC63" i="4" s="1"/>
  <c r="AD63" i="4" s="1"/>
  <c r="AA7" i="4"/>
  <c r="AC7" i="4" s="1"/>
  <c r="AD7" i="4" s="1"/>
  <c r="AK7" i="4"/>
  <c r="AF7" i="4"/>
  <c r="AO7" i="4" s="1"/>
  <c r="AU537" i="5"/>
  <c r="AK18" i="4"/>
  <c r="AT234" i="5"/>
  <c r="AX45" i="5"/>
  <c r="AY45" i="5" s="1"/>
  <c r="AA18" i="4"/>
  <c r="AC18" i="4" s="1"/>
  <c r="AD18" i="4" s="1"/>
  <c r="AR18" i="4" s="1"/>
  <c r="AT18" i="4" s="1"/>
  <c r="AF12" i="4"/>
  <c r="AG12" i="4" s="1"/>
  <c r="AI12" i="4" s="1"/>
  <c r="AX115" i="5"/>
  <c r="AY115" i="5" s="1"/>
  <c r="AU200" i="5"/>
  <c r="AU26" i="5"/>
  <c r="AA145" i="4"/>
  <c r="AC145" i="4" s="1"/>
  <c r="AD145" i="4" s="1"/>
  <c r="AR145" i="4" s="1"/>
  <c r="AT145" i="4" s="1"/>
  <c r="AU345" i="5"/>
  <c r="AT483" i="5"/>
  <c r="AX483" i="5" s="1"/>
  <c r="AY483" i="5" s="1"/>
  <c r="AK145" i="4"/>
  <c r="AX23" i="5"/>
  <c r="AY23" i="5" s="1"/>
  <c r="AU23" i="5"/>
  <c r="AK66" i="4"/>
  <c r="AF37" i="4"/>
  <c r="AO37" i="4" s="1"/>
  <c r="AU289" i="5"/>
  <c r="AX97" i="5"/>
  <c r="AY97" i="5" s="1"/>
  <c r="AK37" i="4"/>
  <c r="AT530" i="5"/>
  <c r="AX184" i="5"/>
  <c r="AY184" i="5" s="1"/>
  <c r="AU534" i="5"/>
  <c r="AT105" i="5"/>
  <c r="AX105" i="5" s="1"/>
  <c r="AY105" i="5" s="1"/>
  <c r="AT463" i="5"/>
  <c r="AX463" i="5" s="1"/>
  <c r="AY463" i="5" s="1"/>
  <c r="AU265" i="5"/>
  <c r="AU97" i="5"/>
  <c r="AT243" i="5"/>
  <c r="AU226" i="5"/>
  <c r="AT213" i="5"/>
  <c r="AX212" i="5" s="1"/>
  <c r="AY212" i="5" s="1"/>
  <c r="AU532" i="5"/>
  <c r="AT540" i="5"/>
  <c r="AX539" i="5" s="1"/>
  <c r="AY539" i="5" s="1"/>
  <c r="AT470" i="5"/>
  <c r="AX470" i="5" s="1"/>
  <c r="AY470" i="5" s="1"/>
  <c r="AT469" i="5"/>
  <c r="AU509" i="5"/>
  <c r="AU184" i="5"/>
  <c r="AA46" i="4"/>
  <c r="AC46" i="4" s="1"/>
  <c r="AD46" i="4" s="1"/>
  <c r="AR46" i="4" s="1"/>
  <c r="AT46" i="4" s="1"/>
  <c r="AJ46" i="4"/>
  <c r="AU359" i="5"/>
  <c r="AA20" i="4"/>
  <c r="AC20" i="4" s="1"/>
  <c r="AD20" i="4" s="1"/>
  <c r="AG66" i="4"/>
  <c r="AI66" i="4" s="1"/>
  <c r="AK20" i="4"/>
  <c r="AU327" i="5"/>
  <c r="AU297" i="5"/>
  <c r="AT466" i="5"/>
  <c r="AX466" i="5" s="1"/>
  <c r="AY466" i="5" s="1"/>
  <c r="AU188" i="5"/>
  <c r="AU166" i="5"/>
  <c r="AU477" i="5"/>
  <c r="AT518" i="5"/>
  <c r="AX517" i="5" s="1"/>
  <c r="AY517" i="5" s="1"/>
  <c r="AU514" i="5"/>
  <c r="AU22" i="5"/>
  <c r="AU511" i="5"/>
  <c r="AR43" i="4"/>
  <c r="AT43" i="4" s="1"/>
  <c r="AU62" i="5"/>
  <c r="AX49" i="5"/>
  <c r="AY49" i="5" s="1"/>
  <c r="AU349" i="5"/>
  <c r="AA14" i="4"/>
  <c r="AC14" i="4" s="1"/>
  <c r="AD14" i="4" s="1"/>
  <c r="AR149" i="4"/>
  <c r="AT149" i="4" s="1"/>
  <c r="AK14" i="4"/>
  <c r="AU148" i="5"/>
  <c r="AU137" i="5"/>
  <c r="AT201" i="5"/>
  <c r="AX201" i="5" s="1"/>
  <c r="AY201" i="5" s="1"/>
  <c r="AA61" i="4"/>
  <c r="AC61" i="4" s="1"/>
  <c r="AD61" i="4" s="1"/>
  <c r="AR61" i="4" s="1"/>
  <c r="AT61" i="4" s="1"/>
  <c r="AT42" i="5"/>
  <c r="AX42" i="5" s="1"/>
  <c r="AY42" i="5" s="1"/>
  <c r="AU351" i="5"/>
  <c r="AU21" i="5"/>
  <c r="AX21" i="5"/>
  <c r="AY21" i="5" s="1"/>
  <c r="AK61" i="4"/>
  <c r="AT214" i="5"/>
  <c r="AX214" i="5" s="1"/>
  <c r="AY214" i="5" s="1"/>
  <c r="AT267" i="5"/>
  <c r="AX267" i="5" s="1"/>
  <c r="AY267" i="5" s="1"/>
  <c r="AT186" i="5"/>
  <c r="AX186" i="5" s="1"/>
  <c r="AY186" i="5" s="1"/>
  <c r="AT301" i="5"/>
  <c r="AX300" i="5" s="1"/>
  <c r="AU300" i="5"/>
  <c r="AT313" i="5"/>
  <c r="AX313" i="5" s="1"/>
  <c r="AY313" i="5" s="1"/>
  <c r="AU382" i="5"/>
  <c r="AX148" i="5"/>
  <c r="AY148" i="5" s="1"/>
  <c r="AT451" i="5"/>
  <c r="AX450" i="5" s="1"/>
  <c r="AY450" i="5" s="1"/>
  <c r="AT486" i="5"/>
  <c r="AX485" i="5" s="1"/>
  <c r="AY485" i="5" s="1"/>
  <c r="AA57" i="4"/>
  <c r="AC57" i="4" s="1"/>
  <c r="AD57" i="4" s="1"/>
  <c r="AR57" i="4" s="1"/>
  <c r="AT57" i="4" s="1"/>
  <c r="AF22" i="4"/>
  <c r="AO22" i="4" s="1"/>
  <c r="AA142" i="4"/>
  <c r="AC142" i="4" s="1"/>
  <c r="AD142" i="4" s="1"/>
  <c r="AX147" i="5"/>
  <c r="AY147" i="5" s="1"/>
  <c r="AT248" i="5"/>
  <c r="AX247" i="5" s="1"/>
  <c r="AY247" i="5" s="1"/>
  <c r="AU205" i="5"/>
  <c r="AT478" i="5"/>
  <c r="AX477" i="5" s="1"/>
  <c r="AY477" i="5" s="1"/>
  <c r="AK15" i="4"/>
  <c r="AU31" i="5"/>
  <c r="AU283" i="5"/>
  <c r="AO142" i="4"/>
  <c r="AT390" i="5"/>
  <c r="AX389" i="5" s="1"/>
  <c r="AK57" i="4"/>
  <c r="AA15" i="4"/>
  <c r="AC15" i="4" s="1"/>
  <c r="AD15" i="4" s="1"/>
  <c r="AR15" i="4" s="1"/>
  <c r="AT15" i="4" s="1"/>
  <c r="AT316" i="5"/>
  <c r="AX316" i="5" s="1"/>
  <c r="AY316" i="5" s="1"/>
  <c r="AK142" i="4"/>
  <c r="AT444" i="5"/>
  <c r="AX444" i="5" s="1"/>
  <c r="AY444" i="5" s="1"/>
  <c r="AT58" i="5"/>
  <c r="AX58" i="5" s="1"/>
  <c r="AY58" i="5" s="1"/>
  <c r="AT374" i="5"/>
  <c r="AX373" i="5" s="1"/>
  <c r="AY373" i="5" s="1"/>
  <c r="AT455" i="5"/>
  <c r="AX454" i="5" s="1"/>
  <c r="AY454" i="5" s="1"/>
  <c r="AT360" i="5"/>
  <c r="AT308" i="5"/>
  <c r="AX308" i="5" s="1"/>
  <c r="AY308" i="5" s="1"/>
  <c r="AT361" i="5"/>
  <c r="AX361" i="5" s="1"/>
  <c r="AY361" i="5" s="1"/>
  <c r="AX278" i="5"/>
  <c r="AY278" i="5" s="1"/>
  <c r="AX62" i="5"/>
  <c r="AY62" i="5" s="1"/>
  <c r="AU400" i="5"/>
  <c r="AU32" i="5"/>
  <c r="AT48" i="5"/>
  <c r="AX48" i="5" s="1"/>
  <c r="AY48" i="5" s="1"/>
  <c r="AU363" i="5"/>
  <c r="AU138" i="5"/>
  <c r="AT306" i="5"/>
  <c r="AX306" i="5" s="1"/>
  <c r="AY306" i="5" s="1"/>
  <c r="AU245" i="5"/>
  <c r="AT145" i="5"/>
  <c r="AX144" i="5" s="1"/>
  <c r="AY144" i="5" s="1"/>
  <c r="AU421" i="5"/>
  <c r="AX20" i="5"/>
  <c r="AY20" i="5" s="1"/>
  <c r="AT113" i="5"/>
  <c r="AX113" i="5" s="1"/>
  <c r="AY113" i="5" s="1"/>
  <c r="AU552" i="5"/>
  <c r="AU55" i="5"/>
  <c r="AT222" i="5"/>
  <c r="AX222" i="5" s="1"/>
  <c r="AY222" i="5" s="1"/>
  <c r="AT366" i="5"/>
  <c r="AX365" i="5" s="1"/>
  <c r="AY365" i="5" s="1"/>
  <c r="AT36" i="5"/>
  <c r="AX35" i="5" s="1"/>
  <c r="AY35" i="5" s="1"/>
  <c r="AX116" i="5"/>
  <c r="AU309" i="5"/>
  <c r="AU336" i="5"/>
  <c r="AU416" i="5"/>
  <c r="AT140" i="5"/>
  <c r="AX139" i="5" s="1"/>
  <c r="AY139" i="5" s="1"/>
  <c r="AT295" i="5"/>
  <c r="AX294" i="5" s="1"/>
  <c r="AY294" i="5" s="1"/>
  <c r="AT302" i="5"/>
  <c r="AX302" i="5" s="1"/>
  <c r="AY302" i="5" s="1"/>
  <c r="AT90" i="5"/>
  <c r="AX90" i="5" s="1"/>
  <c r="AY90" i="5" s="1"/>
  <c r="AU353" i="5"/>
  <c r="AT178" i="5"/>
  <c r="AX177" i="5" s="1"/>
  <c r="AY177" i="5" s="1"/>
  <c r="AT378" i="5"/>
  <c r="AT475" i="5"/>
  <c r="AX475" i="5" s="1"/>
  <c r="AY475" i="5" s="1"/>
  <c r="AT462" i="5"/>
  <c r="AU517" i="5"/>
  <c r="AT344" i="5"/>
  <c r="AX343" i="5" s="1"/>
  <c r="AY343" i="5" s="1"/>
  <c r="AT94" i="5"/>
  <c r="AX94" i="5" s="1"/>
  <c r="AY94" i="5" s="1"/>
  <c r="AA135" i="4"/>
  <c r="AC135" i="4" s="1"/>
  <c r="AD135" i="4" s="1"/>
  <c r="AA125" i="4"/>
  <c r="AC125" i="4" s="1"/>
  <c r="AD125" i="4" s="1"/>
  <c r="AT158" i="5"/>
  <c r="AX158" i="5" s="1"/>
  <c r="AY158" i="5" s="1"/>
  <c r="AK125" i="4"/>
  <c r="AT259" i="5"/>
  <c r="AX258" i="5" s="1"/>
  <c r="AY258" i="5" s="1"/>
  <c r="AU438" i="5"/>
  <c r="AT119" i="5"/>
  <c r="AX118" i="5" s="1"/>
  <c r="AY118" i="5" s="1"/>
  <c r="AU394" i="5"/>
  <c r="AT155" i="5"/>
  <c r="AU504" i="5"/>
  <c r="AU193" i="5"/>
  <c r="AU270" i="5"/>
  <c r="AX46" i="5"/>
  <c r="AY46" i="5" s="1"/>
  <c r="AU385" i="5"/>
  <c r="AT194" i="5"/>
  <c r="AX193" i="5" s="1"/>
  <c r="AA39" i="4"/>
  <c r="AC39" i="4" s="1"/>
  <c r="AD39" i="4" s="1"/>
  <c r="AT428" i="5"/>
  <c r="AX427" i="5" s="1"/>
  <c r="AY427" i="5" s="1"/>
  <c r="AT556" i="5"/>
  <c r="AX556" i="5" s="1"/>
  <c r="AY556" i="5" s="1"/>
  <c r="AT494" i="5"/>
  <c r="AX494" i="5" s="1"/>
  <c r="AY494" i="5" s="1"/>
  <c r="AT76" i="5"/>
  <c r="AX76" i="5" s="1"/>
  <c r="AY76" i="5" s="1"/>
  <c r="AK39" i="4"/>
  <c r="AU502" i="5"/>
  <c r="AT404" i="5"/>
  <c r="AU541" i="5"/>
  <c r="AU46" i="5"/>
  <c r="AT244" i="5"/>
  <c r="AT383" i="5"/>
  <c r="AX382" i="5" s="1"/>
  <c r="AY382" i="5" s="1"/>
  <c r="AU440" i="5"/>
  <c r="AX53" i="5"/>
  <c r="AY53" i="5" s="1"/>
  <c r="AX54" i="5"/>
  <c r="AY54" i="5" s="1"/>
  <c r="AU425" i="5"/>
  <c r="AU126" i="5"/>
  <c r="AU106" i="5"/>
  <c r="AT174" i="5"/>
  <c r="AX173" i="5" s="1"/>
  <c r="AY173" i="5" s="1"/>
  <c r="AT335" i="5"/>
  <c r="AX335" i="5" s="1"/>
  <c r="AY335" i="5" s="1"/>
  <c r="AT111" i="5"/>
  <c r="AX111" i="5" s="1"/>
  <c r="AY111" i="5" s="1"/>
  <c r="AT277" i="5"/>
  <c r="AX277" i="5" s="1"/>
  <c r="AY277" i="5" s="1"/>
  <c r="AT325" i="5"/>
  <c r="AX324" i="5" s="1"/>
  <c r="AY324" i="5" s="1"/>
  <c r="AT67" i="5"/>
  <c r="AX67" i="5" s="1"/>
  <c r="AY67" i="5" s="1"/>
  <c r="AT210" i="5"/>
  <c r="AX209" i="5" s="1"/>
  <c r="AY209" i="5" s="1"/>
  <c r="AT310" i="5"/>
  <c r="AX309" i="5" s="1"/>
  <c r="AY309" i="5" s="1"/>
  <c r="AT555" i="5"/>
  <c r="AX122" i="5"/>
  <c r="AY122" i="5" s="1"/>
  <c r="AU50" i="5"/>
  <c r="AT402" i="5"/>
  <c r="AT551" i="5"/>
  <c r="AX551" i="5" s="1"/>
  <c r="AY551" i="5" s="1"/>
  <c r="AX80" i="5"/>
  <c r="AY80" i="5" s="1"/>
  <c r="AT318" i="5"/>
  <c r="AX318" i="5" s="1"/>
  <c r="AY318" i="5" s="1"/>
  <c r="AT12" i="5"/>
  <c r="AU476" i="5"/>
  <c r="AU122" i="5"/>
  <c r="AT354" i="5"/>
  <c r="AX353" i="5" s="1"/>
  <c r="AY353" i="5" s="1"/>
  <c r="AT60" i="5"/>
  <c r="AX59" i="5" s="1"/>
  <c r="AY59" i="5" s="1"/>
  <c r="AT452" i="5"/>
  <c r="AT120" i="5"/>
  <c r="AX120" i="5" s="1"/>
  <c r="AY120" i="5" s="1"/>
  <c r="AU116" i="5"/>
  <c r="AT104" i="5"/>
  <c r="AX103" i="5" s="1"/>
  <c r="AY103" i="5" s="1"/>
  <c r="AT150" i="5"/>
  <c r="AX150" i="5" s="1"/>
  <c r="AY150" i="5" s="1"/>
  <c r="AU533" i="5"/>
  <c r="AU369" i="5"/>
  <c r="AT403" i="5"/>
  <c r="AU163" i="5"/>
  <c r="AK22" i="4"/>
  <c r="AT217" i="5"/>
  <c r="AX216" i="5" s="1"/>
  <c r="AY216" i="5" s="1"/>
  <c r="AX240" i="5"/>
  <c r="AY240" i="5" s="1"/>
  <c r="AU25" i="5"/>
  <c r="AU453" i="5"/>
  <c r="AU198" i="5"/>
  <c r="AU384" i="5"/>
  <c r="AT231" i="5"/>
  <c r="AX231" i="5" s="1"/>
  <c r="AY231" i="5" s="1"/>
  <c r="AU505" i="5"/>
  <c r="AU77" i="5"/>
  <c r="AU350" i="5"/>
  <c r="AT263" i="5"/>
  <c r="AX262" i="5" s="1"/>
  <c r="AY262" i="5" s="1"/>
  <c r="AT239" i="5"/>
  <c r="AX239" i="5" s="1"/>
  <c r="AY239" i="5" s="1"/>
  <c r="AO125" i="4"/>
  <c r="AT411" i="5"/>
  <c r="AX411" i="5" s="1"/>
  <c r="AY411" i="5" s="1"/>
  <c r="AU398" i="5"/>
  <c r="AK135" i="4"/>
  <c r="AT110" i="5"/>
  <c r="AX109" i="5" s="1"/>
  <c r="AY109" i="5" s="1"/>
  <c r="AX73" i="5"/>
  <c r="AY73" i="5" s="1"/>
  <c r="AU420" i="5"/>
  <c r="AU285" i="5"/>
  <c r="AT501" i="5"/>
  <c r="AX500" i="5" s="1"/>
  <c r="AY500" i="5" s="1"/>
  <c r="AU114" i="5"/>
  <c r="AU44" i="5"/>
  <c r="AU73" i="5"/>
  <c r="AT220" i="5"/>
  <c r="AX219" i="5" s="1"/>
  <c r="AY219" i="5" s="1"/>
  <c r="AT82" i="5"/>
  <c r="AX81" i="5" s="1"/>
  <c r="AY81" i="5" s="1"/>
  <c r="AU406" i="5"/>
  <c r="AU24" i="5"/>
  <c r="AU548" i="5"/>
  <c r="AT236" i="5"/>
  <c r="AX236" i="5" s="1"/>
  <c r="AY236" i="5" s="1"/>
  <c r="AU128" i="5"/>
  <c r="AU468" i="5"/>
  <c r="AU387" i="5"/>
  <c r="AX143" i="5"/>
  <c r="AY143" i="5" s="1"/>
  <c r="AU115" i="5"/>
  <c r="AX202" i="5"/>
  <c r="AY202" i="5" s="1"/>
  <c r="AU437" i="5"/>
  <c r="AT513" i="5"/>
  <c r="AX512" i="5" s="1"/>
  <c r="AY512" i="5" s="1"/>
  <c r="AT377" i="5"/>
  <c r="AX376" i="5" s="1"/>
  <c r="AY376" i="5" s="1"/>
  <c r="AX127" i="5"/>
  <c r="AY127" i="5" s="1"/>
  <c r="AT441" i="5"/>
  <c r="AX440" i="5" s="1"/>
  <c r="AY440" i="5" s="1"/>
  <c r="AT492" i="5"/>
  <c r="AX491" i="5" s="1"/>
  <c r="AY491" i="5" s="1"/>
  <c r="AT168" i="5"/>
  <c r="AX168" i="5" s="1"/>
  <c r="AY168" i="5" s="1"/>
  <c r="AU19" i="5"/>
  <c r="AT410" i="5"/>
  <c r="AU375" i="5"/>
  <c r="AT558" i="5"/>
  <c r="AX557" i="5" s="1"/>
  <c r="AY557" i="5" s="1"/>
  <c r="AU204" i="5"/>
  <c r="AU314" i="5"/>
  <c r="AU240" i="5"/>
  <c r="AT228" i="5"/>
  <c r="AT229" i="5"/>
  <c r="AX229" i="5" s="1"/>
  <c r="AY229" i="5" s="1"/>
  <c r="AU320" i="5"/>
  <c r="AU560" i="5"/>
  <c r="AU153" i="5"/>
  <c r="AT99" i="5"/>
  <c r="AX99" i="5" s="1"/>
  <c r="AY99" i="5" s="1"/>
  <c r="AT157" i="5"/>
  <c r="AT238" i="5"/>
  <c r="AT405" i="5"/>
  <c r="AU108" i="5"/>
  <c r="AU143" i="5"/>
  <c r="AT134" i="5"/>
  <c r="AX134" i="5" s="1"/>
  <c r="AY134" i="5" s="1"/>
  <c r="AR68" i="4"/>
  <c r="AT68" i="4" s="1"/>
  <c r="AU218" i="5"/>
  <c r="AT496" i="5"/>
  <c r="AX495" i="5" s="1"/>
  <c r="AY495" i="5" s="1"/>
  <c r="AT27" i="5"/>
  <c r="AX26" i="5" s="1"/>
  <c r="AY26" i="5" s="1"/>
  <c r="AX72" i="5"/>
  <c r="AY72" i="5" s="1"/>
  <c r="AU293" i="5"/>
  <c r="AU472" i="5"/>
  <c r="AX19" i="5"/>
  <c r="AY19" i="5" s="1"/>
  <c r="AT132" i="5"/>
  <c r="AX132" i="5" s="1"/>
  <c r="AY132" i="5" s="1"/>
  <c r="F69" i="1"/>
  <c r="AT473" i="5"/>
  <c r="AX472" i="5" s="1"/>
  <c r="AY472" i="5" s="1"/>
  <c r="AU68" i="5"/>
  <c r="AT197" i="5"/>
  <c r="AX197" i="5" s="1"/>
  <c r="AY197" i="5" s="1"/>
  <c r="AT179" i="5"/>
  <c r="AX179" i="5" s="1"/>
  <c r="AY179" i="5" s="1"/>
  <c r="AX198" i="5"/>
  <c r="AY198" i="5" s="1"/>
  <c r="AX218" i="5"/>
  <c r="AT388" i="5"/>
  <c r="AX388" i="5" s="1"/>
  <c r="AY388" i="5" s="1"/>
  <c r="AT75" i="5"/>
  <c r="AX68" i="5"/>
  <c r="AY68" i="5" s="1"/>
  <c r="AU209" i="5"/>
  <c r="AT66" i="5"/>
  <c r="AX254" i="5"/>
  <c r="AY254" i="5" s="1"/>
  <c r="AX255" i="5"/>
  <c r="AY255" i="5" s="1"/>
  <c r="AT141" i="5"/>
  <c r="AX141" i="5" s="1"/>
  <c r="AY141" i="5" s="1"/>
  <c r="AU447" i="5"/>
  <c r="AU29" i="5"/>
  <c r="AU95" i="5"/>
  <c r="AA12" i="4"/>
  <c r="AC12" i="4" s="1"/>
  <c r="AD12" i="4" s="1"/>
  <c r="AU255" i="5"/>
  <c r="AT401" i="5"/>
  <c r="AU93" i="5"/>
  <c r="AT65" i="5"/>
  <c r="AT529" i="5"/>
  <c r="AU53" i="5"/>
  <c r="AT528" i="5"/>
  <c r="AU35" i="5"/>
  <c r="AU45" i="5"/>
  <c r="AU199" i="5"/>
  <c r="AU414" i="5"/>
  <c r="AU103" i="5"/>
  <c r="AX128" i="5"/>
  <c r="AY128" i="5" s="1"/>
  <c r="AX102" i="5"/>
  <c r="AY102" i="5" s="1"/>
  <c r="AT291" i="5"/>
  <c r="AX290" i="5" s="1"/>
  <c r="AY290" i="5" s="1"/>
  <c r="AX71" i="5"/>
  <c r="AY71" i="5" s="1"/>
  <c r="AX101" i="5"/>
  <c r="AY101" i="5" s="1"/>
  <c r="AT321" i="5"/>
  <c r="AX321" i="5" s="1"/>
  <c r="AY321" i="5" s="1"/>
  <c r="AU480" i="5"/>
  <c r="AU20" i="5"/>
  <c r="AU102" i="5"/>
  <c r="AX208" i="5"/>
  <c r="AY208" i="5" s="1"/>
  <c r="AT559" i="5"/>
  <c r="AX559" i="5" s="1"/>
  <c r="AY559" i="5" s="1"/>
  <c r="AX129" i="5"/>
  <c r="AY129" i="5" s="1"/>
  <c r="AU219" i="5"/>
  <c r="AU247" i="5"/>
  <c r="AU129" i="5"/>
  <c r="AT323" i="5"/>
  <c r="AX323" i="5" s="1"/>
  <c r="AY323" i="5" s="1"/>
  <c r="AT272" i="5"/>
  <c r="AX272" i="5" s="1"/>
  <c r="AY272" i="5" s="1"/>
  <c r="AF26" i="4"/>
  <c r="AK26" i="4"/>
  <c r="AA26" i="4"/>
  <c r="AC26" i="4" s="1"/>
  <c r="AD26" i="4" s="1"/>
  <c r="AT409" i="5"/>
  <c r="AX408" i="5" s="1"/>
  <c r="AY408" i="5" s="1"/>
  <c r="AA129" i="4"/>
  <c r="AC129" i="4" s="1"/>
  <c r="AD129" i="4" s="1"/>
  <c r="AR129" i="4" s="1"/>
  <c r="AT129" i="4" s="1"/>
  <c r="AA72" i="4"/>
  <c r="AC72" i="4" s="1"/>
  <c r="AD72" i="4" s="1"/>
  <c r="AR72" i="4" s="1"/>
  <c r="AT72" i="4" s="1"/>
  <c r="AK129" i="4"/>
  <c r="AT11" i="5"/>
  <c r="AU393" i="5"/>
  <c r="AU407" i="5"/>
  <c r="AU185" i="5"/>
  <c r="AA109" i="4"/>
  <c r="AC109" i="4" s="1"/>
  <c r="AD109" i="4" s="1"/>
  <c r="AK109" i="4"/>
  <c r="AA148" i="4"/>
  <c r="AC148" i="4" s="1"/>
  <c r="AD148" i="4" s="1"/>
  <c r="AU64" i="5"/>
  <c r="AU307" i="5"/>
  <c r="AK148" i="4"/>
  <c r="AK72" i="4"/>
  <c r="AU287" i="5"/>
  <c r="AO152" i="4"/>
  <c r="AR152" i="4" s="1"/>
  <c r="AT152" i="4" s="1"/>
  <c r="AK67" i="4"/>
  <c r="AJ67" i="4"/>
  <c r="AA133" i="4"/>
  <c r="AC133" i="4" s="1"/>
  <c r="AD133" i="4" s="1"/>
  <c r="AT340" i="5"/>
  <c r="AX339" i="5" s="1"/>
  <c r="AY339" i="5" s="1"/>
  <c r="AA79" i="4"/>
  <c r="AC79" i="4" s="1"/>
  <c r="AD79" i="4" s="1"/>
  <c r="AJ152" i="4"/>
  <c r="AR108" i="4"/>
  <c r="AT108" i="4" s="1"/>
  <c r="AT10" i="5"/>
  <c r="AT249" i="5"/>
  <c r="AO67" i="4"/>
  <c r="AR67" i="4" s="1"/>
  <c r="AT67" i="4" s="1"/>
  <c r="AK79" i="4"/>
  <c r="AK133" i="4"/>
  <c r="AF133" i="4"/>
  <c r="AG133" i="4" s="1"/>
  <c r="AI133" i="4" s="1"/>
  <c r="AK152" i="4"/>
  <c r="AU230" i="5"/>
  <c r="AU346" i="5"/>
  <c r="AT299" i="5"/>
  <c r="AX299" i="5" s="1"/>
  <c r="AY299" i="5" s="1"/>
  <c r="AA132" i="4"/>
  <c r="AC132" i="4" s="1"/>
  <c r="AD132" i="4" s="1"/>
  <c r="AJ132" i="4"/>
  <c r="AK132" i="4"/>
  <c r="AO105" i="4"/>
  <c r="AG105" i="4"/>
  <c r="AI105" i="4" s="1"/>
  <c r="AF101" i="4"/>
  <c r="AA101" i="4"/>
  <c r="AC101" i="4" s="1"/>
  <c r="AD101" i="4" s="1"/>
  <c r="AK101" i="4"/>
  <c r="AF21" i="4"/>
  <c r="AA21" i="4"/>
  <c r="AC21" i="4" s="1"/>
  <c r="AD21" i="4" s="1"/>
  <c r="AK21" i="4"/>
  <c r="AF24" i="4"/>
  <c r="AK24" i="4"/>
  <c r="AR81" i="4"/>
  <c r="AT81" i="4" s="1"/>
  <c r="AF10" i="4"/>
  <c r="AA10" i="4"/>
  <c r="AC10" i="4" s="1"/>
  <c r="AD10" i="4" s="1"/>
  <c r="AK10" i="4"/>
  <c r="AG140" i="4"/>
  <c r="AI140" i="4" s="1"/>
  <c r="AO140" i="4"/>
  <c r="AO132" i="4"/>
  <c r="AG132" i="4"/>
  <c r="AI132" i="4" s="1"/>
  <c r="AA62" i="4"/>
  <c r="AC62" i="4" s="1"/>
  <c r="AD62" i="4" s="1"/>
  <c r="AF62" i="4"/>
  <c r="AK62" i="4"/>
  <c r="AJ144" i="4"/>
  <c r="Z155" i="4"/>
  <c r="AF155" i="4" s="1"/>
  <c r="Z144" i="4"/>
  <c r="AF144" i="4" s="1"/>
  <c r="AJ155" i="4"/>
  <c r="AF59" i="4"/>
  <c r="AK59" i="4"/>
  <c r="AA59" i="4"/>
  <c r="AC59" i="4" s="1"/>
  <c r="AD59" i="4" s="1"/>
  <c r="AG79" i="4"/>
  <c r="AI79" i="4" s="1"/>
  <c r="AO79" i="4"/>
  <c r="AA94" i="4"/>
  <c r="AC94" i="4" s="1"/>
  <c r="AD94" i="4" s="1"/>
  <c r="AJ94" i="4"/>
  <c r="AF83" i="4"/>
  <c r="AA83" i="4"/>
  <c r="AC83" i="4" s="1"/>
  <c r="AD83" i="4" s="1"/>
  <c r="AK83" i="4"/>
  <c r="AU8" i="5"/>
  <c r="AJ130" i="4"/>
  <c r="Z141" i="4"/>
  <c r="AA141" i="4" s="1"/>
  <c r="AC141" i="4" s="1"/>
  <c r="AD141" i="4" s="1"/>
  <c r="AF94" i="4"/>
  <c r="AK94" i="4"/>
  <c r="AA24" i="4"/>
  <c r="AC24" i="4" s="1"/>
  <c r="AD24" i="4" s="1"/>
  <c r="AJ24" i="4"/>
  <c r="AF58" i="4"/>
  <c r="AA58" i="4"/>
  <c r="AC58" i="4" s="1"/>
  <c r="AD58" i="4" s="1"/>
  <c r="AK58" i="4"/>
  <c r="Z130" i="4"/>
  <c r="AF130" i="4" s="1"/>
  <c r="AF34" i="4"/>
  <c r="AK34" i="4"/>
  <c r="AA34" i="4"/>
  <c r="AC34" i="4" s="1"/>
  <c r="AD34" i="4" s="1"/>
  <c r="AT292" i="5"/>
  <c r="AU391" i="5"/>
  <c r="AT235" i="5"/>
  <c r="AG76" i="4"/>
  <c r="AI76" i="4" s="1"/>
  <c r="AO76" i="4"/>
  <c r="AU162" i="5"/>
  <c r="AG84" i="4"/>
  <c r="AI84" i="4" s="1"/>
  <c r="AO84" i="4"/>
  <c r="AU169" i="5"/>
  <c r="AT487" i="5"/>
  <c r="AX487" i="5" s="1"/>
  <c r="AY487" i="5" s="1"/>
  <c r="AR85" i="4"/>
  <c r="AT85" i="4" s="1"/>
  <c r="AU412" i="5"/>
  <c r="AT458" i="5"/>
  <c r="AX458" i="5" s="1"/>
  <c r="AY458" i="5" s="1"/>
  <c r="AT550" i="5"/>
  <c r="AT233" i="5"/>
  <c r="AX232" i="5" s="1"/>
  <c r="AY232" i="5" s="1"/>
  <c r="AU364" i="5"/>
  <c r="AG120" i="4"/>
  <c r="AI120" i="4" s="1"/>
  <c r="AR120" i="4" s="1"/>
  <c r="AT120" i="4" s="1"/>
  <c r="AT549" i="5"/>
  <c r="AX548" i="5" s="1"/>
  <c r="AY548" i="5" s="1"/>
  <c r="AU328" i="5"/>
  <c r="AU396" i="5"/>
  <c r="AU457" i="5"/>
  <c r="AT547" i="5"/>
  <c r="AX547" i="5" s="1"/>
  <c r="AY547" i="5" s="1"/>
  <c r="AT326" i="5"/>
  <c r="AX326" i="5" s="1"/>
  <c r="AY326" i="5" s="1"/>
  <c r="AT52" i="5"/>
  <c r="AX52" i="5" s="1"/>
  <c r="AY52" i="5" s="1"/>
  <c r="AT196" i="5"/>
  <c r="AT207" i="5"/>
  <c r="AX206" i="5" s="1"/>
  <c r="AY206" i="5" s="1"/>
  <c r="AT545" i="5"/>
  <c r="AX544" i="5" s="1"/>
  <c r="AY544" i="5" s="1"/>
  <c r="AT430" i="5"/>
  <c r="AX429" i="5" s="1"/>
  <c r="AY429" i="5" s="1"/>
  <c r="AU315" i="5"/>
  <c r="AU47" i="5"/>
  <c r="AU92" i="5"/>
  <c r="AT423" i="5"/>
  <c r="AX423" i="5" s="1"/>
  <c r="AY423" i="5" s="1"/>
  <c r="AT527" i="5"/>
  <c r="AT443" i="5"/>
  <c r="AU271" i="5"/>
  <c r="AT510" i="5"/>
  <c r="AX509" i="5" s="1"/>
  <c r="AY509" i="5" s="1"/>
  <c r="AU225" i="5"/>
  <c r="AT352" i="5"/>
  <c r="AX351" i="5" s="1"/>
  <c r="AU79" i="5"/>
  <c r="AU418" i="5"/>
  <c r="AU139" i="5"/>
  <c r="AU539" i="5"/>
  <c r="AT535" i="5"/>
  <c r="AX535" i="5" s="1"/>
  <c r="AY535" i="5" s="1"/>
  <c r="AT191" i="5"/>
  <c r="AX191" i="5" s="1"/>
  <c r="AY191" i="5" s="1"/>
  <c r="AT56" i="5"/>
  <c r="AX56" i="5" s="1"/>
  <c r="AY56" i="5" s="1"/>
  <c r="AT497" i="5"/>
  <c r="AU57" i="5"/>
  <c r="AU490" i="5"/>
  <c r="AT419" i="5"/>
  <c r="AX418" i="5" s="1"/>
  <c r="AY418" i="5" s="1"/>
  <c r="AU98" i="5"/>
  <c r="AT96" i="5"/>
  <c r="AX96" i="5" s="1"/>
  <c r="AY96" i="5" s="1"/>
  <c r="AX347" i="5"/>
  <c r="AY347" i="5" s="1"/>
  <c r="AT542" i="5"/>
  <c r="AX542" i="5" s="1"/>
  <c r="AY542" i="5" s="1"/>
  <c r="AT154" i="5"/>
  <c r="AX153" i="5" s="1"/>
  <c r="AY153" i="5" s="1"/>
  <c r="AU84" i="5"/>
  <c r="AT172" i="5"/>
  <c r="AX172" i="5" s="1"/>
  <c r="AY172" i="5" s="1"/>
  <c r="AT358" i="5"/>
  <c r="AX358" i="5" s="1"/>
  <c r="AY358" i="5" s="1"/>
  <c r="AT124" i="5"/>
  <c r="AX123" i="5" s="1"/>
  <c r="AY123" i="5" s="1"/>
  <c r="AX384" i="5"/>
  <c r="AY384" i="5" s="1"/>
  <c r="AT164" i="5"/>
  <c r="AX163" i="5" s="1"/>
  <c r="AY163" i="5" s="1"/>
  <c r="AX425" i="5"/>
  <c r="AY425" i="5" s="1"/>
  <c r="AU503" i="5"/>
  <c r="AU330" i="5"/>
  <c r="AU211" i="5"/>
  <c r="AU322" i="5"/>
  <c r="AU281" i="5"/>
  <c r="AT61" i="5"/>
  <c r="AU435" i="5"/>
  <c r="AT227" i="5"/>
  <c r="AX226" i="5" s="1"/>
  <c r="AY226" i="5" s="1"/>
  <c r="AT526" i="5"/>
  <c r="AX525" i="5" s="1"/>
  <c r="AY525" i="5" s="1"/>
  <c r="AU224" i="5"/>
  <c r="AU39" i="5"/>
  <c r="AT28" i="5"/>
  <c r="AX28" i="5" s="1"/>
  <c r="AY28" i="5" s="1"/>
  <c r="AT519" i="5"/>
  <c r="AT357" i="5"/>
  <c r="AX356" i="5" s="1"/>
  <c r="AY356" i="5" s="1"/>
  <c r="AT107" i="5"/>
  <c r="AX107" i="5" s="1"/>
  <c r="AY107" i="5" s="1"/>
  <c r="AX135" i="5"/>
  <c r="AY135" i="5" s="1"/>
  <c r="AU493" i="5"/>
  <c r="AU177" i="5"/>
  <c r="AU131" i="5"/>
  <c r="AT51" i="5"/>
  <c r="AT246" i="5"/>
  <c r="AX245" i="5" s="1"/>
  <c r="AY245" i="5" s="1"/>
  <c r="AT442" i="5"/>
  <c r="AX479" i="5"/>
  <c r="AY479" i="5" s="1"/>
  <c r="AX552" i="5"/>
  <c r="AY552" i="5" s="1"/>
  <c r="AX456" i="5"/>
  <c r="AY456" i="5" s="1"/>
  <c r="AX159" i="5"/>
  <c r="AY159" i="5" s="1"/>
  <c r="AT89" i="5"/>
  <c r="AX286" i="5"/>
  <c r="AY286" i="5" s="1"/>
  <c r="AT516" i="5"/>
  <c r="AX515" i="5" s="1"/>
  <c r="AY515" i="5" s="1"/>
  <c r="AT41" i="5"/>
  <c r="AU71" i="5"/>
  <c r="AT367" i="5"/>
  <c r="AX367" i="5" s="1"/>
  <c r="AY367" i="5" s="1"/>
  <c r="AU86" i="5"/>
  <c r="AT190" i="5"/>
  <c r="AT152" i="5"/>
  <c r="AX151" i="5" s="1"/>
  <c r="AY151" i="5" s="1"/>
  <c r="AU273" i="5"/>
  <c r="AU439" i="5"/>
  <c r="AX311" i="5"/>
  <c r="AY311" i="5" s="1"/>
  <c r="AT88" i="5"/>
  <c r="AX87" i="5" s="1"/>
  <c r="AY87" i="5" s="1"/>
  <c r="AX407" i="5"/>
  <c r="AY407" i="5" s="1"/>
  <c r="AX328" i="5"/>
  <c r="AY328" i="5" s="1"/>
  <c r="AT156" i="5"/>
  <c r="AU195" i="5"/>
  <c r="AX349" i="5"/>
  <c r="AY349" i="5" s="1"/>
  <c r="AU368" i="5"/>
  <c r="B123" i="2"/>
  <c r="H29" i="1" s="1"/>
  <c r="AU355" i="5"/>
  <c r="AT334" i="5"/>
  <c r="AX333" i="5" s="1"/>
  <c r="AY333" i="5" s="1"/>
  <c r="AU276" i="5"/>
  <c r="AT30" i="5"/>
  <c r="AX30" i="5" s="1"/>
  <c r="AY30" i="5" s="1"/>
  <c r="AX169" i="5"/>
  <c r="AY169" i="5" s="1"/>
  <c r="AT415" i="5"/>
  <c r="AX415" i="5" s="1"/>
  <c r="AY415" i="5" s="1"/>
  <c r="AT531" i="5"/>
  <c r="AX531" i="5" s="1"/>
  <c r="AY531" i="5" s="1"/>
  <c r="AX503" i="5"/>
  <c r="AY503" i="5" s="1"/>
  <c r="AT431" i="5"/>
  <c r="AX431" i="5" s="1"/>
  <c r="AY431" i="5" s="1"/>
  <c r="AU372" i="5"/>
  <c r="AT242" i="5"/>
  <c r="AX241" i="5" s="1"/>
  <c r="AY241" i="5" s="1"/>
  <c r="AU389" i="5"/>
  <c r="AR97" i="4"/>
  <c r="AT97" i="4" s="1"/>
  <c r="AR45" i="4"/>
  <c r="AT45" i="4" s="1"/>
  <c r="AX488" i="5"/>
  <c r="AY488" i="5" s="1"/>
  <c r="AU250" i="5"/>
  <c r="AX520" i="5"/>
  <c r="AY520" i="5" s="1"/>
  <c r="AX251" i="5"/>
  <c r="AY251" i="5" s="1"/>
  <c r="AX368" i="5"/>
  <c r="AU507" i="5"/>
  <c r="AU474" i="5"/>
  <c r="AX449" i="5"/>
  <c r="AY449" i="5" s="1"/>
  <c r="AO32" i="4"/>
  <c r="AR32" i="4" s="1"/>
  <c r="AT32" i="4" s="1"/>
  <c r="AR17" i="4"/>
  <c r="AT17" i="4" s="1"/>
  <c r="AX350" i="5"/>
  <c r="AY350" i="5" s="1"/>
  <c r="AX392" i="5"/>
  <c r="AY392" i="5" s="1"/>
  <c r="AX34" i="5"/>
  <c r="AY34" i="5" s="1"/>
  <c r="AX180" i="5"/>
  <c r="AY180" i="5" s="1"/>
  <c r="AX287" i="5"/>
  <c r="AX505" i="5"/>
  <c r="AY505" i="5" s="1"/>
  <c r="AX434" i="5"/>
  <c r="AY434" i="5" s="1"/>
  <c r="AO95" i="4"/>
  <c r="AG95" i="4"/>
  <c r="AI95" i="4" s="1"/>
  <c r="AO116" i="4"/>
  <c r="AG116" i="4"/>
  <c r="AI116" i="4" s="1"/>
  <c r="AG35" i="4"/>
  <c r="AI35" i="4" s="1"/>
  <c r="AO35" i="4"/>
  <c r="AG134" i="4"/>
  <c r="AI134" i="4" s="1"/>
  <c r="AO134" i="4"/>
  <c r="AG69" i="4"/>
  <c r="AI69" i="4" s="1"/>
  <c r="AO69" i="4"/>
  <c r="AG20" i="4"/>
  <c r="AI20" i="4" s="1"/>
  <c r="AO20" i="4"/>
  <c r="AG38" i="4"/>
  <c r="AI38" i="4" s="1"/>
  <c r="AO38" i="4"/>
  <c r="AO54" i="4"/>
  <c r="AG54" i="4"/>
  <c r="AI54" i="4" s="1"/>
  <c r="AO126" i="4"/>
  <c r="AG126" i="4"/>
  <c r="AI126" i="4" s="1"/>
  <c r="AR70" i="4"/>
  <c r="AT70" i="4" s="1"/>
  <c r="AG23" i="4"/>
  <c r="AI23" i="4" s="1"/>
  <c r="AO23" i="4"/>
  <c r="AG127" i="4"/>
  <c r="AI127" i="4" s="1"/>
  <c r="AO127" i="4"/>
  <c r="AG109" i="4"/>
  <c r="AI109" i="4" s="1"/>
  <c r="AO109" i="4"/>
  <c r="AO100" i="4"/>
  <c r="AG100" i="4"/>
  <c r="AI100" i="4" s="1"/>
  <c r="AO64" i="4"/>
  <c r="AG64" i="4"/>
  <c r="AI64" i="4" s="1"/>
  <c r="AR44" i="4"/>
  <c r="AT44" i="4" s="1"/>
  <c r="AG8" i="4"/>
  <c r="AI8" i="4" s="1"/>
  <c r="AO8" i="4"/>
  <c r="AO128" i="4"/>
  <c r="AG128" i="4"/>
  <c r="AI128" i="4" s="1"/>
  <c r="AG86" i="4"/>
  <c r="AI86" i="4" s="1"/>
  <c r="AO86" i="4"/>
  <c r="AG77" i="4"/>
  <c r="AI77" i="4" s="1"/>
  <c r="AO77" i="4"/>
  <c r="AO47" i="4"/>
  <c r="AG47" i="4"/>
  <c r="AI47" i="4" s="1"/>
  <c r="AG93" i="4"/>
  <c r="AI93" i="4" s="1"/>
  <c r="AO93" i="4"/>
  <c r="AG148" i="4"/>
  <c r="AI148" i="4" s="1"/>
  <c r="AO148" i="4"/>
  <c r="AX338" i="5"/>
  <c r="AY338" i="5" s="1"/>
  <c r="AO135" i="4"/>
  <c r="AG135" i="4"/>
  <c r="AI135" i="4" s="1"/>
  <c r="AO14" i="4"/>
  <c r="AG14" i="4"/>
  <c r="AI14" i="4" s="1"/>
  <c r="AO157" i="4"/>
  <c r="AG157" i="4"/>
  <c r="AI157" i="4" s="1"/>
  <c r="AO137" i="4"/>
  <c r="AG137" i="4"/>
  <c r="AI137" i="4" s="1"/>
  <c r="AO63" i="4"/>
  <c r="AG63" i="4"/>
  <c r="AI63" i="4" s="1"/>
  <c r="AO39" i="4"/>
  <c r="AG39" i="4"/>
  <c r="AI39" i="4" s="1"/>
  <c r="AO52" i="4"/>
  <c r="AG52" i="4"/>
  <c r="AI52" i="4" s="1"/>
  <c r="AT9" i="5"/>
  <c r="AU9" i="5"/>
  <c r="AX341" i="5"/>
  <c r="AY341" i="5" s="1"/>
  <c r="AX86" i="5"/>
  <c r="AY86" i="5" s="1"/>
  <c r="AX498" i="5"/>
  <c r="AY498" i="5" s="1"/>
  <c r="AX314" i="5"/>
  <c r="AY314" i="5" s="1"/>
  <c r="AX224" i="5"/>
  <c r="AY224" i="5" s="1"/>
  <c r="AX183" i="5"/>
  <c r="AY183" i="5" s="1"/>
  <c r="AX464" i="5"/>
  <c r="AY464" i="5" s="1"/>
  <c r="AX84" i="5"/>
  <c r="AY84" i="5" s="1"/>
  <c r="AX39" i="5"/>
  <c r="AY39" i="5" s="1"/>
  <c r="AX447" i="5"/>
  <c r="AY447" i="5" s="1"/>
  <c r="AX33" i="5"/>
  <c r="AY33" i="5" s="1"/>
  <c r="AX362" i="5"/>
  <c r="AY362" i="5" s="1"/>
  <c r="AX355" i="5"/>
  <c r="AY355" i="5" s="1"/>
  <c r="AX279" i="5"/>
  <c r="AY279" i="5" s="1"/>
  <c r="AX160" i="5"/>
  <c r="AY160" i="5" s="1"/>
  <c r="AX260" i="5"/>
  <c r="AY260" i="5" s="1"/>
  <c r="AX435" i="5"/>
  <c r="AY435" i="5" s="1"/>
  <c r="AX369" i="5"/>
  <c r="AY369" i="5" s="1"/>
  <c r="AX188" i="5"/>
  <c r="AY188" i="5" s="1"/>
  <c r="AX252" i="5"/>
  <c r="AY252" i="5" s="1"/>
  <c r="AX199" i="5"/>
  <c r="AY199" i="5" s="1"/>
  <c r="AX329" i="5"/>
  <c r="AY329" i="5" s="1"/>
  <c r="AX274" i="5"/>
  <c r="AY274" i="5" s="1"/>
  <c r="AX165" i="5"/>
  <c r="AY165" i="5" s="1"/>
  <c r="AX283" i="5"/>
  <c r="AY283" i="5" s="1"/>
  <c r="AX481" i="5"/>
  <c r="AY481" i="5" s="1"/>
  <c r="AX395" i="5"/>
  <c r="AY395" i="5" s="1"/>
  <c r="AX364" i="5"/>
  <c r="AX137" i="5"/>
  <c r="AY137" i="5" s="1"/>
  <c r="AX424" i="5"/>
  <c r="AY424" i="5" s="1"/>
  <c r="AX79" i="5"/>
  <c r="AY79" i="5" s="1"/>
  <c r="AX432" i="5"/>
  <c r="AY432" i="5" s="1"/>
  <c r="AX269" i="5"/>
  <c r="AY269" i="5" s="1"/>
  <c r="AX211" i="5"/>
  <c r="AY211" i="5" s="1"/>
  <c r="AX489" i="5"/>
  <c r="AY489" i="5" s="1"/>
  <c r="AX85" i="5"/>
  <c r="AY85" i="5" s="1"/>
  <c r="AX25" i="5"/>
  <c r="AY25" i="5" s="1"/>
  <c r="AX288" i="5"/>
  <c r="AY288" i="5" s="1"/>
  <c r="AX265" i="5"/>
  <c r="AY265" i="5" s="1"/>
  <c r="AX372" i="5"/>
  <c r="AY372" i="5" s="1"/>
  <c r="AX303" i="5"/>
  <c r="AY303" i="5" s="1"/>
  <c r="AX342" i="5"/>
  <c r="AY342" i="5" s="1"/>
  <c r="AX43" i="5"/>
  <c r="AY43" i="5" s="1"/>
  <c r="AX146" i="5"/>
  <c r="AY146" i="5" s="1"/>
  <c r="AX270" i="5"/>
  <c r="AY270" i="5" s="1"/>
  <c r="AX176" i="5"/>
  <c r="AY176" i="5" s="1"/>
  <c r="AX187" i="5"/>
  <c r="AY187" i="5" s="1"/>
  <c r="AX398" i="5"/>
  <c r="AY398" i="5" s="1"/>
  <c r="AX421" i="5"/>
  <c r="AY421" i="5" s="1"/>
  <c r="AX337" i="5"/>
  <c r="AY337" i="5" s="1"/>
  <c r="AX345" i="5"/>
  <c r="AY345" i="5" s="1"/>
  <c r="AX223" i="5"/>
  <c r="AY223" i="5" s="1"/>
  <c r="AX413" i="5"/>
  <c r="AY413" i="5" s="1"/>
  <c r="AX380" i="5"/>
  <c r="AY380" i="5" s="1"/>
  <c r="AX386" i="5"/>
  <c r="AY386" i="5" s="1"/>
  <c r="AX130" i="5"/>
  <c r="AY130" i="5" s="1"/>
  <c r="AX63" i="5"/>
  <c r="AY63" i="5" s="1"/>
  <c r="AX331" i="5"/>
  <c r="AY331" i="5" s="1"/>
  <c r="AX261" i="5"/>
  <c r="AY261" i="5" s="1"/>
  <c r="AX205" i="5"/>
  <c r="AY205" i="5" s="1"/>
  <c r="AX426" i="5"/>
  <c r="AY426" i="5" s="1"/>
  <c r="AX511" i="5"/>
  <c r="AY511" i="5" s="1"/>
  <c r="AX161" i="5"/>
  <c r="AY161" i="5" s="1"/>
  <c r="AX282" i="5"/>
  <c r="AY282" i="5" s="1"/>
  <c r="AX438" i="5"/>
  <c r="AY438" i="5" s="1"/>
  <c r="AX37" i="5"/>
  <c r="AY37" i="5" s="1"/>
  <c r="AX273" i="5"/>
  <c r="AX537" i="5"/>
  <c r="AY537" i="5" s="1"/>
  <c r="AX83" i="5"/>
  <c r="AY83" i="5" s="1"/>
  <c r="AR92" i="4"/>
  <c r="AT92" i="4" s="1"/>
  <c r="AR121" i="4"/>
  <c r="AT121" i="4" s="1"/>
  <c r="AR154" i="4"/>
  <c r="AT154" i="4" s="1"/>
  <c r="AR50" i="4"/>
  <c r="AT50" i="4" s="1"/>
  <c r="AR29" i="4"/>
  <c r="AT29" i="4" s="1"/>
  <c r="AR138" i="4"/>
  <c r="AT138" i="4" s="1"/>
  <c r="AR104" i="4"/>
  <c r="AT104" i="4" s="1"/>
  <c r="AR113" i="4"/>
  <c r="AT113" i="4" s="1"/>
  <c r="AR147" i="4"/>
  <c r="AT147" i="4" s="1"/>
  <c r="AR51" i="4"/>
  <c r="AT51" i="4" s="1"/>
  <c r="AR122" i="4"/>
  <c r="AT122" i="4" s="1"/>
  <c r="AR65" i="4"/>
  <c r="AT65" i="4" s="1"/>
  <c r="AR124" i="4"/>
  <c r="AT124" i="4" s="1"/>
  <c r="AR90" i="4"/>
  <c r="AT90" i="4" s="1"/>
  <c r="AR146" i="4"/>
  <c r="AT146" i="4" s="1"/>
  <c r="AR33" i="4"/>
  <c r="AT33" i="4" s="1"/>
  <c r="AR131" i="4"/>
  <c r="AT131" i="4" s="1"/>
  <c r="AX394" i="5"/>
  <c r="AY394" i="5" s="1"/>
  <c r="AX166" i="5"/>
  <c r="AY166" i="5" s="1"/>
  <c r="AT13" i="5"/>
  <c r="AU13" i="5"/>
  <c r="AX436" i="5"/>
  <c r="AY436" i="5" s="1"/>
  <c r="AX44" i="5"/>
  <c r="AY44" i="5" s="1"/>
  <c r="AX92" i="5"/>
  <c r="AY92" i="5" s="1"/>
  <c r="AX381" i="5"/>
  <c r="AY381" i="5" s="1"/>
  <c r="AX215" i="5"/>
  <c r="AY215" i="5" s="1"/>
  <c r="AR28" i="4"/>
  <c r="AT28" i="4" s="1"/>
  <c r="AX280" i="5"/>
  <c r="AY280" i="5" s="1"/>
  <c r="AX125" i="5"/>
  <c r="AY125" i="5" s="1"/>
  <c r="AX476" i="5"/>
  <c r="AY476" i="5" s="1"/>
  <c r="AX225" i="5"/>
  <c r="AY225" i="5" s="1"/>
  <c r="AX24" i="5"/>
  <c r="AY24" i="5" s="1"/>
  <c r="AX448" i="5"/>
  <c r="AY448" i="5" s="1"/>
  <c r="AR80" i="4"/>
  <c r="AT80" i="4" s="1"/>
  <c r="AX256" i="5"/>
  <c r="AY256" i="5" s="1"/>
  <c r="AX275" i="5"/>
  <c r="AY275" i="5" s="1"/>
  <c r="AX32" i="5"/>
  <c r="AY32" i="5" s="1"/>
  <c r="AX504" i="5"/>
  <c r="AY504" i="5" s="1"/>
  <c r="AX319" i="5"/>
  <c r="AY319" i="5" s="1"/>
  <c r="AX393" i="5"/>
  <c r="AY393" i="5" s="1"/>
  <c r="AX467" i="5"/>
  <c r="AY467" i="5" s="1"/>
  <c r="F70" i="1"/>
  <c r="B231" i="2"/>
  <c r="F71" i="1" s="1"/>
  <c r="AX385" i="5"/>
  <c r="AY385" i="5" s="1"/>
  <c r="AX506" i="5"/>
  <c r="AY506" i="5" s="1"/>
  <c r="AX417" i="5"/>
  <c r="AY417" i="5" s="1"/>
  <c r="AX70" i="5"/>
  <c r="AY70" i="5" s="1"/>
  <c r="AX538" i="5"/>
  <c r="AY538" i="5" s="1"/>
  <c r="AX22" i="5"/>
  <c r="AY22" i="5" s="1"/>
  <c r="AX396" i="5"/>
  <c r="AY396" i="5" s="1"/>
  <c r="AX348" i="5"/>
  <c r="AY348" i="5" s="1"/>
  <c r="AX420" i="5"/>
  <c r="AY420" i="5" s="1"/>
  <c r="AX117" i="5"/>
  <c r="AY117" i="5" s="1"/>
  <c r="AX433" i="5"/>
  <c r="AY433" i="5" s="1"/>
  <c r="AX484" i="5"/>
  <c r="AY484" i="5" s="1"/>
  <c r="AX553" i="5"/>
  <c r="AY553" i="5" s="1"/>
  <c r="AX471" i="5"/>
  <c r="AY471" i="5" s="1"/>
  <c r="AX203" i="5"/>
  <c r="AY203" i="5" s="1"/>
  <c r="AX204" i="5"/>
  <c r="AY204" i="5" s="1"/>
  <c r="AX480" i="5"/>
  <c r="AY480" i="5" s="1"/>
  <c r="AX453" i="5"/>
  <c r="AY453" i="5" s="1"/>
  <c r="AR107" i="4"/>
  <c r="AT107" i="4" s="1"/>
  <c r="AX138" i="5"/>
  <c r="AY138" i="5" s="1"/>
  <c r="AX439" i="5"/>
  <c r="AY439" i="5" s="1"/>
  <c r="AX108" i="5"/>
  <c r="AY108" i="5" s="1"/>
  <c r="AR16" i="4"/>
  <c r="AT16" i="4" s="1"/>
  <c r="AX304" i="5"/>
  <c r="AY304" i="5" s="1"/>
  <c r="AX532" i="5"/>
  <c r="AY532" i="5" s="1"/>
  <c r="AR55" i="4"/>
  <c r="AT55" i="4" s="1"/>
  <c r="AR115" i="4"/>
  <c r="AT115" i="4" s="1"/>
  <c r="AR42" i="4"/>
  <c r="AT42" i="4" s="1"/>
  <c r="AX121" i="5"/>
  <c r="AY121" i="5" s="1"/>
  <c r="AX289" i="5"/>
  <c r="AY289" i="5" s="1"/>
  <c r="AX490" i="5"/>
  <c r="AY490" i="5" s="1"/>
  <c r="AX297" i="5"/>
  <c r="AY297" i="5" s="1"/>
  <c r="AX459" i="5"/>
  <c r="AY459" i="5" s="1"/>
  <c r="AX514" i="5"/>
  <c r="AY514" i="5" s="1"/>
  <c r="AX136" i="5"/>
  <c r="AY136" i="5" s="1"/>
  <c r="AX397" i="5"/>
  <c r="AY397" i="5" s="1"/>
  <c r="AX543" i="5"/>
  <c r="AY543" i="5" s="1"/>
  <c r="AX100" i="5"/>
  <c r="AY100" i="5" s="1"/>
  <c r="AX346" i="5"/>
  <c r="AY346" i="5" s="1"/>
  <c r="AX460" i="5"/>
  <c r="AY460" i="5" s="1"/>
  <c r="AO73" i="4"/>
  <c r="AG73" i="4"/>
  <c r="AI73" i="4" s="1"/>
  <c r="AX69" i="5"/>
  <c r="AY69" i="5" s="1"/>
  <c r="AX416" i="5"/>
  <c r="AY416" i="5" s="1"/>
  <c r="AX268" i="5"/>
  <c r="AY268" i="5" s="1"/>
  <c r="AX399" i="5"/>
  <c r="AY399" i="5" s="1"/>
  <c r="AX281" i="5"/>
  <c r="AY281" i="5" s="1"/>
  <c r="AX330" i="5"/>
  <c r="AY330" i="5" s="1"/>
  <c r="AX375" i="5"/>
  <c r="AY375" i="5" s="1"/>
  <c r="AX192" i="5"/>
  <c r="AY192" i="5" s="1"/>
  <c r="AX126" i="5"/>
  <c r="AY126" i="5" s="1"/>
  <c r="AX162" i="5"/>
  <c r="AY162" i="5" s="1"/>
  <c r="AX170" i="5"/>
  <c r="AY170" i="5" s="1"/>
  <c r="AX336" i="5"/>
  <c r="AY336" i="5" s="1"/>
  <c r="AX293" i="5"/>
  <c r="AY293" i="5" s="1"/>
  <c r="AR117" i="4"/>
  <c r="AT117" i="4" s="1"/>
  <c r="AX91" i="5"/>
  <c r="AY91" i="5" s="1"/>
  <c r="AX524" i="5"/>
  <c r="AY524" i="5" s="1"/>
  <c r="AX437" i="5"/>
  <c r="AY437" i="5" s="1"/>
  <c r="AR56" i="4"/>
  <c r="AT56" i="4" s="1"/>
  <c r="AX536" i="5"/>
  <c r="AY536" i="5" s="1"/>
  <c r="AX296" i="5"/>
  <c r="AY296" i="5" s="1"/>
  <c r="AX253" i="5"/>
  <c r="AY253" i="5" s="1"/>
  <c r="AX502" i="5"/>
  <c r="AY502" i="5" s="1"/>
  <c r="AX391" i="5"/>
  <c r="AY391" i="5" s="1"/>
  <c r="AX250" i="5"/>
  <c r="AY250" i="5" s="1"/>
  <c r="AX412" i="5"/>
  <c r="AY412" i="5" s="1"/>
  <c r="AX114" i="5"/>
  <c r="AY114" i="5" s="1"/>
  <c r="AR110" i="4"/>
  <c r="AT110" i="4" s="1"/>
  <c r="AX284" i="5"/>
  <c r="AY284" i="5" s="1"/>
  <c r="AX533" i="5"/>
  <c r="AY533" i="5" s="1"/>
  <c r="AX332" i="5"/>
  <c r="AY332" i="5" s="1"/>
  <c r="AX327" i="5"/>
  <c r="AY327" i="5" s="1"/>
  <c r="AR13" i="4"/>
  <c r="AT13" i="4" s="1"/>
  <c r="AX31" i="5"/>
  <c r="AY31" i="5" s="1"/>
  <c r="AR153" i="4"/>
  <c r="AT153" i="4" s="1"/>
  <c r="AX285" i="5"/>
  <c r="AY285" i="5" s="1"/>
  <c r="AX181" i="5"/>
  <c r="AY181" i="5" s="1"/>
  <c r="AX406" i="5"/>
  <c r="AY406" i="5" s="1"/>
  <c r="AX363" i="5"/>
  <c r="AY363" i="5" s="1"/>
  <c r="AX142" i="5"/>
  <c r="AY142" i="5" s="1"/>
  <c r="AX38" i="5"/>
  <c r="AY38" i="5" s="1"/>
  <c r="AX499" i="5"/>
  <c r="AY499" i="5" s="1"/>
  <c r="AR48" i="4"/>
  <c r="AT48" i="4" s="1"/>
  <c r="AY116" i="5" l="1"/>
  <c r="AY193" i="5"/>
  <c r="AY218" i="5"/>
  <c r="AR88" i="4"/>
  <c r="AT88" i="4" s="1"/>
  <c r="AY273" i="5"/>
  <c r="AY300" i="5"/>
  <c r="AG150" i="4"/>
  <c r="AI150" i="4" s="1"/>
  <c r="AR150" i="4" s="1"/>
  <c r="AT150" i="4" s="1"/>
  <c r="AY287" i="5"/>
  <c r="AY389" i="5"/>
  <c r="AO91" i="4"/>
  <c r="AR91" i="4" s="1"/>
  <c r="AT91" i="4" s="1"/>
  <c r="AY364" i="5"/>
  <c r="AX508" i="5"/>
  <c r="AY508" i="5" s="1"/>
  <c r="AX371" i="5"/>
  <c r="AY371" i="5" s="1"/>
  <c r="AX446" i="5"/>
  <c r="AY446" i="5" s="1"/>
  <c r="AY351" i="5"/>
  <c r="AX522" i="5"/>
  <c r="AY522" i="5" s="1"/>
  <c r="AY368" i="5"/>
  <c r="AG37" i="4"/>
  <c r="AI37" i="4" s="1"/>
  <c r="AR37" i="4" s="1"/>
  <c r="AT37" i="4" s="1"/>
  <c r="AX378" i="5"/>
  <c r="AY378" i="5" s="1"/>
  <c r="AG7" i="4"/>
  <c r="AI7" i="4" s="1"/>
  <c r="AR7" i="4" s="1"/>
  <c r="AT7" i="4" s="1"/>
  <c r="AX234" i="5"/>
  <c r="AY234" i="5" s="1"/>
  <c r="AR66" i="4"/>
  <c r="AT66" i="4" s="1"/>
  <c r="AO12" i="4"/>
  <c r="AR12" i="4" s="1"/>
  <c r="AT12" i="4" s="1"/>
  <c r="AX482" i="5"/>
  <c r="AY482" i="5" s="1"/>
  <c r="AX451" i="5"/>
  <c r="AY451" i="5" s="1"/>
  <c r="AX402" i="5"/>
  <c r="AY402" i="5" s="1"/>
  <c r="AX469" i="5"/>
  <c r="AY469" i="5" s="1"/>
  <c r="AX529" i="5"/>
  <c r="AY529" i="5" s="1"/>
  <c r="AX462" i="5"/>
  <c r="AY462" i="5" s="1"/>
  <c r="AX465" i="5"/>
  <c r="AY465" i="5" s="1"/>
  <c r="AX243" i="5"/>
  <c r="AY243" i="5" s="1"/>
  <c r="AX540" i="5"/>
  <c r="AY540" i="5" s="1"/>
  <c r="AR142" i="4"/>
  <c r="AT142" i="4" s="1"/>
  <c r="AX468" i="5"/>
  <c r="AY468" i="5" s="1"/>
  <c r="AX307" i="5"/>
  <c r="AY307" i="5" s="1"/>
  <c r="AX518" i="5"/>
  <c r="AY518" i="5" s="1"/>
  <c r="AX555" i="5"/>
  <c r="AY555" i="5" s="1"/>
  <c r="AX312" i="5"/>
  <c r="AY312" i="5" s="1"/>
  <c r="AX390" i="5"/>
  <c r="AY390" i="5" s="1"/>
  <c r="AX455" i="5"/>
  <c r="AY455" i="5" s="1"/>
  <c r="AX478" i="5"/>
  <c r="AY478" i="5" s="1"/>
  <c r="AX474" i="5"/>
  <c r="AY474" i="5" s="1"/>
  <c r="AX266" i="5"/>
  <c r="AY266" i="5" s="1"/>
  <c r="AX200" i="5"/>
  <c r="AY200" i="5" s="1"/>
  <c r="AX57" i="5"/>
  <c r="AY57" i="5" s="1"/>
  <c r="AX374" i="5"/>
  <c r="AY374" i="5" s="1"/>
  <c r="AX410" i="5"/>
  <c r="AY410" i="5" s="1"/>
  <c r="AR125" i="4"/>
  <c r="AT125" i="4" s="1"/>
  <c r="AX41" i="5"/>
  <c r="AY41" i="5" s="1"/>
  <c r="AG22" i="4"/>
  <c r="AI22" i="4" s="1"/>
  <c r="AR22" i="4" s="1"/>
  <c r="AT22" i="4" s="1"/>
  <c r="AX513" i="5"/>
  <c r="AY513" i="5" s="1"/>
  <c r="AX305" i="5"/>
  <c r="AY305" i="5" s="1"/>
  <c r="AX315" i="5"/>
  <c r="AY315" i="5" s="1"/>
  <c r="AX295" i="5"/>
  <c r="AY295" i="5" s="1"/>
  <c r="AX213" i="5"/>
  <c r="AY213" i="5" s="1"/>
  <c r="AX221" i="5"/>
  <c r="AY221" i="5" s="1"/>
  <c r="AX145" i="5"/>
  <c r="AY145" i="5" s="1"/>
  <c r="AX185" i="5"/>
  <c r="AY185" i="5" s="1"/>
  <c r="AX443" i="5"/>
  <c r="AY443" i="5" s="1"/>
  <c r="AX36" i="5"/>
  <c r="AY36" i="5" s="1"/>
  <c r="AX360" i="5"/>
  <c r="AY360" i="5" s="1"/>
  <c r="AX354" i="5"/>
  <c r="AY354" i="5" s="1"/>
  <c r="AX359" i="5"/>
  <c r="AY359" i="5" s="1"/>
  <c r="AX248" i="5"/>
  <c r="AY248" i="5" s="1"/>
  <c r="AX301" i="5"/>
  <c r="AY301" i="5" s="1"/>
  <c r="AX174" i="5"/>
  <c r="AY174" i="5" s="1"/>
  <c r="AX112" i="5"/>
  <c r="AY112" i="5" s="1"/>
  <c r="AX428" i="5"/>
  <c r="AY428" i="5" s="1"/>
  <c r="AX310" i="5"/>
  <c r="AY310" i="5" s="1"/>
  <c r="AX47" i="5"/>
  <c r="AY47" i="5" s="1"/>
  <c r="AX157" i="5"/>
  <c r="AY157" i="5" s="1"/>
  <c r="AX493" i="5"/>
  <c r="AY493" i="5" s="1"/>
  <c r="AX119" i="5"/>
  <c r="AY119" i="5" s="1"/>
  <c r="AX344" i="5"/>
  <c r="AY344" i="5" s="1"/>
  <c r="AX60" i="5"/>
  <c r="AY60" i="5" s="1"/>
  <c r="AX461" i="5"/>
  <c r="AY461" i="5" s="1"/>
  <c r="AX259" i="5"/>
  <c r="AY259" i="5" s="1"/>
  <c r="AX238" i="5"/>
  <c r="AY238" i="5" s="1"/>
  <c r="AX403" i="5"/>
  <c r="AY403" i="5" s="1"/>
  <c r="AX194" i="5"/>
  <c r="AY194" i="5" s="1"/>
  <c r="AX66" i="5"/>
  <c r="AY66" i="5" s="1"/>
  <c r="AX93" i="5"/>
  <c r="AY93" i="5" s="1"/>
  <c r="AX178" i="5"/>
  <c r="AY178" i="5" s="1"/>
  <c r="AX263" i="5"/>
  <c r="AY263" i="5" s="1"/>
  <c r="AX89" i="5"/>
  <c r="AY89" i="5" s="1"/>
  <c r="AX244" i="5"/>
  <c r="AY244" i="5" s="1"/>
  <c r="AX140" i="5"/>
  <c r="AY140" i="5" s="1"/>
  <c r="AX276" i="5"/>
  <c r="AY276" i="5" s="1"/>
  <c r="AX220" i="5"/>
  <c r="AY220" i="5" s="1"/>
  <c r="AX210" i="5"/>
  <c r="AY210" i="5" s="1"/>
  <c r="AX550" i="5"/>
  <c r="AY550" i="5" s="1"/>
  <c r="AX452" i="5"/>
  <c r="AY452" i="5" s="1"/>
  <c r="AX75" i="5"/>
  <c r="AY75" i="5" s="1"/>
  <c r="AX383" i="5"/>
  <c r="AY383" i="5" s="1"/>
  <c r="AX404" i="5"/>
  <c r="AY404" i="5" s="1"/>
  <c r="AX401" i="5"/>
  <c r="AY401" i="5" s="1"/>
  <c r="AX230" i="5"/>
  <c r="AY230" i="5" s="1"/>
  <c r="AX317" i="5"/>
  <c r="AY317" i="5" s="1"/>
  <c r="AX554" i="5"/>
  <c r="AY554" i="5" s="1"/>
  <c r="AX149" i="5"/>
  <c r="AY149" i="5" s="1"/>
  <c r="AX104" i="5"/>
  <c r="AY104" i="5" s="1"/>
  <c r="AX237" i="5"/>
  <c r="AY237" i="5" s="1"/>
  <c r="AX82" i="5"/>
  <c r="AY82" i="5" s="1"/>
  <c r="AX133" i="5"/>
  <c r="AY133" i="5" s="1"/>
  <c r="AX110" i="5"/>
  <c r="AY110" i="5" s="1"/>
  <c r="AX377" i="5"/>
  <c r="AY377" i="5" s="1"/>
  <c r="AX217" i="5"/>
  <c r="AY217" i="5" s="1"/>
  <c r="AX228" i="5"/>
  <c r="AY228" i="5" s="1"/>
  <c r="AX98" i="5"/>
  <c r="AY98" i="5" s="1"/>
  <c r="AX492" i="5"/>
  <c r="AY492" i="5" s="1"/>
  <c r="AX501" i="5"/>
  <c r="AY501" i="5" s="1"/>
  <c r="AX496" i="5"/>
  <c r="AY496" i="5" s="1"/>
  <c r="AX74" i="5"/>
  <c r="AY74" i="5" s="1"/>
  <c r="AX167" i="5"/>
  <c r="AY167" i="5" s="1"/>
  <c r="AX405" i="5"/>
  <c r="AY405" i="5" s="1"/>
  <c r="AX131" i="5"/>
  <c r="AY131" i="5" s="1"/>
  <c r="AX387" i="5"/>
  <c r="AY387" i="5" s="1"/>
  <c r="AX65" i="5"/>
  <c r="AY65" i="5" s="1"/>
  <c r="AX400" i="5"/>
  <c r="AY400" i="5" s="1"/>
  <c r="AX156" i="5"/>
  <c r="AY156" i="5" s="1"/>
  <c r="AX64" i="5"/>
  <c r="AY64" i="5" s="1"/>
  <c r="AX409" i="5"/>
  <c r="AY409" i="5" s="1"/>
  <c r="AX196" i="5"/>
  <c r="AY196" i="5" s="1"/>
  <c r="AX473" i="5"/>
  <c r="AY473" i="5" s="1"/>
  <c r="AX528" i="5"/>
  <c r="AY528" i="5" s="1"/>
  <c r="AO133" i="4"/>
  <c r="AR133" i="4" s="1"/>
  <c r="AT133" i="4" s="1"/>
  <c r="AX291" i="5"/>
  <c r="AY291" i="5" s="1"/>
  <c r="AX527" i="5"/>
  <c r="AY527" i="5" s="1"/>
  <c r="AX320" i="5"/>
  <c r="AY320" i="5" s="1"/>
  <c r="AX271" i="5"/>
  <c r="AY271" i="5" s="1"/>
  <c r="AX558" i="5"/>
  <c r="AY558" i="5" s="1"/>
  <c r="AX249" i="5"/>
  <c r="AY249" i="5" s="1"/>
  <c r="AX510" i="5"/>
  <c r="AY510" i="5" s="1"/>
  <c r="AX322" i="5"/>
  <c r="AY322" i="5" s="1"/>
  <c r="AG26" i="4"/>
  <c r="AI26" i="4" s="1"/>
  <c r="AO26" i="4"/>
  <c r="AX340" i="5"/>
  <c r="AY340" i="5" s="1"/>
  <c r="AX298" i="5"/>
  <c r="AY298" i="5" s="1"/>
  <c r="AK155" i="4"/>
  <c r="AA130" i="4"/>
  <c r="AC130" i="4" s="1"/>
  <c r="AD130" i="4" s="1"/>
  <c r="AA144" i="4"/>
  <c r="AC144" i="4" s="1"/>
  <c r="AD144" i="4" s="1"/>
  <c r="AA155" i="4"/>
  <c r="AC155" i="4" s="1"/>
  <c r="AD155" i="4" s="1"/>
  <c r="AX235" i="5"/>
  <c r="AY235" i="5" s="1"/>
  <c r="AX292" i="5"/>
  <c r="AY292" i="5" s="1"/>
  <c r="AX486" i="5"/>
  <c r="AY486" i="5" s="1"/>
  <c r="AX497" i="5"/>
  <c r="AY497" i="5" s="1"/>
  <c r="AX457" i="5"/>
  <c r="AY457" i="5" s="1"/>
  <c r="AR84" i="4"/>
  <c r="AT84" i="4" s="1"/>
  <c r="AR79" i="4"/>
  <c r="AT79" i="4" s="1"/>
  <c r="AK144" i="4"/>
  <c r="AX325" i="5"/>
  <c r="AY325" i="5" s="1"/>
  <c r="AG130" i="4"/>
  <c r="AI130" i="4" s="1"/>
  <c r="AO130" i="4"/>
  <c r="AO62" i="4"/>
  <c r="AG62" i="4"/>
  <c r="AI62" i="4" s="1"/>
  <c r="AG10" i="4"/>
  <c r="AI10" i="4" s="1"/>
  <c r="AO10" i="4"/>
  <c r="AK141" i="4"/>
  <c r="AF141" i="4"/>
  <c r="AO101" i="4"/>
  <c r="AG101" i="4"/>
  <c r="AI101" i="4" s="1"/>
  <c r="AG144" i="4"/>
  <c r="AI144" i="4" s="1"/>
  <c r="AO144" i="4"/>
  <c r="AG94" i="4"/>
  <c r="AI94" i="4" s="1"/>
  <c r="AO94" i="4"/>
  <c r="AO58" i="4"/>
  <c r="AG58" i="4"/>
  <c r="AI58" i="4" s="1"/>
  <c r="AK130" i="4"/>
  <c r="AR132" i="4"/>
  <c r="AT132" i="4" s="1"/>
  <c r="AG24" i="4"/>
  <c r="AI24" i="4" s="1"/>
  <c r="AO24" i="4"/>
  <c r="AR105" i="4"/>
  <c r="AT105" i="4" s="1"/>
  <c r="AO155" i="4"/>
  <c r="AG155" i="4"/>
  <c r="AI155" i="4" s="1"/>
  <c r="AR140" i="4"/>
  <c r="AT140" i="4" s="1"/>
  <c r="AG83" i="4"/>
  <c r="AI83" i="4" s="1"/>
  <c r="AO83" i="4"/>
  <c r="AG34" i="4"/>
  <c r="AI34" i="4" s="1"/>
  <c r="AO34" i="4"/>
  <c r="AG59" i="4"/>
  <c r="AI59" i="4" s="1"/>
  <c r="AO59" i="4"/>
  <c r="AG21" i="4"/>
  <c r="AI21" i="4" s="1"/>
  <c r="AO21" i="4"/>
  <c r="AX207" i="5"/>
  <c r="AY207" i="5" s="1"/>
  <c r="AX233" i="5"/>
  <c r="AY233" i="5" s="1"/>
  <c r="AR76" i="4"/>
  <c r="AT76" i="4" s="1"/>
  <c r="AX549" i="5"/>
  <c r="AY549" i="5" s="1"/>
  <c r="AX195" i="5"/>
  <c r="AY195" i="5" s="1"/>
  <c r="AX546" i="5"/>
  <c r="AY546" i="5" s="1"/>
  <c r="AX442" i="5"/>
  <c r="AY442" i="5" s="1"/>
  <c r="AR86" i="4"/>
  <c r="AT86" i="4" s="1"/>
  <c r="AR8" i="4"/>
  <c r="AT8" i="4" s="1"/>
  <c r="AR54" i="4"/>
  <c r="AT54" i="4" s="1"/>
  <c r="AX352" i="5"/>
  <c r="AY352" i="5" s="1"/>
  <c r="AX422" i="5"/>
  <c r="AY422" i="5" s="1"/>
  <c r="AX51" i="5"/>
  <c r="AY51" i="5" s="1"/>
  <c r="AX545" i="5"/>
  <c r="AY545" i="5" s="1"/>
  <c r="AX534" i="5"/>
  <c r="AY534" i="5" s="1"/>
  <c r="AX419" i="5"/>
  <c r="AY419" i="5" s="1"/>
  <c r="AX190" i="5"/>
  <c r="AY190" i="5" s="1"/>
  <c r="AX55" i="5"/>
  <c r="AY55" i="5" s="1"/>
  <c r="AX541" i="5"/>
  <c r="AY541" i="5" s="1"/>
  <c r="AX526" i="5"/>
  <c r="AY526" i="5" s="1"/>
  <c r="AX246" i="5"/>
  <c r="AY246" i="5" s="1"/>
  <c r="AX357" i="5"/>
  <c r="AY357" i="5" s="1"/>
  <c r="AX95" i="5"/>
  <c r="AY95" i="5" s="1"/>
  <c r="AX124" i="5"/>
  <c r="AY124" i="5" s="1"/>
  <c r="AX106" i="5"/>
  <c r="AY106" i="5" s="1"/>
  <c r="AX164" i="5"/>
  <c r="AY164" i="5" s="1"/>
  <c r="AX61" i="5"/>
  <c r="AY61" i="5" s="1"/>
  <c r="AX171" i="5"/>
  <c r="AY171" i="5" s="1"/>
  <c r="AX154" i="5"/>
  <c r="AY154" i="5" s="1"/>
  <c r="AX152" i="5"/>
  <c r="AY152" i="5" s="1"/>
  <c r="AX27" i="5"/>
  <c r="AY27" i="5" s="1"/>
  <c r="AX516" i="5"/>
  <c r="AY516" i="5" s="1"/>
  <c r="AX227" i="5"/>
  <c r="AY227" i="5" s="1"/>
  <c r="AX88" i="5"/>
  <c r="AY88" i="5" s="1"/>
  <c r="AX519" i="5"/>
  <c r="AY519" i="5" s="1"/>
  <c r="AX366" i="5"/>
  <c r="AY366" i="5" s="1"/>
  <c r="AX242" i="5"/>
  <c r="AY242" i="5" s="1"/>
  <c r="AX189" i="5"/>
  <c r="AY189" i="5" s="1"/>
  <c r="AX441" i="5"/>
  <c r="AY441" i="5" s="1"/>
  <c r="B128" i="2"/>
  <c r="B134" i="2" s="1"/>
  <c r="AX50" i="5"/>
  <c r="AY50" i="5" s="1"/>
  <c r="AX40" i="5"/>
  <c r="AY40" i="5" s="1"/>
  <c r="AX29" i="5"/>
  <c r="AY29" i="5" s="1"/>
  <c r="AX414" i="5"/>
  <c r="AY414" i="5" s="1"/>
  <c r="AX155" i="5"/>
  <c r="AY155" i="5" s="1"/>
  <c r="AX334" i="5"/>
  <c r="AY334" i="5" s="1"/>
  <c r="AX430" i="5"/>
  <c r="AY430" i="5" s="1"/>
  <c r="K142" i="2"/>
  <c r="B131" i="2"/>
  <c r="B132" i="2" s="1"/>
  <c r="AR20" i="4"/>
  <c r="AT20" i="4" s="1"/>
  <c r="AX530" i="5"/>
  <c r="AY530" i="5" s="1"/>
  <c r="AR23" i="4"/>
  <c r="AT23" i="4" s="1"/>
  <c r="AR135" i="4"/>
  <c r="AT135" i="4" s="1"/>
  <c r="AR109" i="4"/>
  <c r="AT109" i="4" s="1"/>
  <c r="AR127" i="4"/>
  <c r="AT127" i="4" s="1"/>
  <c r="AR38" i="4"/>
  <c r="AT38" i="4" s="1"/>
  <c r="AR35" i="4"/>
  <c r="AT35" i="4" s="1"/>
  <c r="AR39" i="4"/>
  <c r="AT39" i="4" s="1"/>
  <c r="AR100" i="4"/>
  <c r="AT100" i="4" s="1"/>
  <c r="AR95" i="4"/>
  <c r="AT95" i="4" s="1"/>
  <c r="AR52" i="4"/>
  <c r="AT52" i="4" s="1"/>
  <c r="AR157" i="4"/>
  <c r="AT157" i="4" s="1"/>
  <c r="AR47" i="4"/>
  <c r="AT47" i="4" s="1"/>
  <c r="AR64" i="4"/>
  <c r="AT64" i="4" s="1"/>
  <c r="AR116" i="4"/>
  <c r="AT116" i="4" s="1"/>
  <c r="AR128" i="4"/>
  <c r="AT128" i="4" s="1"/>
  <c r="AR14" i="4"/>
  <c r="AT14" i="4" s="1"/>
  <c r="AR148" i="4"/>
  <c r="AT148" i="4" s="1"/>
  <c r="AR63" i="4"/>
  <c r="AT63" i="4" s="1"/>
  <c r="AR77" i="4"/>
  <c r="AT77" i="4" s="1"/>
  <c r="AR126" i="4"/>
  <c r="AT126" i="4" s="1"/>
  <c r="AR69" i="4"/>
  <c r="AT69" i="4" s="1"/>
  <c r="AR137" i="4"/>
  <c r="AT137" i="4" s="1"/>
  <c r="AR93" i="4"/>
  <c r="AT93" i="4" s="1"/>
  <c r="AR134" i="4"/>
  <c r="AT134" i="4" s="1"/>
  <c r="AR73" i="4"/>
  <c r="AT73" i="4" s="1"/>
  <c r="AR26" i="4" l="1"/>
  <c r="AT26" i="4" s="1"/>
  <c r="AR59" i="4"/>
  <c r="AT59" i="4" s="1"/>
  <c r="AR94" i="4"/>
  <c r="AT94" i="4" s="1"/>
  <c r="AR10" i="4"/>
  <c r="AT10" i="4" s="1"/>
  <c r="AR34" i="4"/>
  <c r="AT34" i="4" s="1"/>
  <c r="AR24" i="4"/>
  <c r="AT24" i="4" s="1"/>
  <c r="AR144" i="4"/>
  <c r="AT144" i="4" s="1"/>
  <c r="AR155" i="4"/>
  <c r="AT155" i="4" s="1"/>
  <c r="AR130" i="4"/>
  <c r="AT130" i="4" s="1"/>
  <c r="AR21" i="4"/>
  <c r="AT21" i="4" s="1"/>
  <c r="AG141" i="4"/>
  <c r="AI141" i="4" s="1"/>
  <c r="AO141" i="4"/>
  <c r="AR58" i="4"/>
  <c r="AT58" i="4" s="1"/>
  <c r="AR62" i="4"/>
  <c r="AT62" i="4" s="1"/>
  <c r="AR83" i="4"/>
  <c r="AT83" i="4" s="1"/>
  <c r="AR101" i="4"/>
  <c r="AT101" i="4" s="1"/>
  <c r="AY14" i="5"/>
  <c r="D69" i="5" s="1"/>
  <c r="B69" i="5" s="1"/>
  <c r="A69" i="5" s="1"/>
  <c r="L68" i="1" s="1"/>
  <c r="K136" i="2"/>
  <c r="B136" i="2" s="1"/>
  <c r="H31" i="1" s="1"/>
  <c r="AY12" i="5"/>
  <c r="D68" i="5" s="1"/>
  <c r="B68" i="5" s="1"/>
  <c r="A68" i="5" s="1"/>
  <c r="L67" i="1" s="1"/>
  <c r="B135" i="2"/>
  <c r="H30" i="1" s="1"/>
  <c r="AR141" i="4" l="1"/>
  <c r="AT141"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BMC-BCS</author>
    <author>Schauer, Stefan</author>
  </authors>
  <commentList>
    <comment ref="A3" authorId="0" shapeId="0" xr:uid="{00000000-0006-0000-0000-000001000000}">
      <text>
        <r>
          <rPr>
            <b/>
            <sz val="11"/>
            <color indexed="10"/>
            <rFont val="Tahoma"/>
            <family val="2"/>
          </rPr>
          <t>Welcome to the LM5155 Design Tool</t>
        </r>
        <r>
          <rPr>
            <sz val="9"/>
            <color indexed="81"/>
            <rFont val="Tahoma"/>
            <family val="2"/>
          </rPr>
          <t xml:space="preserve">
This stand-alone tool facilitates and assists the power supply engineer with design of a DC-DC boost converter based on the LM5155 boost controller. As such, the user can expeditiously arrive at an optimized design by virtue of the following:
- Select components
- Optimize compensation values and pole/zero placement in terms of control loop stability using crossover frquency as a performance metric
- Inspect regulator efficiency and component power dissipation
- Analyze efficiency based on selected MOSFET, inductor and diode parameters
Note: When not using an english Excel version and a #name error is displayed after change a value try pressing Shift+ALT+CTRL+F9 and change the value again.
IMPORTANT: You must enable macros if Microsoft Excel asks as the file is being opened. U.S. English notation is used throughout. Make sure to input or select values in all of the yellow shaded cells even if a value already exists in that cell. Do not over write equations in cells, as this may result in calculation errors.
</t>
        </r>
      </text>
    </comment>
    <comment ref="G7" authorId="0" shapeId="0" xr:uid="{00000000-0006-0000-0000-000003000000}">
      <text>
        <r>
          <rPr>
            <b/>
            <sz val="9"/>
            <color indexed="81"/>
            <rFont val="Tahoma"/>
            <family val="2"/>
          </rPr>
          <t xml:space="preserve">Minimum Input Voltage:
</t>
        </r>
        <r>
          <rPr>
            <sz val="9"/>
            <color indexed="81"/>
            <rFont val="Tahoma"/>
            <family val="2"/>
          </rPr>
          <t>Enter the minimum operating input voltage.
The LM5155 BIAS pin voltage operating range is 3.5V to 45V.
The LM5156 BIAS pin voltage operating range is 3.5V to 60V.
If low voltage operation is required the BIAS pin can be supplied with V</t>
        </r>
        <r>
          <rPr>
            <vertAlign val="subscript"/>
            <sz val="9"/>
            <color indexed="81"/>
            <rFont val="Tahoma"/>
            <family val="2"/>
          </rPr>
          <t>OUT</t>
        </r>
        <r>
          <rPr>
            <sz val="9"/>
            <color indexed="81"/>
            <rFont val="Tahoma"/>
            <family val="2"/>
          </rPr>
          <t xml:space="preserve"> extending operation to 1.5V</t>
        </r>
        <r>
          <rPr>
            <b/>
            <sz val="9"/>
            <color indexed="81"/>
            <rFont val="Tahoma"/>
            <family val="2"/>
          </rPr>
          <t xml:space="preserve">
</t>
        </r>
        <r>
          <rPr>
            <b/>
            <sz val="9"/>
            <color indexed="52"/>
            <rFont val="Tahoma"/>
            <family val="2"/>
          </rPr>
          <t>The text in the cell is flagged orange if:</t>
        </r>
        <r>
          <rPr>
            <b/>
            <sz val="9"/>
            <color indexed="81"/>
            <rFont val="Tahoma"/>
            <family val="2"/>
          </rPr>
          <t xml:space="preserve">
</t>
        </r>
        <r>
          <rPr>
            <sz val="9"/>
            <color indexed="81"/>
            <rFont val="Tahoma"/>
            <family val="2"/>
          </rPr>
          <t>-The input voltage is above 45V</t>
        </r>
        <r>
          <rPr>
            <b/>
            <sz val="9"/>
            <color indexed="81"/>
            <rFont val="Tahoma"/>
            <family val="2"/>
          </rPr>
          <t xml:space="preserve">
</t>
        </r>
        <r>
          <rPr>
            <b/>
            <sz val="9"/>
            <color indexed="10"/>
            <rFont val="Tahoma"/>
            <family val="2"/>
          </rPr>
          <t>The text in the cell is flagged red if:</t>
        </r>
        <r>
          <rPr>
            <b/>
            <sz val="9"/>
            <color indexed="81"/>
            <rFont val="Tahoma"/>
            <family val="2"/>
          </rPr>
          <t xml:space="preserve">
</t>
        </r>
        <r>
          <rPr>
            <sz val="9"/>
            <color indexed="81"/>
            <rFont val="Tahoma"/>
            <family val="2"/>
          </rPr>
          <t>-The input voltage is above 60V
-The input voltage is below 1.5V</t>
        </r>
      </text>
    </comment>
    <comment ref="G8" authorId="0" shapeId="0" xr:uid="{00000000-0006-0000-0000-000004000000}">
      <text>
        <r>
          <rPr>
            <b/>
            <sz val="9"/>
            <color indexed="81"/>
            <rFont val="Tahoma"/>
            <family val="2"/>
          </rPr>
          <t xml:space="preserve">Nominal Input Voltage:
</t>
        </r>
        <r>
          <rPr>
            <sz val="9"/>
            <color indexed="81"/>
            <rFont val="Tahoma"/>
            <family val="2"/>
          </rPr>
          <t>Enter the nominal operating input voltage.
The LM5155 input voltage operating range is 1.5V to 45V.</t>
        </r>
        <r>
          <rPr>
            <b/>
            <sz val="9"/>
            <color indexed="81"/>
            <rFont val="Tahoma"/>
            <family val="2"/>
          </rPr>
          <t xml:space="preserve">
</t>
        </r>
        <r>
          <rPr>
            <sz val="9"/>
            <color indexed="81"/>
            <rFont val="Tahoma"/>
            <family val="2"/>
          </rPr>
          <t xml:space="preserve">The LM5156 input voltage operating range is 1.5V to 60V.
</t>
        </r>
        <r>
          <rPr>
            <b/>
            <sz val="9"/>
            <color indexed="81"/>
            <rFont val="Tahoma"/>
            <family val="2"/>
          </rPr>
          <t xml:space="preserve">
</t>
        </r>
        <r>
          <rPr>
            <b/>
            <sz val="9"/>
            <color indexed="10"/>
            <rFont val="Tahoma"/>
            <family val="2"/>
          </rPr>
          <t>The text in the cell is flagged red if:</t>
        </r>
        <r>
          <rPr>
            <b/>
            <sz val="9"/>
            <color indexed="81"/>
            <rFont val="Tahoma"/>
            <family val="2"/>
          </rPr>
          <t xml:space="preserve">
</t>
        </r>
        <r>
          <rPr>
            <sz val="9"/>
            <color indexed="81"/>
            <rFont val="Tahoma"/>
            <family val="2"/>
          </rPr>
          <t>-The input voltage is above V</t>
        </r>
        <r>
          <rPr>
            <vertAlign val="subscript"/>
            <sz val="9"/>
            <color indexed="81"/>
            <rFont val="Tahoma"/>
            <family val="2"/>
          </rPr>
          <t>SUPPLY</t>
        </r>
        <r>
          <rPr>
            <sz val="9"/>
            <color indexed="81"/>
            <rFont val="Tahoma"/>
            <family val="2"/>
          </rPr>
          <t>(max)
-The input voltage is below V</t>
        </r>
        <r>
          <rPr>
            <vertAlign val="subscript"/>
            <sz val="9"/>
            <color indexed="81"/>
            <rFont val="Tahoma"/>
            <family val="2"/>
          </rPr>
          <t>SUPPLY</t>
        </r>
        <r>
          <rPr>
            <sz val="9"/>
            <color indexed="81"/>
            <rFont val="Tahoma"/>
            <family val="2"/>
          </rPr>
          <t>(min)</t>
        </r>
      </text>
    </comment>
    <comment ref="G9" authorId="0" shapeId="0" xr:uid="{00000000-0006-0000-0000-000005000000}">
      <text>
        <r>
          <rPr>
            <b/>
            <sz val="9"/>
            <color indexed="81"/>
            <rFont val="Tahoma"/>
            <family val="2"/>
          </rPr>
          <t>Maximum Input Voltage:</t>
        </r>
        <r>
          <rPr>
            <sz val="9"/>
            <color indexed="81"/>
            <rFont val="Tahoma"/>
            <family val="2"/>
          </rPr>
          <t xml:space="preserve">
Enter the maximum operating input voltage.
The LM5155 input voltage operating range is 1.5V to 45V.
The LM5156 input voltage operating range is 1.5V to 60V.
</t>
        </r>
        <r>
          <rPr>
            <b/>
            <sz val="9"/>
            <color indexed="10"/>
            <rFont val="Tahoma"/>
            <family val="2"/>
          </rPr>
          <t xml:space="preserve">
</t>
        </r>
        <r>
          <rPr>
            <b/>
            <sz val="9"/>
            <color indexed="52"/>
            <rFont val="Tahoma"/>
            <family val="2"/>
          </rPr>
          <t>The text in the cell is flagged orange if:</t>
        </r>
        <r>
          <rPr>
            <b/>
            <sz val="9"/>
            <color indexed="10"/>
            <rFont val="Tahoma"/>
            <family val="2"/>
          </rPr>
          <t xml:space="preserve">
</t>
        </r>
        <r>
          <rPr>
            <sz val="9"/>
            <color indexed="81"/>
            <rFont val="Tahoma"/>
            <family val="2"/>
          </rPr>
          <t>-The input voltage is above 45V</t>
        </r>
        <r>
          <rPr>
            <b/>
            <sz val="9"/>
            <color indexed="10"/>
            <rFont val="Tahoma"/>
            <family val="2"/>
          </rPr>
          <t xml:space="preserve">
The text in the cell is flagged red if:</t>
        </r>
        <r>
          <rPr>
            <sz val="9"/>
            <color indexed="81"/>
            <rFont val="Tahoma"/>
            <family val="2"/>
          </rPr>
          <t xml:space="preserve">
-The input voltage is above 60V
-The input voltage is below 1.5V
</t>
        </r>
      </text>
    </comment>
    <comment ref="G10" authorId="0" shapeId="0" xr:uid="{00000000-0006-0000-0000-000006000000}">
      <text>
        <r>
          <rPr>
            <b/>
            <sz val="9"/>
            <color indexed="81"/>
            <rFont val="Tahoma"/>
            <family val="2"/>
          </rPr>
          <t>Output Voltage:</t>
        </r>
        <r>
          <rPr>
            <sz val="9"/>
            <color indexed="81"/>
            <rFont val="Tahoma"/>
            <family val="2"/>
          </rPr>
          <t xml:space="preserve">
Enter the desired output voltage.
</t>
        </r>
      </text>
    </comment>
    <comment ref="G12" authorId="0" shapeId="0" xr:uid="{00000000-0006-0000-0000-000007000000}">
      <text>
        <r>
          <rPr>
            <b/>
            <sz val="9"/>
            <color indexed="81"/>
            <rFont val="Tahoma"/>
            <family val="2"/>
          </rPr>
          <t>Operating Frequency (set by RT):</t>
        </r>
        <r>
          <rPr>
            <sz val="9"/>
            <color indexed="81"/>
            <rFont val="Tahoma"/>
            <family val="2"/>
          </rPr>
          <t xml:space="preserve">
This cell defines the free-running switching frequency set by the RT resistor. 
</t>
        </r>
        <r>
          <rPr>
            <sz val="11"/>
            <color indexed="10"/>
            <rFont val="Calibri"/>
            <family val="2"/>
            <scheme val="minor"/>
          </rPr>
          <t>The text in the cell is flagged red if:</t>
        </r>
        <r>
          <rPr>
            <sz val="9"/>
            <color indexed="81"/>
            <rFont val="Tahoma"/>
            <family val="2"/>
          </rPr>
          <t xml:space="preserve">
-The frequency is below 100 kHz
-The frequency is above 2.2 MHz</t>
        </r>
      </text>
    </comment>
    <comment ref="G14" authorId="0" shapeId="0" xr:uid="{00000000-0006-0000-0000-000008000000}">
      <text>
        <r>
          <rPr>
            <b/>
            <sz val="9"/>
            <color indexed="81"/>
            <rFont val="Tahoma"/>
            <family val="2"/>
          </rPr>
          <t xml:space="preserve">Estimated Efficiency
</t>
        </r>
        <r>
          <rPr>
            <sz val="9"/>
            <color indexed="81"/>
            <rFont val="Tahoma"/>
            <family val="2"/>
          </rPr>
          <t>A good estimate at full load current and Vsupply(min) is around the 90% to 93% range</t>
        </r>
      </text>
    </comment>
    <comment ref="G16" authorId="0" shapeId="0" xr:uid="{00000000-0006-0000-0000-000009000000}">
      <text>
        <r>
          <rPr>
            <b/>
            <sz val="9"/>
            <color indexed="81"/>
            <rFont val="Tahoma"/>
            <family val="2"/>
          </rPr>
          <t xml:space="preserve">Maximum duty cycle
</t>
        </r>
        <r>
          <rPr>
            <sz val="9"/>
            <color indexed="81"/>
            <rFont val="Tahoma"/>
            <family val="2"/>
          </rPr>
          <t xml:space="preserve">Limit of the LM5155. See the datasheet for more detail on how the maximum duty cycle changes with switching frequency
</t>
        </r>
      </text>
    </comment>
    <comment ref="G17" authorId="1" shapeId="0" xr:uid="{08B8E066-477C-411E-B516-1DCAD11E8DA9}">
      <text>
        <r>
          <rPr>
            <b/>
            <sz val="9"/>
            <color indexed="81"/>
            <rFont val="Tahoma"/>
            <family val="2"/>
          </rPr>
          <t xml:space="preserve">Ideal Duty Cycle at Vsupply(MIN):
</t>
        </r>
        <r>
          <rPr>
            <sz val="9"/>
            <color indexed="81"/>
            <rFont val="Tahoma"/>
            <family val="2"/>
          </rPr>
          <t xml:space="preserve">
Calculated with  1- (VIN_min/VOUT). 
</t>
        </r>
        <r>
          <rPr>
            <b/>
            <sz val="9"/>
            <color indexed="10"/>
            <rFont val="Tahoma"/>
            <family val="2"/>
          </rPr>
          <t xml:space="preserve">The text in the cell is flagged red if:
</t>
        </r>
        <r>
          <rPr>
            <sz val="9"/>
            <color indexed="81"/>
            <rFont val="Tahoma"/>
            <family val="2"/>
          </rPr>
          <t xml:space="preserve">- The duty cycle is above the Limit value (in the cell above)
  Based on the limits given in the datasheet
</t>
        </r>
      </text>
    </comment>
    <comment ref="G18" authorId="1" shapeId="0" xr:uid="{74A21C24-1F16-4017-9418-3CDE4814AE31}">
      <text>
        <r>
          <rPr>
            <b/>
            <sz val="9"/>
            <color indexed="81"/>
            <rFont val="Tahoma"/>
            <family val="2"/>
          </rPr>
          <t xml:space="preserve">Select the Operation mode:
</t>
        </r>
        <r>
          <rPr>
            <sz val="9"/>
            <color indexed="81"/>
            <rFont val="Tahoma"/>
            <family val="2"/>
          </rPr>
          <t xml:space="preserve">Select the operation mode at maximum load:
CCM: Continious Contuction Mode
DCM: Discontinious Contuction Mode
</t>
        </r>
      </text>
    </comment>
    <comment ref="G21" authorId="0" shapeId="0" xr:uid="{00000000-0006-0000-0000-00000A000000}">
      <text>
        <r>
          <rPr>
            <b/>
            <sz val="9"/>
            <color indexed="81"/>
            <rFont val="Tahoma"/>
            <family val="2"/>
          </rPr>
          <t>Ripple Ratio</t>
        </r>
        <r>
          <rPr>
            <sz val="9"/>
            <color indexed="81"/>
            <rFont val="Tahoma"/>
            <family val="2"/>
          </rPr>
          <t xml:space="preserve">
Select the maximum ripple ratio of the inductor current. The maximum ripple ratio occurs when the duty cycle is 33%. 
Typically a good maximum ripple current is in the 50% to 70% range. In this range there is a good trade off between efficiency and the minimum RHP zero frequency of the plant</t>
        </r>
      </text>
    </comment>
    <comment ref="G23" authorId="0" shapeId="0" xr:uid="{00000000-0006-0000-0000-00000B000000}">
      <text>
        <r>
          <rPr>
            <b/>
            <sz val="9"/>
            <color indexed="81"/>
            <rFont val="Tahoma"/>
            <family val="2"/>
          </rPr>
          <t xml:space="preserve">Filter Inductance:
</t>
        </r>
        <r>
          <rPr>
            <sz val="9"/>
            <color indexed="81"/>
            <rFont val="Tahoma"/>
            <family val="2"/>
          </rPr>
          <t xml:space="preserve">Enter the filter inductance here.
</t>
        </r>
        <r>
          <rPr>
            <b/>
            <sz val="9"/>
            <color indexed="10"/>
            <rFont val="Tahoma"/>
            <family val="2"/>
          </rPr>
          <t xml:space="preserve">The text in the cell is flagged red if:
</t>
        </r>
        <r>
          <rPr>
            <sz val="9"/>
            <color indexed="81"/>
            <rFont val="Tahoma"/>
            <family val="2"/>
          </rPr>
          <t xml:space="preserve">The selected inductance will not be supported the above set operation mode at maximum load.
(Checked only at the 3 given Supply Voltages (Min/Nom/Max).
</t>
        </r>
      </text>
    </comment>
    <comment ref="G24" authorId="0" shapeId="0" xr:uid="{00000000-0006-0000-0000-00000C000000}">
      <text>
        <r>
          <rPr>
            <b/>
            <sz val="9"/>
            <color indexed="81"/>
            <rFont val="Tahoma"/>
            <family val="2"/>
          </rPr>
          <t xml:space="preserve">Inductor DCR:
</t>
        </r>
        <r>
          <rPr>
            <sz val="9"/>
            <color indexed="81"/>
            <rFont val="Tahoma"/>
            <family val="2"/>
          </rPr>
          <t xml:space="preserve">Enter the inductor DC resistance here. This is typically specified in the inductor datasheet at 25°C copper temperature.
</t>
        </r>
      </text>
    </comment>
    <comment ref="G25" authorId="0" shapeId="0" xr:uid="{00000000-0006-0000-0000-00000D000000}">
      <text>
        <r>
          <rPr>
            <b/>
            <sz val="9"/>
            <color indexed="81"/>
            <rFont val="Tahoma"/>
            <family val="2"/>
          </rPr>
          <t>Peak Inductor Current</t>
        </r>
        <r>
          <rPr>
            <sz val="9"/>
            <color indexed="81"/>
            <rFont val="Tahoma"/>
            <family val="2"/>
          </rPr>
          <t xml:space="preserve">
Maximum peak inductor current during normal operation.  The peak current limit calculations are based on this value</t>
        </r>
      </text>
    </comment>
    <comment ref="G28" authorId="0" shapeId="0" xr:uid="{00000000-0006-0000-0000-00000E000000}">
      <text>
        <r>
          <rPr>
            <b/>
            <sz val="9"/>
            <color indexed="81"/>
            <rFont val="Tahoma"/>
            <family val="2"/>
          </rPr>
          <t>Peak Current Limit Margin</t>
        </r>
        <r>
          <rPr>
            <sz val="9"/>
            <color indexed="81"/>
            <rFont val="Tahoma"/>
            <family val="2"/>
          </rPr>
          <t xml:space="preserve">
Margin above the calculated peak inductor current. Margin must be given to allow for load transients and component tolerances.
Value should be higher then 15% to avoid false triggers.
The recommended value from the Datasheet is 20%.</t>
        </r>
      </text>
    </comment>
    <comment ref="G29" authorId="0" shapeId="0" xr:uid="{00000000-0006-0000-0000-00000F000000}">
      <text>
        <r>
          <rPr>
            <b/>
            <sz val="9"/>
            <color indexed="81"/>
            <rFont val="Tahoma"/>
            <family val="2"/>
          </rPr>
          <t xml:space="preserve">Selected Peak Inductor Current Limt
</t>
        </r>
        <r>
          <rPr>
            <sz val="9"/>
            <color indexed="81"/>
            <rFont val="Tahoma"/>
            <family val="2"/>
          </rPr>
          <t xml:space="preserve">
Peak inductor current limit based on the margin and the steady state peak inductor current at V</t>
        </r>
        <r>
          <rPr>
            <vertAlign val="subscript"/>
            <sz val="9"/>
            <color indexed="81"/>
            <rFont val="Tahoma"/>
            <family val="2"/>
          </rPr>
          <t>IN_MIN</t>
        </r>
        <r>
          <rPr>
            <sz val="9"/>
            <color indexed="81"/>
            <rFont val="Tahoma"/>
            <family val="2"/>
          </rPr>
          <t xml:space="preserve"> and maximum output current</t>
        </r>
      </text>
    </comment>
    <comment ref="G30" authorId="0" shapeId="0" xr:uid="{00000000-0006-0000-0000-000010000000}">
      <text>
        <r>
          <rPr>
            <b/>
            <sz val="9"/>
            <color indexed="81"/>
            <rFont val="Tahoma"/>
            <family val="2"/>
          </rPr>
          <t>Current Sense Resistor Calculation</t>
        </r>
        <r>
          <rPr>
            <sz val="9"/>
            <color indexed="81"/>
            <rFont val="Tahoma"/>
            <family val="2"/>
          </rPr>
          <t xml:space="preserve">
Calculated current sense resistor based on the desired maximum peak current limit. 
</t>
        </r>
      </text>
    </comment>
    <comment ref="G31" authorId="0" shapeId="0" xr:uid="{00000000-0006-0000-0000-000011000000}">
      <text>
        <r>
          <rPr>
            <b/>
            <sz val="9"/>
            <color indexed="81"/>
            <rFont val="Tahoma"/>
            <family val="2"/>
          </rPr>
          <t>Calculated External Slope Compensation Resistor</t>
        </r>
        <r>
          <rPr>
            <sz val="9"/>
            <color indexed="81"/>
            <rFont val="Tahoma"/>
            <family val="2"/>
          </rPr>
          <t xml:space="preserve">
Calculated external slope compensation resistor based on the desired maximum peak current limit. 
</t>
        </r>
      </text>
    </comment>
    <comment ref="G35" authorId="0" shapeId="0" xr:uid="{00000000-0006-0000-0000-000013000000}">
      <text>
        <r>
          <rPr>
            <b/>
            <sz val="9"/>
            <color indexed="81"/>
            <rFont val="Tahoma"/>
            <family val="2"/>
          </rPr>
          <t>The saturation current of the inductor must be higher than the peak inductor current limint. 
Recommended Margin is ~15%</t>
        </r>
      </text>
    </comment>
    <comment ref="G38" authorId="1" shapeId="0" xr:uid="{34A1C02D-A92A-4231-935A-D27CE25D0CCD}">
      <text>
        <r>
          <rPr>
            <b/>
            <sz val="9"/>
            <color indexed="81"/>
            <rFont val="Tahoma"/>
            <family val="2"/>
          </rPr>
          <t xml:space="preserve">Peak to Peak Voltage Ripple
</t>
        </r>
        <r>
          <rPr>
            <sz val="9"/>
            <color indexed="81"/>
            <rFont val="Tahoma"/>
            <family val="2"/>
          </rPr>
          <t>Desired output voltage transient for 50% load to 100% load step.</t>
        </r>
      </text>
    </comment>
    <comment ref="G45" authorId="1" shapeId="0" xr:uid="{27BE2E58-6B05-4EB2-ACEC-FABDB0D92520}">
      <text>
        <r>
          <rPr>
            <b/>
            <sz val="9"/>
            <color indexed="81"/>
            <rFont val="Tahoma"/>
            <family val="2"/>
          </rPr>
          <t xml:space="preserve">Suggested min. Softstart Capacitor
</t>
        </r>
        <r>
          <rPr>
            <sz val="9"/>
            <color indexed="81"/>
            <rFont val="Tahoma"/>
            <family val="2"/>
          </rPr>
          <t xml:space="preserve">
The suggested min. Softstart Capacitor is set to avoid overshoot of the output voltage.
It is based on the Load Current and Output Capacitor.
</t>
        </r>
      </text>
    </comment>
    <comment ref="G57" authorId="0" shapeId="0" xr:uid="{00000000-0006-0000-0000-000014000000}">
      <text>
        <r>
          <rPr>
            <b/>
            <sz val="9"/>
            <color indexed="81"/>
            <rFont val="Tahoma"/>
            <family val="2"/>
          </rPr>
          <t xml:space="preserve">Changes the input voltage value. Allow for evaluation of the control loop and efficiency at different input voltages.
</t>
        </r>
        <r>
          <rPr>
            <b/>
            <sz val="9"/>
            <color indexed="10"/>
            <rFont val="Tahoma"/>
            <family val="2"/>
          </rPr>
          <t>The text in the cell is flagged red if:
-The variable input voltage is less than the minimum input voltage
-The variable input voltage is greater than the maximum input voltage</t>
        </r>
      </text>
    </comment>
    <comment ref="G62" authorId="1" shapeId="0" xr:uid="{CAA0D2B2-1619-4A36-A8E5-8EF89AE0C27B}">
      <text>
        <r>
          <rPr>
            <b/>
            <sz val="9"/>
            <color indexed="81"/>
            <rFont val="Tahoma"/>
            <family val="2"/>
          </rPr>
          <t>Select Bottomresistor R</t>
        </r>
        <r>
          <rPr>
            <b/>
            <sz val="8"/>
            <color indexed="81"/>
            <rFont val="Tahoma"/>
            <family val="2"/>
          </rPr>
          <t>FBB</t>
        </r>
        <r>
          <rPr>
            <b/>
            <sz val="9"/>
            <color indexed="81"/>
            <rFont val="Tahoma"/>
            <family val="2"/>
          </rPr>
          <t xml:space="preserve">
</t>
        </r>
        <r>
          <rPr>
            <sz val="9"/>
            <color indexed="81"/>
            <rFont val="Tahoma"/>
            <family val="2"/>
          </rPr>
          <t xml:space="preserve">
Select the closes value to the calculated bottom feedback resistor based on the used standard resistor series (e.g. E48).</t>
        </r>
      </text>
    </comment>
    <comment ref="F69" authorId="1" shapeId="0" xr:uid="{CA3EAB78-A137-4F5E-A063-15FB6763AD4F}">
      <text>
        <r>
          <rPr>
            <b/>
            <sz val="9"/>
            <color indexed="81"/>
            <rFont val="Tahoma"/>
            <family val="2"/>
          </rPr>
          <t xml:space="preserve">Calculated Loop Comenstation Values:
</t>
        </r>
        <r>
          <rPr>
            <sz val="9"/>
            <color indexed="81"/>
            <rFont val="Tahoma"/>
            <family val="2"/>
          </rPr>
          <t xml:space="preserve">The calculation of this loop compensation values are based on the selected bandwidth (Fco) and the minimum input Voltage Vin.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K21" authorId="0" shapeId="0" xr:uid="{00000000-0006-0000-0100-000001000000}">
      <text>
        <r>
          <rPr>
            <b/>
            <sz val="9"/>
            <color indexed="81"/>
            <rFont val="Tahoma"/>
            <family val="2"/>
          </rPr>
          <t>Forced off time limit? 
[2 True, 1 False]</t>
        </r>
        <r>
          <rPr>
            <sz val="9"/>
            <color indexed="81"/>
            <rFont val="Tahoma"/>
            <family val="2"/>
          </rPr>
          <t xml:space="preserve">
</t>
        </r>
      </text>
    </comment>
    <comment ref="K141" authorId="0" shapeId="0" xr:uid="{00000000-0006-0000-0100-000002000000}">
      <text>
        <r>
          <rPr>
            <b/>
            <sz val="9"/>
            <color indexed="81"/>
            <rFont val="Tahoma"/>
            <family val="2"/>
          </rPr>
          <t xml:space="preserve">Slope Compensation flag. If this flag is tripped there is not enough slope compensation. Double check the calculated values
</t>
        </r>
        <r>
          <rPr>
            <sz val="9"/>
            <color indexed="81"/>
            <rFont val="Tahoma"/>
            <family val="2"/>
          </rPr>
          <t xml:space="preserve">
</t>
        </r>
      </text>
    </comment>
    <comment ref="K142" authorId="0" shapeId="0" xr:uid="{00000000-0006-0000-0100-000003000000}">
      <text>
        <r>
          <rPr>
            <sz val="9"/>
            <color indexed="81"/>
            <rFont val="Tahoma"/>
            <family val="2"/>
          </rPr>
          <t xml:space="preserve">Tripped if the current sense resistor results in a lower current limit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V6" authorId="0" shapeId="0" xr:uid="{00000000-0006-0000-0200-000001000000}">
      <text>
        <r>
          <rPr>
            <b/>
            <sz val="9"/>
            <color indexed="81"/>
            <rFont val="Tahoma"/>
            <family val="2"/>
          </rPr>
          <t xml:space="preserve">1 = DCM operation
2 = CCM operation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O18" authorId="0" shapeId="0" xr:uid="{00000000-0006-0000-0300-000001000000}">
      <text>
        <r>
          <rPr>
            <b/>
            <sz val="9"/>
            <color indexed="81"/>
            <rFont val="Tahoma"/>
            <family val="2"/>
          </rPr>
          <t>BMC-BCS:</t>
        </r>
        <r>
          <rPr>
            <sz val="9"/>
            <color indexed="81"/>
            <rFont val="Tahoma"/>
            <family val="2"/>
          </rPr>
          <t xml:space="preserve">
Need to make this log not linear at some point
</t>
        </r>
      </text>
    </comment>
  </commentList>
</comments>
</file>

<file path=xl/sharedStrings.xml><?xml version="1.0" encoding="utf-8"?>
<sst xmlns="http://schemas.openxmlformats.org/spreadsheetml/2006/main" count="987" uniqueCount="582">
  <si>
    <t>TERMS OF USE</t>
  </si>
  <si>
    <t>ABOUT</t>
  </si>
  <si>
    <t>=Input Box</t>
  </si>
  <si>
    <t>Step 1: Design Specifications</t>
  </si>
  <si>
    <r>
      <t>Minimum Input Supply Voltage , V</t>
    </r>
    <r>
      <rPr>
        <vertAlign val="subscript"/>
        <sz val="10"/>
        <color theme="1"/>
        <rFont val="Calibri"/>
        <family val="2"/>
        <scheme val="minor"/>
      </rPr>
      <t>SUPPLY(min)</t>
    </r>
    <r>
      <rPr>
        <sz val="10"/>
        <color theme="1"/>
        <rFont val="Calibri"/>
        <family val="2"/>
        <scheme val="minor"/>
      </rPr>
      <t xml:space="preserve"> </t>
    </r>
  </si>
  <si>
    <r>
      <t>Typical Input Supply Voltage, V</t>
    </r>
    <r>
      <rPr>
        <vertAlign val="subscript"/>
        <sz val="10"/>
        <color theme="1"/>
        <rFont val="Calibri"/>
        <family val="2"/>
        <scheme val="minor"/>
      </rPr>
      <t>SUPPLY(typ)</t>
    </r>
    <r>
      <rPr>
        <sz val="10"/>
        <color theme="1"/>
        <rFont val="Calibri"/>
        <family val="2"/>
        <scheme val="minor"/>
      </rPr>
      <t xml:space="preserve"> </t>
    </r>
  </si>
  <si>
    <r>
      <t>Maximum Input Supply Voltage , V</t>
    </r>
    <r>
      <rPr>
        <vertAlign val="subscript"/>
        <sz val="10"/>
        <color theme="1"/>
        <rFont val="Calibri"/>
        <family val="2"/>
        <scheme val="minor"/>
      </rPr>
      <t>SUPPLY(max)</t>
    </r>
    <r>
      <rPr>
        <sz val="10"/>
        <color theme="1"/>
        <rFont val="Calibri"/>
        <family val="2"/>
        <scheme val="minor"/>
      </rPr>
      <t xml:space="preserve"> </t>
    </r>
  </si>
  <si>
    <r>
      <t>Maximum Output Current , I</t>
    </r>
    <r>
      <rPr>
        <vertAlign val="subscript"/>
        <sz val="10"/>
        <color theme="1"/>
        <rFont val="Calibri"/>
        <family val="2"/>
        <scheme val="minor"/>
      </rPr>
      <t>LOAD</t>
    </r>
    <r>
      <rPr>
        <sz val="10"/>
        <color theme="1"/>
        <rFont val="Calibri"/>
        <family val="2"/>
        <scheme val="minor"/>
      </rPr>
      <t xml:space="preserve"> </t>
    </r>
  </si>
  <si>
    <r>
      <t>Free Running Switching Frequency, F</t>
    </r>
    <r>
      <rPr>
        <vertAlign val="subscript"/>
        <sz val="10"/>
        <color theme="1"/>
        <rFont val="Calibri"/>
        <family val="2"/>
        <scheme val="minor"/>
      </rPr>
      <t>SW</t>
    </r>
  </si>
  <si>
    <t>Estimated Efficiency</t>
  </si>
  <si>
    <t>V</t>
  </si>
  <si>
    <t>A</t>
  </si>
  <si>
    <t>kHz</t>
  </si>
  <si>
    <t>%</t>
  </si>
  <si>
    <r>
      <t>Output Power, P</t>
    </r>
    <r>
      <rPr>
        <vertAlign val="subscript"/>
        <sz val="10"/>
        <color theme="1"/>
        <rFont val="Calibri"/>
        <family val="2"/>
        <scheme val="minor"/>
      </rPr>
      <t>OUT</t>
    </r>
    <r>
      <rPr>
        <sz val="10"/>
        <color theme="1"/>
        <rFont val="Calibri"/>
        <family val="2"/>
        <scheme val="minor"/>
      </rPr>
      <t xml:space="preserve"> </t>
    </r>
  </si>
  <si>
    <t>EXCEL Variables Names/Calculations</t>
  </si>
  <si>
    <t>Input from user =</t>
  </si>
  <si>
    <t>Output =</t>
  </si>
  <si>
    <t>Constant</t>
  </si>
  <si>
    <t>Variable Name</t>
  </si>
  <si>
    <t>Value</t>
  </si>
  <si>
    <t>STD Units</t>
  </si>
  <si>
    <t>Notes</t>
  </si>
  <si>
    <t>Iteration</t>
  </si>
  <si>
    <t>Step 1: Operational Specs</t>
  </si>
  <si>
    <t>VIN_min</t>
  </si>
  <si>
    <t>VIN_nom</t>
  </si>
  <si>
    <t>VIN_max</t>
  </si>
  <si>
    <t>Minimum input voltage</t>
  </si>
  <si>
    <t>Nominal input voltage</t>
  </si>
  <si>
    <t>Maximum input voltage</t>
  </si>
  <si>
    <t>VOUT</t>
  </si>
  <si>
    <t>Target Output Voltage</t>
  </si>
  <si>
    <t>IOUT</t>
  </si>
  <si>
    <t>Maximum Output current</t>
  </si>
  <si>
    <t>ROUT</t>
  </si>
  <si>
    <t>Ω</t>
  </si>
  <si>
    <t>POUT</t>
  </si>
  <si>
    <t>W</t>
  </si>
  <si>
    <t>EFF_est</t>
  </si>
  <si>
    <t>Estimated efficiency</t>
  </si>
  <si>
    <t>Total output power</t>
  </si>
  <si>
    <t>Minimum load resistance</t>
  </si>
  <si>
    <t>Dc_max_ideal</t>
  </si>
  <si>
    <t>Maximum duty cycle at the minimum input voltage</t>
  </si>
  <si>
    <t>Dc_max_IC</t>
  </si>
  <si>
    <t>Maximum IC duty cycle. Based on the forced off time. See Mathcad Calculations</t>
  </si>
  <si>
    <t>D_2p2_min</t>
  </si>
  <si>
    <t>D_2p2_nom</t>
  </si>
  <si>
    <t>D_2p2_max</t>
  </si>
  <si>
    <t>Minimum max duty cycle at 2p2MHZ operation</t>
  </si>
  <si>
    <t>t_off_max</t>
  </si>
  <si>
    <t>T_off_nom</t>
  </si>
  <si>
    <t>T_off_min</t>
  </si>
  <si>
    <t>s</t>
  </si>
  <si>
    <t>Minimum forced off time</t>
  </si>
  <si>
    <t>nominal forced off time</t>
  </si>
  <si>
    <t>Maximum forced off time</t>
  </si>
  <si>
    <t xml:space="preserve">IC Duty Cycle Limitation: </t>
  </si>
  <si>
    <t>D_limit_min</t>
  </si>
  <si>
    <t>D_limit_nom</t>
  </si>
  <si>
    <t>D_limit_max</t>
  </si>
  <si>
    <t>Nomminal max duty cycle at low frequency</t>
  </si>
  <si>
    <t xml:space="preserve">Base Calculations of </t>
  </si>
  <si>
    <t>Spec conditions</t>
  </si>
  <si>
    <t>Min max duty cycle at low frequency</t>
  </si>
  <si>
    <t>Maximum max duty cycle at low frequency</t>
  </si>
  <si>
    <t>Nominal right now</t>
  </si>
  <si>
    <t>Fsw</t>
  </si>
  <si>
    <t>Hz</t>
  </si>
  <si>
    <t xml:space="preserve">Switching frequnecy </t>
  </si>
  <si>
    <t>Flag</t>
  </si>
  <si>
    <t>Forced off time limit? [2 True, 1 False]</t>
  </si>
  <si>
    <t>RT</t>
  </si>
  <si>
    <t>Oscillator Set resistor. Based on the datasheet equation</t>
  </si>
  <si>
    <r>
      <t>Free running Oscillator Set Resistor, R</t>
    </r>
    <r>
      <rPr>
        <vertAlign val="subscript"/>
        <sz val="10"/>
        <color theme="1"/>
        <rFont val="Calibri"/>
        <family val="2"/>
        <scheme val="minor"/>
      </rPr>
      <t>T</t>
    </r>
  </si>
  <si>
    <r>
      <t>k</t>
    </r>
    <r>
      <rPr>
        <sz val="11"/>
        <color theme="1"/>
        <rFont val="Calibri"/>
        <family val="2"/>
      </rPr>
      <t>Ω</t>
    </r>
  </si>
  <si>
    <t>Step 2: Filter Inductor</t>
  </si>
  <si>
    <t>Dc_Limit</t>
  </si>
  <si>
    <t>Max duty cycle of LM5155 at Fsw</t>
  </si>
  <si>
    <t>EXCEL Constants / Values / IC Limits</t>
  </si>
  <si>
    <r>
      <t>Max Inductor DCR, R</t>
    </r>
    <r>
      <rPr>
        <vertAlign val="subscript"/>
        <sz val="10"/>
        <color theme="1"/>
        <rFont val="Calibri"/>
        <family val="2"/>
        <scheme val="minor"/>
      </rPr>
      <t>DCR</t>
    </r>
  </si>
  <si>
    <t>Dc_VIN_min</t>
  </si>
  <si>
    <t>Dc_VIN_nom</t>
  </si>
  <si>
    <t>Dc_VIN_max</t>
  </si>
  <si>
    <t>Duty cycle at the mimum input voltage (CCM)</t>
  </si>
  <si>
    <t>Duty cycle at the nominal input voltage (CCM)</t>
  </si>
  <si>
    <t>Duty cycle at the maximum input voltage (CCM)</t>
  </si>
  <si>
    <t>ton_min</t>
  </si>
  <si>
    <t>Typical Ton minimum value</t>
  </si>
  <si>
    <t>Lcalc_VIN_min</t>
  </si>
  <si>
    <t>Inductor at Minimum input voltage</t>
  </si>
  <si>
    <t>IL_avg_VIN_min</t>
  </si>
  <si>
    <t>IL_avg_VIN_nom</t>
  </si>
  <si>
    <t>IL_avg_VIN_max</t>
  </si>
  <si>
    <t>Average input current at minimum input voltage. 100% Eff assumed</t>
  </si>
  <si>
    <t>Average input current at nominal input voltage. 100% Eff assumed</t>
  </si>
  <si>
    <t>Average input current at maximum input voltage. 100% Eff assumed</t>
  </si>
  <si>
    <t>H</t>
  </si>
  <si>
    <t>ILrip</t>
  </si>
  <si>
    <t>Lopt</t>
  </si>
  <si>
    <t>Optimal inductor. Based off the average</t>
  </si>
  <si>
    <t>Lm</t>
  </si>
  <si>
    <t>Selected filter inductor</t>
  </si>
  <si>
    <t>Rdcr</t>
  </si>
  <si>
    <r>
      <t>m</t>
    </r>
    <r>
      <rPr>
        <sz val="11"/>
        <color theme="1"/>
        <rFont val="Calibri"/>
        <family val="2"/>
      </rPr>
      <t>Ω</t>
    </r>
  </si>
  <si>
    <r>
      <t>Peak inductor current, IL</t>
    </r>
    <r>
      <rPr>
        <vertAlign val="subscript"/>
        <sz val="10"/>
        <color theme="1"/>
        <rFont val="Calibri"/>
        <family val="2"/>
        <scheme val="minor"/>
      </rPr>
      <t>PK</t>
    </r>
  </si>
  <si>
    <t>Strategy 1</t>
  </si>
  <si>
    <t>Strategy 2</t>
  </si>
  <si>
    <t>VIN_33</t>
  </si>
  <si>
    <t>IIN_33</t>
  </si>
  <si>
    <t>Lopt_2</t>
  </si>
  <si>
    <t>.</t>
  </si>
  <si>
    <t>ILp_VINmin</t>
  </si>
  <si>
    <t>Peak inductor current at VIN min. Including estimated efficiency</t>
  </si>
  <si>
    <t>ILrip_VINmin</t>
  </si>
  <si>
    <t xml:space="preserve">Inductor ripple current at VIN min. </t>
  </si>
  <si>
    <t>ILrip_VINnom</t>
  </si>
  <si>
    <t>ILp_VINnom</t>
  </si>
  <si>
    <t>ILrip_VINmax</t>
  </si>
  <si>
    <t>ILp_VINmax</t>
  </si>
  <si>
    <t>Step 3: Current Sense Resistor</t>
  </si>
  <si>
    <t>Selected indutor ripple ratio. Will be changed later to a standard value just to keep things simple</t>
  </si>
  <si>
    <t xml:space="preserve">Inductor ripple current at VIN nom. </t>
  </si>
  <si>
    <t>Peak inductor current at VIN nom. Including estimated efficiency</t>
  </si>
  <si>
    <t xml:space="preserve">Inductor ripple current at VIN max. </t>
  </si>
  <si>
    <t>Peak inductor current at VIN max. Including estimated efficiency</t>
  </si>
  <si>
    <t>Step 3: Current Sense Resistor Selection</t>
  </si>
  <si>
    <t>Ipk_margin</t>
  </si>
  <si>
    <t>Peak current limit margin. 20% is a typical value</t>
  </si>
  <si>
    <t>Ipk_selected</t>
  </si>
  <si>
    <t>Selected peak current limit based on margin selection</t>
  </si>
  <si>
    <t>Peak ripple ratio: Boost this happens at 33%</t>
  </si>
  <si>
    <t>Dc_rip_max</t>
  </si>
  <si>
    <t>This value used to make the selection</t>
  </si>
  <si>
    <t>Input current at maximum ripple duty cycle</t>
  </si>
  <si>
    <t>Input voltage at maximum ripple duty cycle. If maximum input voltage Dc is &gt;.33 this value will be used</t>
  </si>
  <si>
    <t>Filter inductor DCR</t>
  </si>
  <si>
    <t>Ltol</t>
  </si>
  <si>
    <t>Assumed inductor tolerance. Constant to help simplify the user experience</t>
  </si>
  <si>
    <t>Rcs_max</t>
  </si>
  <si>
    <t>Maximum Rcs based on internal slope compensation. Assuming slope ratio of 1/2</t>
  </si>
  <si>
    <t>Rcs_sl_ratio</t>
  </si>
  <si>
    <t>ratio of down slope to slope compensation. This can be updated to give more margin</t>
  </si>
  <si>
    <t>Isl</t>
  </si>
  <si>
    <t>Internal slope compensation ramp</t>
  </si>
  <si>
    <t>Rsl_int</t>
  </si>
  <si>
    <t>Internal Slope compensation resistor</t>
  </si>
  <si>
    <t>Rcs_wo_sl</t>
  </si>
  <si>
    <t>Current sense resistor without slope compensation</t>
  </si>
  <si>
    <t>Vcl</t>
  </si>
  <si>
    <t>Current Limit Value. See datsheet for Parameters</t>
  </si>
  <si>
    <t>Flag_ext_sl</t>
  </si>
  <si>
    <t>External Compensation? (0-no, 1-yes)</t>
  </si>
  <si>
    <t>Rcs_w_sl</t>
  </si>
  <si>
    <t>Rcs_ext_sl_ratio</t>
  </si>
  <si>
    <t>External Slope compensation ratio. Constant</t>
  </si>
  <si>
    <t>R_sl_ext</t>
  </si>
  <si>
    <t>R_cs_calc</t>
  </si>
  <si>
    <t>R_sl_calc</t>
  </si>
  <si>
    <t>R_cs</t>
  </si>
  <si>
    <t>R_sl</t>
  </si>
  <si>
    <t>Current Sense Resistor calculated</t>
  </si>
  <si>
    <t>External slope compensation resistor</t>
  </si>
  <si>
    <t>Calculated external slope compensation resistor</t>
  </si>
  <si>
    <t>Calculated current sense resistor with slope compensation included</t>
  </si>
  <si>
    <r>
      <t>Recommended external slope compensation Resistor (R</t>
    </r>
    <r>
      <rPr>
        <vertAlign val="subscript"/>
        <sz val="11"/>
        <color theme="1"/>
        <rFont val="Calibri"/>
        <family val="2"/>
        <scheme val="minor"/>
      </rPr>
      <t>SL</t>
    </r>
    <r>
      <rPr>
        <sz val="11"/>
        <color theme="1"/>
        <rFont val="Calibri"/>
        <family val="2"/>
        <scheme val="minor"/>
      </rPr>
      <t>)</t>
    </r>
  </si>
  <si>
    <t>Selected current sense Resistor</t>
  </si>
  <si>
    <t>Selected external slope compensation</t>
  </si>
  <si>
    <r>
      <t>Selected external slope compensation Resistor (R</t>
    </r>
    <r>
      <rPr>
        <vertAlign val="subscript"/>
        <sz val="11"/>
        <color theme="1"/>
        <rFont val="Calibri"/>
        <family val="2"/>
        <scheme val="minor"/>
      </rPr>
      <t>SL</t>
    </r>
    <r>
      <rPr>
        <sz val="11"/>
        <color theme="1"/>
        <rFont val="Calibri"/>
        <family val="2"/>
        <scheme val="minor"/>
      </rPr>
      <t>)</t>
    </r>
  </si>
  <si>
    <t>Check to make sure that slope compensation is high enough at the minimum input voltage</t>
  </si>
  <si>
    <t>Slope Compensation</t>
  </si>
  <si>
    <t>sl_vin_min</t>
  </si>
  <si>
    <t>Actual inductor peak current limit</t>
  </si>
  <si>
    <t>IL_pk</t>
  </si>
  <si>
    <t>IL_pk_max</t>
  </si>
  <si>
    <t>Peak current limit at the minimum input voltage</t>
  </si>
  <si>
    <t>Peak inductor current limit for saturation rating.  VIN max due to the possibility of external slope comp</t>
  </si>
  <si>
    <t>sat_mar</t>
  </si>
  <si>
    <t>Margin for saturation current of the inductor</t>
  </si>
  <si>
    <t>V/V</t>
  </si>
  <si>
    <t>IL_sat</t>
  </si>
  <si>
    <t>Recommended Saturation current rating of the selected inductor</t>
  </si>
  <si>
    <t>COMP voltage Limit checks</t>
  </si>
  <si>
    <t>Will add this later. Can be left off for APL</t>
  </si>
  <si>
    <t>Step 4: Output Capacitor Selection</t>
  </si>
  <si>
    <t>mV</t>
  </si>
  <si>
    <t xml:space="preserve">Minimum output capacitance </t>
  </si>
  <si>
    <r>
      <t>Selected Output Capacitance (C</t>
    </r>
    <r>
      <rPr>
        <vertAlign val="subscript"/>
        <sz val="11"/>
        <color theme="1"/>
        <rFont val="Calibri"/>
        <family val="2"/>
        <scheme val="minor"/>
      </rPr>
      <t>OUT</t>
    </r>
    <r>
      <rPr>
        <sz val="11"/>
        <color theme="1"/>
        <rFont val="Calibri"/>
        <family val="2"/>
        <scheme val="minor"/>
      </rPr>
      <t>)</t>
    </r>
  </si>
  <si>
    <t>Desired output ripple</t>
  </si>
  <si>
    <t>Vout_rip_sel</t>
  </si>
  <si>
    <t>Recommend Minimum Inductor Saturation Current Rating</t>
  </si>
  <si>
    <t>Cout_min</t>
  </si>
  <si>
    <t>F</t>
  </si>
  <si>
    <t>Calculate minimum capacitance based simply on the capacitive ripple</t>
  </si>
  <si>
    <r>
      <t>Capacitor RMS current (I</t>
    </r>
    <r>
      <rPr>
        <vertAlign val="subscript"/>
        <sz val="11"/>
        <color theme="1"/>
        <rFont val="Calibri"/>
        <family val="2"/>
        <scheme val="minor"/>
      </rPr>
      <t>RMS_COUT</t>
    </r>
    <r>
      <rPr>
        <sz val="11"/>
        <color theme="1"/>
        <rFont val="Calibri"/>
        <family val="2"/>
        <scheme val="minor"/>
      </rPr>
      <t>)</t>
    </r>
  </si>
  <si>
    <t>IRMS_COUT</t>
  </si>
  <si>
    <t>RMS current of the output capacitor at VIN min IOUT max. RMS current rating should be larger than this.</t>
  </si>
  <si>
    <r>
      <t>Equivalent  COUT ESR (R</t>
    </r>
    <r>
      <rPr>
        <vertAlign val="subscript"/>
        <sz val="11"/>
        <color theme="1"/>
        <rFont val="Calibri"/>
        <family val="2"/>
        <scheme val="minor"/>
      </rPr>
      <t>ESR</t>
    </r>
    <r>
      <rPr>
        <sz val="11"/>
        <color theme="1"/>
        <rFont val="Calibri"/>
        <family val="2"/>
        <scheme val="minor"/>
      </rPr>
      <t>)</t>
    </r>
  </si>
  <si>
    <t>Resr</t>
  </si>
  <si>
    <t>Selected Output Capacitance</t>
  </si>
  <si>
    <t>Selected output capacitance ESR</t>
  </si>
  <si>
    <t>Cout</t>
  </si>
  <si>
    <r>
      <t>Selected Peak Current limit(IL</t>
    </r>
    <r>
      <rPr>
        <vertAlign val="subscript"/>
        <sz val="11"/>
        <color theme="1"/>
        <rFont val="Calibri"/>
        <family val="2"/>
        <scheme val="minor"/>
      </rPr>
      <t>PK_select</t>
    </r>
    <r>
      <rPr>
        <sz val="11"/>
        <color theme="1"/>
        <rFont val="Calibri"/>
        <family val="2"/>
        <scheme val="minor"/>
      </rPr>
      <t>)</t>
    </r>
  </si>
  <si>
    <t>Step 5: Loop Compensation</t>
  </si>
  <si>
    <t>Input Parameters</t>
  </si>
  <si>
    <t>Output Voltage</t>
  </si>
  <si>
    <t>Component Selection</t>
  </si>
  <si>
    <t>LM</t>
  </si>
  <si>
    <t>filter Inductor</t>
  </si>
  <si>
    <t>Current sense resi</t>
  </si>
  <si>
    <t>External Slope Compensation Resistor</t>
  </si>
  <si>
    <t>Interanl Slope Compesnation Resistor</t>
  </si>
  <si>
    <t>Interanl Slope Compesnation current</t>
  </si>
  <si>
    <t>RCOMP</t>
  </si>
  <si>
    <t>kΩ</t>
  </si>
  <si>
    <t>Feedback Resistor Selection</t>
  </si>
  <si>
    <t>pF</t>
  </si>
  <si>
    <t>nF</t>
  </si>
  <si>
    <t>CCOMP</t>
  </si>
  <si>
    <t>CHF</t>
  </si>
  <si>
    <t>Type II compensation Resistort</t>
  </si>
  <si>
    <t>Type II compensation Capacitor</t>
  </si>
  <si>
    <t>Type II high frequency capacitor</t>
  </si>
  <si>
    <t>RFBT</t>
  </si>
  <si>
    <t>RFBB</t>
  </si>
  <si>
    <t>Compensation Components</t>
  </si>
  <si>
    <t>Top feedback resistor</t>
  </si>
  <si>
    <t>Bottom feedback resistor</t>
  </si>
  <si>
    <t>Calculations</t>
  </si>
  <si>
    <t>Frequency</t>
  </si>
  <si>
    <t>Selected VIN</t>
  </si>
  <si>
    <t>VIN_var</t>
  </si>
  <si>
    <t>VIN_VAR</t>
  </si>
  <si>
    <t>Variable input voltage</t>
  </si>
  <si>
    <t>ADC</t>
  </si>
  <si>
    <t>Gcomp</t>
  </si>
  <si>
    <t>Scale down factor of the interal comp voltage divider</t>
  </si>
  <si>
    <t>Intenal step down of the divider</t>
  </si>
  <si>
    <t>DC gain of the plant function</t>
  </si>
  <si>
    <t>Acs</t>
  </si>
  <si>
    <t>Current sense Amplifier Gain (1 for this device)</t>
  </si>
  <si>
    <t>Low Frequency Pole</t>
  </si>
  <si>
    <t>RHPz zero of boost converter</t>
  </si>
  <si>
    <t>ESR zero cause by output capacitance</t>
  </si>
  <si>
    <t>wsl</t>
  </si>
  <si>
    <t>Q</t>
  </si>
  <si>
    <t>Se</t>
  </si>
  <si>
    <t xml:space="preserve">Slope compensation </t>
  </si>
  <si>
    <t>Down slope at the selected input voltage</t>
  </si>
  <si>
    <t>Sn</t>
  </si>
  <si>
    <t>Rad</t>
  </si>
  <si>
    <t>wp_lf</t>
  </si>
  <si>
    <t>wz_rhp</t>
  </si>
  <si>
    <t>wz_esr</t>
  </si>
  <si>
    <t>Gain</t>
  </si>
  <si>
    <t>Phase</t>
  </si>
  <si>
    <t>Sampling</t>
  </si>
  <si>
    <t>Complex</t>
  </si>
  <si>
    <t>Total</t>
  </si>
  <si>
    <t>Plant Transfer Function</t>
  </si>
  <si>
    <t>Error Amplifier</t>
  </si>
  <si>
    <t>Plant Parameters</t>
  </si>
  <si>
    <t>wz_ea</t>
  </si>
  <si>
    <t>Adc_ea</t>
  </si>
  <si>
    <t>gm_ea</t>
  </si>
  <si>
    <t>Error Amplifier Gain</t>
  </si>
  <si>
    <t>A/V</t>
  </si>
  <si>
    <t>wp0_ea</t>
  </si>
  <si>
    <t>wp1_ea</t>
  </si>
  <si>
    <t>ADC_ea</t>
  </si>
  <si>
    <t xml:space="preserve">Gain </t>
  </si>
  <si>
    <t>Open Loop Response</t>
  </si>
  <si>
    <t>COMPLEX</t>
  </si>
  <si>
    <t>Gain of open loop at wp_Lf</t>
  </si>
  <si>
    <t>dB</t>
  </si>
  <si>
    <r>
      <t xml:space="preserve">Variable input voltage to model the loop. </t>
    </r>
    <r>
      <rPr>
        <b/>
        <sz val="11"/>
        <color theme="1"/>
        <rFont val="Calibri"/>
        <family val="2"/>
        <scheme val="minor"/>
      </rPr>
      <t>Currently not used. Will be updated in next rev</t>
    </r>
  </si>
  <si>
    <t>Selected by user. Feedback resistor should be &gt;100uA to help reject noise</t>
  </si>
  <si>
    <t>Error Amplifier Zero</t>
  </si>
  <si>
    <t>Error Amplifier pole at the origin</t>
  </si>
  <si>
    <t>Error Amplifier pole at high frequencies</t>
  </si>
  <si>
    <t>RFBB_CALC</t>
  </si>
  <si>
    <t>Vref</t>
  </si>
  <si>
    <t>Reference voltage</t>
  </si>
  <si>
    <t>Estimated bottom feedback resistor</t>
  </si>
  <si>
    <t>Selected botton feedback resistor</t>
  </si>
  <si>
    <t>Ifb</t>
  </si>
  <si>
    <t>Current Drawn from the feedback resistors (Typically higher than 100uA to help w/ noise)</t>
  </si>
  <si>
    <r>
      <t xml:space="preserve">Plant low frequency pole. </t>
    </r>
    <r>
      <rPr>
        <b/>
        <sz val="11"/>
        <color theme="1"/>
        <rFont val="Calibri"/>
        <family val="2"/>
        <scheme val="minor"/>
      </rPr>
      <t>IN Hz!!!</t>
    </r>
  </si>
  <si>
    <r>
      <t xml:space="preserve">Plant RHP Zero, </t>
    </r>
    <r>
      <rPr>
        <b/>
        <sz val="11"/>
        <color theme="1"/>
        <rFont val="Calibri"/>
        <family val="2"/>
        <scheme val="minor"/>
      </rPr>
      <t>(IN Hz)</t>
    </r>
  </si>
  <si>
    <r>
      <t xml:space="preserve">Plant capacitor ESR zero </t>
    </r>
    <r>
      <rPr>
        <b/>
        <sz val="11"/>
        <color theme="1"/>
        <rFont val="Calibri"/>
        <family val="2"/>
        <scheme val="minor"/>
      </rPr>
      <t>(In Hz)</t>
    </r>
  </si>
  <si>
    <t>Feedback resistor selection</t>
  </si>
  <si>
    <t>Crossover Frequency Selection</t>
  </si>
  <si>
    <t>Fcross_est</t>
  </si>
  <si>
    <r>
      <t>Calculated bottom feedback resistor (R</t>
    </r>
    <r>
      <rPr>
        <vertAlign val="subscript"/>
        <sz val="11"/>
        <color theme="1"/>
        <rFont val="Calibri"/>
        <family val="2"/>
        <scheme val="minor"/>
      </rPr>
      <t>FBB_cala</t>
    </r>
    <r>
      <rPr>
        <sz val="11"/>
        <color theme="1"/>
        <rFont val="Calibri"/>
        <family val="2"/>
        <scheme val="minor"/>
      </rPr>
      <t>)</t>
    </r>
  </si>
  <si>
    <t>fcross</t>
  </si>
  <si>
    <t>Desired Crossover frequency</t>
  </si>
  <si>
    <t>1/10 the swictching frequency</t>
  </si>
  <si>
    <t>Conservative. Set Fcross to be 1/5th the RHP zero frequency or 1/10th SW: whichever is lower</t>
  </si>
  <si>
    <t>Select the lower crossover frequency</t>
  </si>
  <si>
    <t>Gplant_fc</t>
  </si>
  <si>
    <t>Gain of the plant at the desired crossover frequency</t>
  </si>
  <si>
    <t>Fcross</t>
  </si>
  <si>
    <t>wz_RHP</t>
  </si>
  <si>
    <t>Gplant_fc_dB</t>
  </si>
  <si>
    <t>Plant gain at crossover frequency (dB)</t>
  </si>
  <si>
    <t>Gea_mid_calc</t>
  </si>
  <si>
    <t>Error Amplifier Mid-band gain to set cross over frequency correctly</t>
  </si>
  <si>
    <t>Rcomp_Calc</t>
  </si>
  <si>
    <t>Calculate on based on the desired Mid-band gain needed to set the crossover frequency</t>
  </si>
  <si>
    <t>fz_ea_est</t>
  </si>
  <si>
    <t>Set the fz_ea 1/10th the cross over frequency (Common approach)</t>
  </si>
  <si>
    <t>Set the fz_ea geometerically inbetween crossover and the wp_lf</t>
  </si>
  <si>
    <t>Fz_ea_1</t>
  </si>
  <si>
    <t>Fz_ea_2</t>
  </si>
  <si>
    <t>CCOMP_calc</t>
  </si>
  <si>
    <t>CHF_Calc</t>
  </si>
  <si>
    <t>fp_ea_est</t>
  </si>
  <si>
    <r>
      <t>Select a top feedback resistor(R</t>
    </r>
    <r>
      <rPr>
        <vertAlign val="subscript"/>
        <sz val="11"/>
        <color theme="1"/>
        <rFont val="Calibri"/>
        <family val="2"/>
        <scheme val="minor"/>
      </rPr>
      <t>FBT</t>
    </r>
    <r>
      <rPr>
        <sz val="11"/>
        <color theme="1"/>
        <rFont val="Calibri"/>
        <family val="2"/>
        <scheme val="minor"/>
      </rPr>
      <t>)</t>
    </r>
  </si>
  <si>
    <t>Step 5: Soft-Start Capacitor Selection</t>
  </si>
  <si>
    <t>Step 6: UVLO Resistor Divider Selection</t>
  </si>
  <si>
    <t>Efficiency / Power Loss Analyzer</t>
  </si>
  <si>
    <r>
      <t>R</t>
    </r>
    <r>
      <rPr>
        <vertAlign val="subscript"/>
        <sz val="11"/>
        <color theme="1"/>
        <rFont val="Calibri"/>
        <family val="2"/>
        <scheme val="minor"/>
      </rPr>
      <t>COMP</t>
    </r>
  </si>
  <si>
    <t>Calculated</t>
  </si>
  <si>
    <t>Selected</t>
  </si>
  <si>
    <t>Steps</t>
  </si>
  <si>
    <t>Step size</t>
  </si>
  <si>
    <t>VIN</t>
  </si>
  <si>
    <t>DCM/CCM</t>
  </si>
  <si>
    <t>DC</t>
  </si>
  <si>
    <t>IIN</t>
  </si>
  <si>
    <t>Icrms_min</t>
  </si>
  <si>
    <t>Minimum required RMS current rating for the output capacitor bank</t>
  </si>
  <si>
    <t>On-time of the switch</t>
  </si>
  <si>
    <t>Soft-Start</t>
  </si>
  <si>
    <t>Iss</t>
  </si>
  <si>
    <t>Soft-start capacitor charge current</t>
  </si>
  <si>
    <t>Soft-Start Charge current</t>
  </si>
  <si>
    <t>Css_min</t>
  </si>
  <si>
    <t>Suggested minimum SS capacitor to minize the over shoot.</t>
  </si>
  <si>
    <t>tss</t>
  </si>
  <si>
    <t>Desired Soft-Start Capacitor</t>
  </si>
  <si>
    <r>
      <t>Suggested minimum soft-start capacitor (C</t>
    </r>
    <r>
      <rPr>
        <vertAlign val="subscript"/>
        <sz val="11"/>
        <color theme="1"/>
        <rFont val="Calibri"/>
        <family val="2"/>
        <scheme val="minor"/>
      </rPr>
      <t>SS_MIN</t>
    </r>
    <r>
      <rPr>
        <sz val="11"/>
        <color theme="1"/>
        <rFont val="Calibri"/>
        <family val="2"/>
        <scheme val="minor"/>
      </rPr>
      <t>)</t>
    </r>
  </si>
  <si>
    <t>ms</t>
  </si>
  <si>
    <t>Css_calc</t>
  </si>
  <si>
    <t>Calcualted Soft-start capacitor</t>
  </si>
  <si>
    <r>
      <t>Calculated soft-start capacitor (C</t>
    </r>
    <r>
      <rPr>
        <vertAlign val="subscript"/>
        <sz val="11"/>
        <color theme="1"/>
        <rFont val="Calibri"/>
        <family val="2"/>
        <scheme val="minor"/>
      </rPr>
      <t>SS</t>
    </r>
    <r>
      <rPr>
        <sz val="11"/>
        <color theme="1"/>
        <rFont val="Calibri"/>
        <family val="2"/>
        <scheme val="minor"/>
      </rPr>
      <t>)</t>
    </r>
  </si>
  <si>
    <r>
      <t>Desired voltage OFF (V</t>
    </r>
    <r>
      <rPr>
        <vertAlign val="subscript"/>
        <sz val="11"/>
        <color theme="1"/>
        <rFont val="Calibri"/>
        <family val="2"/>
        <scheme val="minor"/>
      </rPr>
      <t>UVLO_OFF</t>
    </r>
    <r>
      <rPr>
        <sz val="11"/>
        <color theme="1"/>
        <rFont val="Calibri"/>
        <family val="2"/>
        <scheme val="minor"/>
      </rPr>
      <t>)</t>
    </r>
  </si>
  <si>
    <r>
      <t>Desired voltage On (V</t>
    </r>
    <r>
      <rPr>
        <vertAlign val="subscript"/>
        <sz val="11"/>
        <color theme="1"/>
        <rFont val="Calibri"/>
        <family val="2"/>
        <scheme val="minor"/>
      </rPr>
      <t>UVLO_ON</t>
    </r>
    <r>
      <rPr>
        <sz val="11"/>
        <color theme="1"/>
        <rFont val="Calibri"/>
        <family val="2"/>
        <scheme val="minor"/>
      </rPr>
      <t>)</t>
    </r>
  </si>
  <si>
    <t>Step 6: UVLO Resistor Selection</t>
  </si>
  <si>
    <t>Step 5: Soft-start Capacitor selection</t>
  </si>
  <si>
    <t>Vuvlo_on</t>
  </si>
  <si>
    <t>Vuvlo_off</t>
  </si>
  <si>
    <t>Desired turn on voltage</t>
  </si>
  <si>
    <t>Desired turn off voltage</t>
  </si>
  <si>
    <t>UVLO Thresholds</t>
  </si>
  <si>
    <t>UV_rise</t>
  </si>
  <si>
    <t>UV_fall</t>
  </si>
  <si>
    <t>Falling threshold (See datasheet for more details)</t>
  </si>
  <si>
    <t>Rising Threshold (See datasheet for more details)</t>
  </si>
  <si>
    <t>Rising UV threshold</t>
  </si>
  <si>
    <t>Falling  UV threshold</t>
  </si>
  <si>
    <t>UV_I_hyst</t>
  </si>
  <si>
    <t>UVLO current hysteresis</t>
  </si>
  <si>
    <t>UVLO circuit current hysteresis</t>
  </si>
  <si>
    <t>Ruvlo_top_calc</t>
  </si>
  <si>
    <t>Ruvlo_bottom_calc</t>
  </si>
  <si>
    <t>Vuvlo_on_act</t>
  </si>
  <si>
    <t>Vuvlo_off_act</t>
  </si>
  <si>
    <t>Actual turn on voltage</t>
  </si>
  <si>
    <t>Actual turn off voltage</t>
  </si>
  <si>
    <t>Step  7: Loop Compensation</t>
  </si>
  <si>
    <t>Operation Variables</t>
  </si>
  <si>
    <t>Duty Cycle</t>
  </si>
  <si>
    <t>dIL</t>
  </si>
  <si>
    <r>
      <t>IL</t>
    </r>
    <r>
      <rPr>
        <vertAlign val="subscript"/>
        <sz val="11"/>
        <color theme="1"/>
        <rFont val="Calibri"/>
        <family val="2"/>
        <scheme val="minor"/>
      </rPr>
      <t>RMS</t>
    </r>
  </si>
  <si>
    <r>
      <t>IL</t>
    </r>
    <r>
      <rPr>
        <vertAlign val="subscript"/>
        <sz val="11"/>
        <color theme="1"/>
        <rFont val="Calibri"/>
        <family val="2"/>
        <scheme val="minor"/>
      </rPr>
      <t>PEAK</t>
    </r>
  </si>
  <si>
    <t>DC_off</t>
  </si>
  <si>
    <r>
      <t>ID</t>
    </r>
    <r>
      <rPr>
        <vertAlign val="subscript"/>
        <sz val="11"/>
        <color theme="1"/>
        <rFont val="Calibri"/>
        <family val="2"/>
        <scheme val="minor"/>
      </rPr>
      <t>RMS</t>
    </r>
  </si>
  <si>
    <t>Step 7: Component Selection</t>
  </si>
  <si>
    <t>Vd_rect</t>
  </si>
  <si>
    <t>Rect Diode forward voltage drop</t>
  </si>
  <si>
    <r>
      <t>ID</t>
    </r>
    <r>
      <rPr>
        <vertAlign val="subscript"/>
        <sz val="11"/>
        <color theme="1"/>
        <rFont val="Calibri"/>
        <family val="2"/>
        <scheme val="minor"/>
      </rPr>
      <t xml:space="preserve">AVG </t>
    </r>
    <r>
      <rPr>
        <sz val="11"/>
        <color theme="1"/>
        <rFont val="Calibri"/>
        <family val="2"/>
        <scheme val="minor"/>
      </rPr>
      <t>(A)</t>
    </r>
  </si>
  <si>
    <r>
      <t>P</t>
    </r>
    <r>
      <rPr>
        <vertAlign val="subscript"/>
        <sz val="11"/>
        <color theme="1"/>
        <rFont val="Calibri"/>
        <family val="2"/>
        <scheme val="minor"/>
      </rPr>
      <t>Lac</t>
    </r>
    <r>
      <rPr>
        <sz val="11"/>
        <color theme="1"/>
        <rFont val="Calibri"/>
        <family val="2"/>
        <scheme val="minor"/>
      </rPr>
      <t xml:space="preserve"> (W)</t>
    </r>
  </si>
  <si>
    <r>
      <t>P</t>
    </r>
    <r>
      <rPr>
        <vertAlign val="subscript"/>
        <sz val="11"/>
        <color theme="1"/>
        <rFont val="Calibri"/>
        <family val="2"/>
        <scheme val="minor"/>
      </rPr>
      <t>L_DCR</t>
    </r>
    <r>
      <rPr>
        <sz val="11"/>
        <color theme="1"/>
        <rFont val="Calibri"/>
        <family val="2"/>
        <scheme val="minor"/>
      </rPr>
      <t xml:space="preserve"> (W)</t>
    </r>
  </si>
  <si>
    <r>
      <t>P</t>
    </r>
    <r>
      <rPr>
        <vertAlign val="subscript"/>
        <sz val="11"/>
        <color theme="1"/>
        <rFont val="Calibri"/>
        <family val="2"/>
        <scheme val="minor"/>
      </rPr>
      <t xml:space="preserve">D_COND </t>
    </r>
    <r>
      <rPr>
        <sz val="11"/>
        <color theme="1"/>
        <rFont val="Calibri"/>
        <family val="2"/>
        <scheme val="minor"/>
      </rPr>
      <t>(W)</t>
    </r>
  </si>
  <si>
    <r>
      <t>P</t>
    </r>
    <r>
      <rPr>
        <vertAlign val="subscript"/>
        <sz val="11"/>
        <color theme="1"/>
        <rFont val="Calibri"/>
        <family val="2"/>
        <scheme val="minor"/>
      </rPr>
      <t xml:space="preserve">D_SW </t>
    </r>
    <r>
      <rPr>
        <sz val="11"/>
        <color theme="1"/>
        <rFont val="Calibri"/>
        <family val="2"/>
        <scheme val="minor"/>
      </rPr>
      <t>(W)</t>
    </r>
  </si>
  <si>
    <r>
      <t>On-State Resistance, R</t>
    </r>
    <r>
      <rPr>
        <vertAlign val="subscript"/>
        <sz val="10"/>
        <rFont val="Arial"/>
        <family val="2"/>
      </rPr>
      <t>DS(on)</t>
    </r>
    <r>
      <rPr>
        <sz val="10"/>
        <rFont val="Arial"/>
        <family val="2"/>
      </rPr>
      <t xml:space="preserve"> </t>
    </r>
  </si>
  <si>
    <r>
      <t>Total Gate Charge, Q</t>
    </r>
    <r>
      <rPr>
        <vertAlign val="subscript"/>
        <sz val="10"/>
        <rFont val="Arial"/>
        <family val="2"/>
      </rPr>
      <t>G</t>
    </r>
    <r>
      <rPr>
        <sz val="10"/>
        <rFont val="Arial"/>
        <family val="2"/>
      </rPr>
      <t xml:space="preserve"> </t>
    </r>
  </si>
  <si>
    <r>
      <t>Gate-Drain Charge, Q</t>
    </r>
    <r>
      <rPr>
        <vertAlign val="subscript"/>
        <sz val="10"/>
        <rFont val="Arial"/>
        <family val="2"/>
      </rPr>
      <t>GD</t>
    </r>
    <r>
      <rPr>
        <sz val="10"/>
        <rFont val="Arial"/>
        <family val="2"/>
      </rPr>
      <t xml:space="preserve"> </t>
    </r>
  </si>
  <si>
    <r>
      <t>Gate-Source Charge, Q</t>
    </r>
    <r>
      <rPr>
        <vertAlign val="subscript"/>
        <sz val="10"/>
        <rFont val="Arial"/>
        <family val="2"/>
      </rPr>
      <t>GS</t>
    </r>
    <r>
      <rPr>
        <sz val="10"/>
        <rFont val="Arial"/>
        <family val="2"/>
      </rPr>
      <t xml:space="preserve"> </t>
    </r>
  </si>
  <si>
    <r>
      <t>Gate Resistance, R</t>
    </r>
    <r>
      <rPr>
        <vertAlign val="subscript"/>
        <sz val="10"/>
        <rFont val="Arial"/>
        <family val="2"/>
      </rPr>
      <t>G</t>
    </r>
    <r>
      <rPr>
        <sz val="10"/>
        <rFont val="Arial"/>
        <family val="2"/>
      </rPr>
      <t xml:space="preserve"> </t>
    </r>
  </si>
  <si>
    <r>
      <t>Transconductance, g</t>
    </r>
    <r>
      <rPr>
        <vertAlign val="subscript"/>
        <sz val="10"/>
        <rFont val="Arial"/>
        <family val="2"/>
      </rPr>
      <t>FS</t>
    </r>
    <r>
      <rPr>
        <sz val="10"/>
        <rFont val="Arial"/>
        <family val="2"/>
      </rPr>
      <t xml:space="preserve"> </t>
    </r>
  </si>
  <si>
    <r>
      <t>Gate-Source Threshold Voltage, V</t>
    </r>
    <r>
      <rPr>
        <vertAlign val="subscript"/>
        <sz val="10"/>
        <rFont val="Arial"/>
        <family val="2"/>
      </rPr>
      <t>TH</t>
    </r>
    <r>
      <rPr>
        <sz val="10"/>
        <rFont val="Arial"/>
        <family val="2"/>
      </rPr>
      <t xml:space="preserve"> </t>
    </r>
  </si>
  <si>
    <t>mΩ</t>
  </si>
  <si>
    <t>nC</t>
  </si>
  <si>
    <t>Ω</t>
  </si>
  <si>
    <t>S</t>
  </si>
  <si>
    <t>Diode Parameters</t>
  </si>
  <si>
    <t>MOSFET parameters</t>
  </si>
  <si>
    <r>
      <t>Forward Voltage Drop (V</t>
    </r>
    <r>
      <rPr>
        <vertAlign val="subscript"/>
        <sz val="11"/>
        <color theme="1"/>
        <rFont val="Calibri"/>
        <family val="2"/>
        <scheme val="minor"/>
      </rPr>
      <t>D</t>
    </r>
    <r>
      <rPr>
        <sz val="11"/>
        <color theme="1"/>
        <rFont val="Calibri"/>
        <family val="2"/>
        <scheme val="minor"/>
      </rPr>
      <t>)</t>
    </r>
  </si>
  <si>
    <t>MOSFET Parameters</t>
  </si>
  <si>
    <t>Qg_tot</t>
  </si>
  <si>
    <t>Qgs</t>
  </si>
  <si>
    <t>Qgd</t>
  </si>
  <si>
    <t>Rgate</t>
  </si>
  <si>
    <t>gfs</t>
  </si>
  <si>
    <t>Vth</t>
  </si>
  <si>
    <t>Reverse recovery charge of Schottky  Diode (QRR)</t>
  </si>
  <si>
    <t>C</t>
  </si>
  <si>
    <t>Shottky Reverse recovery charge</t>
  </si>
  <si>
    <t>Qrr</t>
  </si>
  <si>
    <t>RDS_on</t>
  </si>
  <si>
    <t>Rgate_int</t>
  </si>
  <si>
    <t>Internal Gate resistance of the MOSFET driver.</t>
  </si>
  <si>
    <t>Vsp</t>
  </si>
  <si>
    <t>Gate voltage when MOSFET begins conducting current</t>
  </si>
  <si>
    <t>Rise time of the switch node</t>
  </si>
  <si>
    <t>Fall time of the switch node</t>
  </si>
  <si>
    <t>VCC</t>
  </si>
  <si>
    <t>VCC regulator</t>
  </si>
  <si>
    <t>Vcc</t>
  </si>
  <si>
    <t>Regulated output voltage of internal LDO. Can change if this is externally biased.</t>
  </si>
  <si>
    <t>Need to double check this value</t>
  </si>
  <si>
    <t xml:space="preserve">VCC voltage. Can be changed with external bias. </t>
  </si>
  <si>
    <t>tr_sw</t>
  </si>
  <si>
    <t>tf_sw</t>
  </si>
  <si>
    <r>
      <t>ISW</t>
    </r>
    <r>
      <rPr>
        <vertAlign val="subscript"/>
        <sz val="11"/>
        <color theme="1"/>
        <rFont val="Calibri"/>
        <family val="2"/>
        <scheme val="minor"/>
      </rPr>
      <t xml:space="preserve">AVG </t>
    </r>
    <r>
      <rPr>
        <sz val="11"/>
        <color theme="1"/>
        <rFont val="Calibri"/>
        <family val="2"/>
        <scheme val="minor"/>
      </rPr>
      <t>(A)</t>
    </r>
  </si>
  <si>
    <r>
      <t>ISW</t>
    </r>
    <r>
      <rPr>
        <vertAlign val="subscript"/>
        <sz val="11"/>
        <color theme="1"/>
        <rFont val="Calibri"/>
        <family val="2"/>
        <scheme val="minor"/>
      </rPr>
      <t>RMS</t>
    </r>
  </si>
  <si>
    <r>
      <t>P</t>
    </r>
    <r>
      <rPr>
        <vertAlign val="subscript"/>
        <sz val="11"/>
        <color theme="1"/>
        <rFont val="Calibri"/>
        <family val="2"/>
        <scheme val="minor"/>
      </rPr>
      <t xml:space="preserve">Q_SW </t>
    </r>
    <r>
      <rPr>
        <sz val="11"/>
        <color theme="1"/>
        <rFont val="Calibri"/>
        <family val="2"/>
        <scheme val="minor"/>
      </rPr>
      <t>(W)</t>
    </r>
  </si>
  <si>
    <r>
      <t>P</t>
    </r>
    <r>
      <rPr>
        <vertAlign val="subscript"/>
        <sz val="11"/>
        <color theme="1"/>
        <rFont val="Calibri"/>
        <family val="2"/>
        <scheme val="minor"/>
      </rPr>
      <t xml:space="preserve">Q_COND </t>
    </r>
    <r>
      <rPr>
        <sz val="11"/>
        <color theme="1"/>
        <rFont val="Calibri"/>
        <family val="2"/>
        <scheme val="minor"/>
      </rPr>
      <t>(W)</t>
    </r>
  </si>
  <si>
    <r>
      <t>P</t>
    </r>
    <r>
      <rPr>
        <vertAlign val="subscript"/>
        <sz val="11"/>
        <color theme="1"/>
        <rFont val="Calibri"/>
        <family val="2"/>
        <scheme val="minor"/>
      </rPr>
      <t xml:space="preserve">Q_tot </t>
    </r>
    <r>
      <rPr>
        <sz val="11"/>
        <color theme="1"/>
        <rFont val="Calibri"/>
        <family val="2"/>
        <scheme val="minor"/>
      </rPr>
      <t>(W)</t>
    </r>
  </si>
  <si>
    <r>
      <t>P</t>
    </r>
    <r>
      <rPr>
        <vertAlign val="subscript"/>
        <sz val="11"/>
        <color theme="1"/>
        <rFont val="Calibri"/>
        <family val="2"/>
        <scheme val="minor"/>
      </rPr>
      <t xml:space="preserve">D_tot </t>
    </r>
    <r>
      <rPr>
        <sz val="11"/>
        <color theme="1"/>
        <rFont val="Calibri"/>
        <family val="2"/>
        <scheme val="minor"/>
      </rPr>
      <t>(W)</t>
    </r>
  </si>
  <si>
    <r>
      <t>P</t>
    </r>
    <r>
      <rPr>
        <vertAlign val="subscript"/>
        <sz val="11"/>
        <color theme="1"/>
        <rFont val="Calibri"/>
        <family val="2"/>
        <scheme val="minor"/>
      </rPr>
      <t>L_tot</t>
    </r>
    <r>
      <rPr>
        <sz val="11"/>
        <color theme="1"/>
        <rFont val="Calibri"/>
        <family val="2"/>
        <scheme val="minor"/>
      </rPr>
      <t xml:space="preserve"> (W)</t>
    </r>
  </si>
  <si>
    <r>
      <t>P</t>
    </r>
    <r>
      <rPr>
        <vertAlign val="subscript"/>
        <sz val="11"/>
        <color theme="1"/>
        <rFont val="Calibri"/>
        <family val="2"/>
        <scheme val="minor"/>
      </rPr>
      <t>RCS</t>
    </r>
    <r>
      <rPr>
        <sz val="11"/>
        <color theme="1"/>
        <rFont val="Calibri"/>
        <family val="2"/>
        <scheme val="minor"/>
      </rPr>
      <t xml:space="preserve"> (W)</t>
    </r>
  </si>
  <si>
    <t>Total Losses</t>
  </si>
  <si>
    <r>
      <t>P</t>
    </r>
    <r>
      <rPr>
        <vertAlign val="subscript"/>
        <sz val="11"/>
        <color theme="1"/>
        <rFont val="Calibri"/>
        <family val="2"/>
        <scheme val="minor"/>
      </rPr>
      <t>TOTAL</t>
    </r>
    <r>
      <rPr>
        <sz val="11"/>
        <color theme="1"/>
        <rFont val="Calibri"/>
        <family val="2"/>
        <scheme val="minor"/>
      </rPr>
      <t xml:space="preserve"> (W)</t>
    </r>
  </si>
  <si>
    <r>
      <t>P</t>
    </r>
    <r>
      <rPr>
        <vertAlign val="subscript"/>
        <sz val="11"/>
        <color theme="1"/>
        <rFont val="Calibri"/>
        <family val="2"/>
        <scheme val="minor"/>
      </rPr>
      <t>G_drv</t>
    </r>
    <r>
      <rPr>
        <sz val="11"/>
        <color theme="1"/>
        <rFont val="Calibri"/>
        <family val="2"/>
        <scheme val="minor"/>
      </rPr>
      <t xml:space="preserve"> (W)</t>
    </r>
  </si>
  <si>
    <r>
      <t>P</t>
    </r>
    <r>
      <rPr>
        <vertAlign val="subscript"/>
        <sz val="11"/>
        <color theme="1"/>
        <rFont val="Calibri"/>
        <family val="2"/>
        <scheme val="minor"/>
      </rPr>
      <t>IQ</t>
    </r>
    <r>
      <rPr>
        <sz val="11"/>
        <color theme="1"/>
        <rFont val="Calibri"/>
        <family val="2"/>
        <scheme val="minor"/>
      </rPr>
      <t xml:space="preserve"> (W)</t>
    </r>
  </si>
  <si>
    <t>IQ current</t>
  </si>
  <si>
    <t xml:space="preserve">IQ </t>
  </si>
  <si>
    <t>Non-switching IQ current</t>
  </si>
  <si>
    <t>Other Losses</t>
  </si>
  <si>
    <t>Eff</t>
  </si>
  <si>
    <r>
      <t>P</t>
    </r>
    <r>
      <rPr>
        <vertAlign val="subscript"/>
        <sz val="11"/>
        <color theme="1"/>
        <rFont val="Calibri"/>
        <family val="2"/>
        <scheme val="minor"/>
      </rPr>
      <t>OUT</t>
    </r>
    <r>
      <rPr>
        <sz val="11"/>
        <color theme="1"/>
        <rFont val="Calibri"/>
        <family val="2"/>
        <scheme val="minor"/>
      </rPr>
      <t xml:space="preserve"> (W)</t>
    </r>
  </si>
  <si>
    <t>MOSFET</t>
  </si>
  <si>
    <t>Inductor</t>
  </si>
  <si>
    <t>Diode</t>
  </si>
  <si>
    <r>
      <t>C</t>
    </r>
    <r>
      <rPr>
        <vertAlign val="subscript"/>
        <sz val="11"/>
        <color theme="1"/>
        <rFont val="Calibri"/>
        <family val="2"/>
        <scheme val="minor"/>
      </rPr>
      <t>COMP</t>
    </r>
  </si>
  <si>
    <r>
      <t>C</t>
    </r>
    <r>
      <rPr>
        <vertAlign val="subscript"/>
        <sz val="11"/>
        <color theme="1"/>
        <rFont val="Calibri"/>
        <family val="2"/>
        <scheme val="minor"/>
      </rPr>
      <t>HF</t>
    </r>
  </si>
  <si>
    <t>IOUT_VAR</t>
  </si>
  <si>
    <t>Variable output current (Need to add this in</t>
  </si>
  <si>
    <t>RHP_zero location based on the minimum input voltage</t>
  </si>
  <si>
    <t>Low frequency pole based on the minimum input voltage</t>
  </si>
  <si>
    <t>rad</t>
  </si>
  <si>
    <t>raf</t>
  </si>
  <si>
    <t>ESR zero based on the minimum input voltage</t>
  </si>
  <si>
    <t>This is based on the minimum input voltage. T</t>
  </si>
  <si>
    <t>Input Voltage</t>
  </si>
  <si>
    <r>
      <t>Recommended Inductance (L</t>
    </r>
    <r>
      <rPr>
        <vertAlign val="subscript"/>
        <sz val="10"/>
        <color theme="1"/>
        <rFont val="Calibri"/>
        <family val="2"/>
        <scheme val="minor"/>
      </rPr>
      <t>M_CALC</t>
    </r>
    <r>
      <rPr>
        <sz val="10"/>
        <color theme="1"/>
        <rFont val="Calibri"/>
        <family val="2"/>
        <scheme val="minor"/>
      </rPr>
      <t>)</t>
    </r>
  </si>
  <si>
    <r>
      <t>User Selection. Inductance, (L</t>
    </r>
    <r>
      <rPr>
        <vertAlign val="subscript"/>
        <sz val="10"/>
        <color theme="1"/>
        <rFont val="Calibri"/>
        <family val="2"/>
        <scheme val="minor"/>
      </rPr>
      <t>M</t>
    </r>
    <r>
      <rPr>
        <sz val="10"/>
        <color theme="1"/>
        <rFont val="Calibri"/>
        <family val="2"/>
        <scheme val="minor"/>
      </rPr>
      <t>)</t>
    </r>
  </si>
  <si>
    <t>Id_AVG</t>
  </si>
  <si>
    <t xml:space="preserve">Suggested average current rating of diode. </t>
  </si>
  <si>
    <r>
      <t>Calculated top UVLO resistor value (R</t>
    </r>
    <r>
      <rPr>
        <vertAlign val="subscript"/>
        <sz val="11"/>
        <color theme="1"/>
        <rFont val="Calibri"/>
        <family val="2"/>
        <scheme val="minor"/>
      </rPr>
      <t>UVT_CALC</t>
    </r>
    <r>
      <rPr>
        <sz val="11"/>
        <color theme="1"/>
        <rFont val="Calibri"/>
        <family val="2"/>
        <scheme val="minor"/>
      </rPr>
      <t>)</t>
    </r>
  </si>
  <si>
    <r>
      <t>Selected top UVLO resistor value (R</t>
    </r>
    <r>
      <rPr>
        <vertAlign val="subscript"/>
        <sz val="11"/>
        <color theme="1"/>
        <rFont val="Calibri"/>
        <family val="2"/>
        <scheme val="minor"/>
      </rPr>
      <t>UVT</t>
    </r>
    <r>
      <rPr>
        <sz val="11"/>
        <color theme="1"/>
        <rFont val="Calibri"/>
        <family val="2"/>
        <scheme val="minor"/>
      </rPr>
      <t>)</t>
    </r>
  </si>
  <si>
    <r>
      <t>Bottom UVLO Resistor (R</t>
    </r>
    <r>
      <rPr>
        <vertAlign val="subscript"/>
        <sz val="11"/>
        <color theme="1"/>
        <rFont val="Calibri"/>
        <family val="2"/>
        <scheme val="minor"/>
      </rPr>
      <t>UVB</t>
    </r>
    <r>
      <rPr>
        <sz val="11"/>
        <color theme="1"/>
        <rFont val="Calibri"/>
        <family val="2"/>
        <scheme val="minor"/>
      </rPr>
      <t>)</t>
    </r>
  </si>
  <si>
    <t>Calcualted top UVLO resistor</t>
  </si>
  <si>
    <t>Selected top UVLO resistor</t>
  </si>
  <si>
    <t>Calcualted Bottom UBLO Resistor</t>
  </si>
  <si>
    <t>Frcoss (VIN)min</t>
  </si>
  <si>
    <t>ADC_VINmin</t>
  </si>
  <si>
    <t>wp_lf_VINmin</t>
  </si>
  <si>
    <t>fp_lf_VINmin</t>
  </si>
  <si>
    <t>wz_esr_VINmin</t>
  </si>
  <si>
    <t>fz_esr_VINmin</t>
  </si>
  <si>
    <t>wz_RHP_VINmin</t>
  </si>
  <si>
    <t>fz_rhp_VINmin</t>
  </si>
  <si>
    <t>Se_VINmin</t>
  </si>
  <si>
    <t>Sn_VINmin</t>
  </si>
  <si>
    <t>wsl_VINmin</t>
  </si>
  <si>
    <t>Q_VINmin</t>
  </si>
  <si>
    <t>Operation Raange</t>
  </si>
  <si>
    <t>Vin_op_min</t>
  </si>
  <si>
    <t>Minimum operating voltage</t>
  </si>
  <si>
    <t>Maximum BIAS pin operating voltage</t>
  </si>
  <si>
    <t>Vin_op_max</t>
  </si>
  <si>
    <r>
      <t>Boost Converter Duty Cycle Limit by LM5155 at V</t>
    </r>
    <r>
      <rPr>
        <vertAlign val="subscript"/>
        <sz val="10"/>
        <color theme="1"/>
        <rFont val="Calibri"/>
        <family val="2"/>
        <scheme val="minor"/>
      </rPr>
      <t>SUPPLY(MIN)</t>
    </r>
  </si>
  <si>
    <r>
      <t>Desired Maximum Inductor Current Ripple Ratio (I</t>
    </r>
    <r>
      <rPr>
        <vertAlign val="subscript"/>
        <sz val="10"/>
        <color theme="1"/>
        <rFont val="Calibri"/>
        <family val="2"/>
        <scheme val="minor"/>
      </rPr>
      <t>RR_MAX</t>
    </r>
    <r>
      <rPr>
        <sz val="10"/>
        <color theme="1"/>
        <rFont val="Calibri"/>
        <family val="2"/>
        <scheme val="minor"/>
      </rPr>
      <t>)</t>
    </r>
  </si>
  <si>
    <t>Peak Current Limit Margin</t>
  </si>
  <si>
    <r>
      <t>Voltage selected (V</t>
    </r>
    <r>
      <rPr>
        <vertAlign val="subscript"/>
        <sz val="11"/>
        <rFont val="Calibri"/>
        <family val="2"/>
        <scheme val="minor"/>
      </rPr>
      <t>IN_VAR</t>
    </r>
    <r>
      <rPr>
        <sz val="11"/>
        <rFont val="Calibri"/>
        <family val="2"/>
        <scheme val="minor"/>
      </rPr>
      <t>)</t>
    </r>
  </si>
  <si>
    <t>This should be set at or near the lowest RHP zero Frequency</t>
  </si>
  <si>
    <t>Set between 1/2 fsw and the RHPz in the application note. This is aggressive</t>
  </si>
  <si>
    <r>
      <t>Recommended minimum average current rating (I</t>
    </r>
    <r>
      <rPr>
        <vertAlign val="subscript"/>
        <sz val="11"/>
        <color theme="1"/>
        <rFont val="Calibri"/>
        <family val="2"/>
        <scheme val="minor"/>
      </rPr>
      <t>D_AVG</t>
    </r>
    <r>
      <rPr>
        <sz val="11"/>
        <color theme="1"/>
        <rFont val="Calibri"/>
        <family val="2"/>
        <scheme val="minor"/>
      </rPr>
      <t>)</t>
    </r>
  </si>
  <si>
    <r>
      <t>Recommended current sense Resistor (R</t>
    </r>
    <r>
      <rPr>
        <vertAlign val="subscript"/>
        <sz val="11"/>
        <color theme="1"/>
        <rFont val="Calibri"/>
        <family val="2"/>
        <scheme val="minor"/>
      </rPr>
      <t>S</t>
    </r>
    <r>
      <rPr>
        <sz val="11"/>
        <color theme="1"/>
        <rFont val="Calibri"/>
        <family val="2"/>
        <scheme val="minor"/>
      </rPr>
      <t>)</t>
    </r>
  </si>
  <si>
    <r>
      <t>Selected current sense Resistor (R</t>
    </r>
    <r>
      <rPr>
        <vertAlign val="subscript"/>
        <sz val="11"/>
        <color theme="1"/>
        <rFont val="Calibri"/>
        <family val="2"/>
        <scheme val="minor"/>
      </rPr>
      <t>S</t>
    </r>
    <r>
      <rPr>
        <sz val="11"/>
        <color theme="1"/>
        <rFont val="Calibri"/>
        <family val="2"/>
        <scheme val="minor"/>
      </rPr>
      <t>)</t>
    </r>
  </si>
  <si>
    <t>CCM</t>
  </si>
  <si>
    <t>DCM</t>
  </si>
  <si>
    <t>Dc_DCM_max_ideal</t>
  </si>
  <si>
    <t>Duty cycle at the mimum input voltage (DCM)</t>
  </si>
  <si>
    <t>Duty cycle at the nominal input voltage (DCM)</t>
  </si>
  <si>
    <t>Duty cycle at the maximum input voltage (DCM)</t>
  </si>
  <si>
    <t>Dc_DCM_VIN_min</t>
  </si>
  <si>
    <t>IL_avg_DCM_VIN_min</t>
  </si>
  <si>
    <t>Dc_DCM_VIN_nom</t>
  </si>
  <si>
    <t>IL_avg_DCM_VIN_nom</t>
  </si>
  <si>
    <t>Dc_DCM_VIN_max</t>
  </si>
  <si>
    <t xml:space="preserve">Duty cycle at the mimum input voltage </t>
  </si>
  <si>
    <t>Duty cycle at the nominal input voltage</t>
  </si>
  <si>
    <t>Duty cycle at the maximum input voltage</t>
  </si>
  <si>
    <t>Dc_CCM_max_ideal</t>
  </si>
  <si>
    <t>Dc_CCM_VIN_min</t>
  </si>
  <si>
    <t>IL_avg_CCM_VIN_min</t>
  </si>
  <si>
    <t>Dc_CCM_VIN_nom</t>
  </si>
  <si>
    <t>IL_avg_CCM_VIN_nom</t>
  </si>
  <si>
    <t>Dc_CCM_VIN_max</t>
  </si>
  <si>
    <t>IL_avg_CCM_VIN_max</t>
  </si>
  <si>
    <t>Selected Mode for Calculation</t>
  </si>
  <si>
    <t>Possible Mode due to Load and L Selection</t>
  </si>
  <si>
    <t xml:space="preserve">Ideal Duty Cycle at VSUPPLY(MIN) </t>
  </si>
  <si>
    <t>CCM/DCM selected</t>
  </si>
  <si>
    <t>Rsl_max</t>
  </si>
  <si>
    <t>Maximum Value of Rsl (DS page 21)</t>
  </si>
  <si>
    <t>Operation Mode</t>
  </si>
  <si>
    <t>Version Number</t>
  </si>
  <si>
    <t>1.0.0</t>
  </si>
  <si>
    <t>Version History</t>
  </si>
  <si>
    <t>Version</t>
  </si>
  <si>
    <t>Change List Description</t>
  </si>
  <si>
    <t>Initial Release</t>
  </si>
  <si>
    <r>
      <t>Desired soft-start time at minimum input voltage (T</t>
    </r>
    <r>
      <rPr>
        <vertAlign val="subscript"/>
        <sz val="11"/>
        <color theme="1"/>
        <rFont val="Calibri"/>
        <family val="2"/>
        <scheme val="minor"/>
      </rPr>
      <t>SS</t>
    </r>
    <r>
      <rPr>
        <sz val="11"/>
        <color theme="1"/>
        <rFont val="Calibri"/>
        <family val="2"/>
        <scheme val="minor"/>
      </rPr>
      <t>)</t>
    </r>
  </si>
  <si>
    <r>
      <t>Select a bottom resistor based on calculated value(R</t>
    </r>
    <r>
      <rPr>
        <vertAlign val="subscript"/>
        <sz val="11"/>
        <color theme="1"/>
        <rFont val="Calibri"/>
        <family val="2"/>
        <scheme val="minor"/>
      </rPr>
      <t>FBB</t>
    </r>
    <r>
      <rPr>
        <sz val="11"/>
        <color theme="1"/>
        <rFont val="Calibri"/>
        <family val="2"/>
        <scheme val="minor"/>
      </rPr>
      <t>)</t>
    </r>
  </si>
  <si>
    <t>1.1.0</t>
  </si>
  <si>
    <t>Added DCM mode</t>
  </si>
  <si>
    <t>Sel_Cond_Mode</t>
  </si>
  <si>
    <t>ConductionMode</t>
  </si>
  <si>
    <t>Gain Cross</t>
  </si>
  <si>
    <t>Phase Cross</t>
  </si>
  <si>
    <t>XOVER SEARCH</t>
  </si>
  <si>
    <t>xover</t>
  </si>
  <si>
    <t>phase margin</t>
  </si>
  <si>
    <r>
      <t>Target Output Voltage, V</t>
    </r>
    <r>
      <rPr>
        <vertAlign val="subscript"/>
        <sz val="10"/>
        <color theme="1"/>
        <rFont val="Calibri"/>
        <family val="2"/>
        <scheme val="minor"/>
      </rPr>
      <t>LOAD</t>
    </r>
    <r>
      <rPr>
        <sz val="10"/>
        <color theme="1"/>
        <rFont val="Calibri"/>
        <family val="2"/>
        <scheme val="minor"/>
      </rPr>
      <t xml:space="preserve"> </t>
    </r>
  </si>
  <si>
    <r>
      <t>Desired Output ripple voltage (</t>
    </r>
    <r>
      <rPr>
        <sz val="11"/>
        <color theme="1"/>
        <rFont val="Calibri"/>
        <family val="2"/>
      </rPr>
      <t>Δv</t>
    </r>
    <r>
      <rPr>
        <vertAlign val="subscript"/>
        <sz val="11"/>
        <color theme="1"/>
        <rFont val="Calibri"/>
        <family val="2"/>
      </rPr>
      <t>OUT</t>
    </r>
    <r>
      <rPr>
        <sz val="11"/>
        <color theme="1"/>
        <rFont val="Calibri"/>
        <family val="2"/>
      </rPr>
      <t>)</t>
    </r>
  </si>
  <si>
    <r>
      <rPr>
        <sz val="11"/>
        <color theme="1"/>
        <rFont val="Calibri"/>
        <family val="2"/>
      </rPr>
      <t>μ</t>
    </r>
    <r>
      <rPr>
        <sz val="11"/>
        <color theme="1"/>
        <rFont val="Calibri"/>
        <family val="2"/>
        <scheme val="minor"/>
      </rPr>
      <t>H</t>
    </r>
  </si>
  <si>
    <r>
      <rPr>
        <sz val="11"/>
        <color theme="1"/>
        <rFont val="Calibri"/>
        <family val="2"/>
      </rPr>
      <t>μ</t>
    </r>
    <r>
      <rPr>
        <sz val="11"/>
        <color theme="1"/>
        <rFont val="Calibri"/>
        <family val="2"/>
        <scheme val="minor"/>
      </rPr>
      <t>F</t>
    </r>
  </si>
  <si>
    <t>wp_hf</t>
  </si>
  <si>
    <t>HF pole used for DCM</t>
  </si>
  <si>
    <t>Fn</t>
  </si>
  <si>
    <t>M</t>
  </si>
  <si>
    <t>Hd</t>
  </si>
  <si>
    <t>tauL</t>
  </si>
  <si>
    <t>Suggested maximum bandwidth</t>
  </si>
  <si>
    <r>
      <t>Selected bandwidth (F</t>
    </r>
    <r>
      <rPr>
        <vertAlign val="subscript"/>
        <sz val="11"/>
        <color theme="1"/>
        <rFont val="Calibri"/>
        <family val="2"/>
        <scheme val="minor"/>
      </rPr>
      <t>CO</t>
    </r>
    <r>
      <rPr>
        <sz val="11"/>
        <color theme="1"/>
        <rFont val="Calibri"/>
        <family val="2"/>
        <scheme val="minor"/>
      </rPr>
      <t>)</t>
    </r>
  </si>
  <si>
    <t>Mode</t>
  </si>
  <si>
    <t>Valid Lm</t>
  </si>
  <si>
    <t>L dcm/ccm</t>
  </si>
  <si>
    <t>min</t>
  </si>
  <si>
    <t>max</t>
  </si>
  <si>
    <t>min10%</t>
  </si>
  <si>
    <t>max10%</t>
  </si>
  <si>
    <t>V in min</t>
  </si>
  <si>
    <t>V in nom</t>
  </si>
  <si>
    <t>DC CCM &lt; DCM</t>
  </si>
  <si>
    <t>CCM/DCM</t>
  </si>
  <si>
    <t>Dc_Mode_Loop_Loop</t>
  </si>
  <si>
    <t>Duty Cycle mode for Loop Comenstation</t>
  </si>
  <si>
    <t>CCM only</t>
  </si>
  <si>
    <t>DCM only</t>
  </si>
  <si>
    <t>ModeCheck</t>
  </si>
  <si>
    <t>Lcalc_VIN_max</t>
  </si>
  <si>
    <t>Lcalc_VIN_nom</t>
  </si>
  <si>
    <t>Inductor at Nominal input voltage</t>
  </si>
  <si>
    <t>Inductor at Maximum input voltage</t>
  </si>
  <si>
    <t>V in max</t>
  </si>
  <si>
    <t>Strategy DCM</t>
  </si>
  <si>
    <t>L_DCM</t>
  </si>
  <si>
    <t>1.1.1</t>
  </si>
  <si>
    <t>Fixed reporting of wrong phase Margin</t>
  </si>
  <si>
    <t>Rev 1.1.1</t>
  </si>
  <si>
    <t>August-2021</t>
  </si>
  <si>
    <t>LM5155/56 DC/DC BOOST Controller Design Tool</t>
  </si>
  <si>
    <t>VIN_op_max_56</t>
  </si>
  <si>
    <t>Maximum BIAS pin operating voltage LM5156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</si>
</sst>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00"/>
    <numFmt numFmtId="165" formatCode="0.000E+00"/>
    <numFmt numFmtId="166" formatCode="0.0000"/>
    <numFmt numFmtId="167" formatCode="0.0000E+00"/>
    <numFmt numFmtId="168" formatCode="0.0"/>
    <numFmt numFmtId="169" formatCode="0.0E+00"/>
  </numFmts>
  <fonts count="44" x14ac:knownFonts="1">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sz val="10"/>
      <name val="Arial"/>
      <family val="2"/>
    </font>
    <font>
      <b/>
      <sz val="10"/>
      <name val="Arial"/>
      <family val="2"/>
    </font>
    <font>
      <b/>
      <sz val="22"/>
      <color indexed="44"/>
      <name val="Arial"/>
      <family val="2"/>
    </font>
    <font>
      <b/>
      <sz val="9"/>
      <color indexed="81"/>
      <name val="Tahoma"/>
      <family val="2"/>
    </font>
    <font>
      <sz val="9"/>
      <color indexed="81"/>
      <name val="Tahoma"/>
      <family val="2"/>
    </font>
    <font>
      <b/>
      <sz val="12"/>
      <color rgb="FF0000FF"/>
      <name val="Arial"/>
      <family val="2"/>
    </font>
    <font>
      <sz val="28"/>
      <color theme="0"/>
      <name val="Calibri"/>
      <family val="2"/>
      <scheme val="minor"/>
    </font>
    <font>
      <b/>
      <sz val="11"/>
      <color indexed="10"/>
      <name val="Tahoma"/>
      <family val="2"/>
    </font>
    <font>
      <sz val="10"/>
      <color theme="1"/>
      <name val="Calibri"/>
      <family val="2"/>
      <scheme val="minor"/>
    </font>
    <font>
      <vertAlign val="subscript"/>
      <sz val="10"/>
      <color theme="1"/>
      <name val="Calibri"/>
      <family val="2"/>
      <scheme val="minor"/>
    </font>
    <font>
      <sz val="11"/>
      <name val="Calibri"/>
      <family val="2"/>
      <scheme val="minor"/>
    </font>
    <font>
      <b/>
      <sz val="11"/>
      <color rgb="FF0070C0"/>
      <name val="Calibri"/>
      <family val="2"/>
      <scheme val="minor"/>
    </font>
    <font>
      <sz val="11"/>
      <color theme="1"/>
      <name val="Calibri"/>
      <family val="2"/>
    </font>
    <font>
      <u/>
      <sz val="11"/>
      <color theme="1"/>
      <name val="Calibri"/>
      <family val="2"/>
      <scheme val="minor"/>
    </font>
    <font>
      <vertAlign val="subscript"/>
      <sz val="11"/>
      <color theme="1"/>
      <name val="Calibri"/>
      <family val="2"/>
      <scheme val="minor"/>
    </font>
    <font>
      <b/>
      <sz val="12"/>
      <color theme="1"/>
      <name val="Calibri"/>
      <family val="2"/>
      <scheme val="minor"/>
    </font>
    <font>
      <vertAlign val="subscript"/>
      <sz val="11"/>
      <color theme="1"/>
      <name val="Calibri"/>
      <family val="2"/>
    </font>
    <font>
      <b/>
      <sz val="11"/>
      <color theme="3" tint="0.39997558519241921"/>
      <name val="Calibri"/>
      <family val="2"/>
      <scheme val="minor"/>
    </font>
    <font>
      <b/>
      <sz val="11"/>
      <color theme="1"/>
      <name val="Calibri"/>
      <family val="2"/>
      <scheme val="minor"/>
    </font>
    <font>
      <sz val="10"/>
      <name val="Calibri"/>
      <family val="2"/>
      <scheme val="minor"/>
    </font>
    <font>
      <b/>
      <sz val="12"/>
      <color rgb="FF00B0F0"/>
      <name val="Calibri"/>
      <family val="2"/>
      <scheme val="minor"/>
    </font>
    <font>
      <b/>
      <sz val="11"/>
      <color rgb="FF00B0F0"/>
      <name val="Calibri"/>
      <family val="2"/>
      <scheme val="minor"/>
    </font>
    <font>
      <b/>
      <sz val="10"/>
      <color rgb="FF00B0F0"/>
      <name val="Arial"/>
      <family val="2"/>
    </font>
    <font>
      <sz val="18"/>
      <color theme="0"/>
      <name val="Calibri"/>
      <family val="2"/>
      <scheme val="minor"/>
    </font>
    <font>
      <vertAlign val="subscript"/>
      <sz val="10"/>
      <name val="Arial"/>
      <family val="2"/>
    </font>
    <font>
      <vertAlign val="subscript"/>
      <sz val="11"/>
      <name val="Calibri"/>
      <family val="2"/>
      <scheme val="minor"/>
    </font>
    <font>
      <b/>
      <sz val="11"/>
      <color theme="4"/>
      <name val="Calibri"/>
      <family val="2"/>
      <scheme val="minor"/>
    </font>
    <font>
      <b/>
      <sz val="9"/>
      <color indexed="10"/>
      <name val="Tahoma"/>
      <family val="2"/>
    </font>
    <font>
      <vertAlign val="subscript"/>
      <sz val="9"/>
      <color indexed="81"/>
      <name val="Tahoma"/>
      <family val="2"/>
    </font>
    <font>
      <sz val="11"/>
      <color indexed="10"/>
      <name val="Calibri"/>
      <family val="2"/>
      <scheme val="minor"/>
    </font>
    <font>
      <sz val="11"/>
      <color rgb="FFFF0000"/>
      <name val="Calibri"/>
      <family val="2"/>
      <scheme val="minor"/>
    </font>
    <font>
      <u/>
      <sz val="11"/>
      <color theme="10"/>
      <name val="Calibri"/>
      <family val="2"/>
      <scheme val="minor"/>
    </font>
    <font>
      <sz val="11"/>
      <color theme="1"/>
      <name val="Arial"/>
      <family val="2"/>
    </font>
    <font>
      <b/>
      <sz val="10"/>
      <color theme="1"/>
      <name val="Arial"/>
      <family val="2"/>
    </font>
    <font>
      <sz val="10"/>
      <color theme="1"/>
      <name val="Arial"/>
      <family val="2"/>
    </font>
    <font>
      <b/>
      <u/>
      <sz val="10"/>
      <color theme="10"/>
      <name val="Arial"/>
      <family val="2"/>
    </font>
    <font>
      <b/>
      <sz val="10"/>
      <color theme="0"/>
      <name val="Arial"/>
      <family val="2"/>
    </font>
    <font>
      <b/>
      <u/>
      <sz val="11"/>
      <color theme="10"/>
      <name val="Arial"/>
      <family val="2"/>
    </font>
    <font>
      <b/>
      <sz val="8"/>
      <color indexed="81"/>
      <name val="Tahoma"/>
      <family val="2"/>
    </font>
    <font>
      <b/>
      <sz val="9"/>
      <color indexed="52"/>
      <name val="Tahoma"/>
      <family val="2"/>
    </font>
  </fonts>
  <fills count="20">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52"/>
        <bgColor indexed="64"/>
      </patternFill>
    </fill>
    <fill>
      <patternFill patternType="solid">
        <fgColor indexed="50"/>
        <bgColor indexed="64"/>
      </patternFill>
    </fill>
    <fill>
      <patternFill patternType="solid">
        <fgColor rgb="FFFF0000"/>
        <bgColor indexed="64"/>
      </patternFill>
    </fill>
    <fill>
      <patternFill patternType="solid">
        <fgColor rgb="FFFFFF00"/>
        <bgColor indexed="64"/>
      </patternFill>
    </fill>
    <fill>
      <patternFill patternType="solid">
        <fgColor theme="0" tint="-0.499984740745262"/>
        <bgColor indexed="64"/>
      </patternFill>
    </fill>
    <fill>
      <patternFill patternType="solid">
        <fgColor rgb="FFFFC000"/>
        <bgColor indexed="64"/>
      </patternFill>
    </fill>
    <fill>
      <patternFill patternType="solid">
        <fgColor theme="0" tint="-0.249977111117893"/>
        <bgColor indexed="64"/>
      </patternFill>
    </fill>
    <fill>
      <patternFill patternType="solid">
        <fgColor rgb="FF92D050"/>
        <bgColor indexed="64"/>
      </patternFill>
    </fill>
    <fill>
      <patternFill patternType="solid">
        <fgColor theme="0" tint="-0.34998626667073579"/>
        <bgColor indexed="64"/>
      </patternFill>
    </fill>
    <fill>
      <patternFill patternType="solid">
        <fgColor theme="1" tint="4.9989318521683403E-2"/>
        <bgColor indexed="64"/>
      </patternFill>
    </fill>
    <fill>
      <patternFill patternType="solid">
        <fgColor theme="5" tint="0.79998168889431442"/>
        <bgColor indexed="64"/>
      </patternFill>
    </fill>
    <fill>
      <patternFill patternType="solid">
        <fgColor theme="2" tint="-0.89999084444715716"/>
        <bgColor indexed="64"/>
      </patternFill>
    </fill>
    <fill>
      <patternFill patternType="solid">
        <fgColor theme="0"/>
        <bgColor indexed="64"/>
      </patternFill>
    </fill>
    <fill>
      <patternFill patternType="solid">
        <fgColor theme="1"/>
        <bgColor indexed="64"/>
      </patternFill>
    </fill>
    <fill>
      <patternFill patternType="solid">
        <fgColor rgb="FFDE0000"/>
        <bgColor indexed="64"/>
      </patternFill>
    </fill>
    <fill>
      <patternFill patternType="solid">
        <fgColor indexed="44"/>
        <bgColor indexed="64"/>
      </patternFill>
    </fill>
  </fills>
  <borders count="29">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43" fontId="4" fillId="0" borderId="0" applyFont="0" applyFill="0" applyBorder="0" applyAlignment="0" applyProtection="0"/>
    <xf numFmtId="0" fontId="4" fillId="0" borderId="0"/>
    <xf numFmtId="0" fontId="1" fillId="0" borderId="0"/>
    <xf numFmtId="43" fontId="1" fillId="0" borderId="0" applyFont="0" applyFill="0" applyBorder="0" applyAlignment="0" applyProtection="0"/>
    <xf numFmtId="0" fontId="4" fillId="0" borderId="0"/>
    <xf numFmtId="0" fontId="4" fillId="0" borderId="0"/>
    <xf numFmtId="0" fontId="35" fillId="0" borderId="0" applyNumberFormat="0" applyFill="0" applyBorder="0" applyAlignment="0" applyProtection="0"/>
  </cellStyleXfs>
  <cellXfs count="251">
    <xf numFmtId="0" fontId="0" fillId="0" borderId="0" xfId="0"/>
    <xf numFmtId="0" fontId="0" fillId="9" borderId="0" xfId="0" applyFill="1"/>
    <xf numFmtId="0" fontId="16" fillId="0" borderId="0" xfId="0" applyFont="1"/>
    <xf numFmtId="0" fontId="0" fillId="10" borderId="0" xfId="0" applyFill="1"/>
    <xf numFmtId="0" fontId="4" fillId="0" borderId="0" xfId="3"/>
    <xf numFmtId="0" fontId="5" fillId="0" borderId="0" xfId="3" applyFont="1" applyAlignment="1">
      <alignment horizontal="center"/>
    </xf>
    <xf numFmtId="0" fontId="5" fillId="3" borderId="0" xfId="3" applyFont="1" applyFill="1" applyAlignment="1">
      <alignment horizontal="center"/>
    </xf>
    <xf numFmtId="0" fontId="5" fillId="4" borderId="0" xfId="3" applyFont="1" applyFill="1" applyAlignment="1">
      <alignment horizontal="center"/>
    </xf>
    <xf numFmtId="0" fontId="5" fillId="5" borderId="0" xfId="3" applyFont="1" applyFill="1" applyAlignment="1">
      <alignment horizontal="center"/>
    </xf>
    <xf numFmtId="0" fontId="5" fillId="0" borderId="0" xfId="3" applyFont="1"/>
    <xf numFmtId="0" fontId="9" fillId="0" borderId="0" xfId="3" applyFont="1"/>
    <xf numFmtId="2" fontId="0" fillId="10" borderId="0" xfId="0" applyNumberFormat="1" applyFill="1"/>
    <xf numFmtId="0" fontId="0" fillId="11" borderId="0" xfId="0" applyFill="1"/>
    <xf numFmtId="165" fontId="0" fillId="9" borderId="0" xfId="0" applyNumberFormat="1" applyFill="1"/>
    <xf numFmtId="0" fontId="5" fillId="0" borderId="0" xfId="3" applyFont="1" applyAlignment="1">
      <alignment horizontal="right"/>
    </xf>
    <xf numFmtId="0" fontId="4" fillId="0" borderId="0" xfId="3" applyAlignment="1">
      <alignment horizontal="center"/>
    </xf>
    <xf numFmtId="164" fontId="0" fillId="9" borderId="0" xfId="0" applyNumberFormat="1" applyFill="1"/>
    <xf numFmtId="2" fontId="0" fillId="9" borderId="0" xfId="0" applyNumberFormat="1" applyFill="1"/>
    <xf numFmtId="1" fontId="0" fillId="9" borderId="0" xfId="0" applyNumberFormat="1" applyFill="1"/>
    <xf numFmtId="0" fontId="15" fillId="0" borderId="0" xfId="0" applyFont="1"/>
    <xf numFmtId="164" fontId="0" fillId="0" borderId="0" xfId="0" applyNumberFormat="1"/>
    <xf numFmtId="11" fontId="14" fillId="10" borderId="0" xfId="0" applyNumberFormat="1" applyFont="1" applyFill="1"/>
    <xf numFmtId="0" fontId="17" fillId="0" borderId="0" xfId="0" applyFont="1"/>
    <xf numFmtId="2" fontId="0" fillId="0" borderId="0" xfId="0" applyNumberFormat="1"/>
    <xf numFmtId="167" fontId="0" fillId="9" borderId="0" xfId="0" applyNumberFormat="1" applyFill="1"/>
    <xf numFmtId="11" fontId="0" fillId="9" borderId="0" xfId="0" applyNumberFormat="1" applyFill="1"/>
    <xf numFmtId="0" fontId="5" fillId="0" borderId="0" xfId="3" applyFont="1" applyAlignment="1">
      <alignment horizontal="left"/>
    </xf>
    <xf numFmtId="166" fontId="0" fillId="9" borderId="0" xfId="0" applyNumberFormat="1" applyFill="1"/>
    <xf numFmtId="0" fontId="14" fillId="10" borderId="0" xfId="0" applyFont="1" applyFill="1"/>
    <xf numFmtId="0" fontId="19" fillId="0" borderId="0" xfId="0" applyFont="1"/>
    <xf numFmtId="0" fontId="21" fillId="0" borderId="0" xfId="0" applyFont="1"/>
    <xf numFmtId="0" fontId="0" fillId="12" borderId="0" xfId="0" applyFill="1"/>
    <xf numFmtId="1" fontId="0" fillId="0" borderId="0" xfId="0" applyNumberFormat="1"/>
    <xf numFmtId="0" fontId="22" fillId="0" borderId="0" xfId="0" applyFont="1"/>
    <xf numFmtId="0" fontId="23" fillId="0" borderId="0" xfId="0" applyFont="1"/>
    <xf numFmtId="168" fontId="0" fillId="0" borderId="0" xfId="0" applyNumberFormat="1"/>
    <xf numFmtId="169" fontId="0" fillId="0" borderId="0" xfId="0" applyNumberFormat="1"/>
    <xf numFmtId="0" fontId="0" fillId="0" borderId="13" xfId="0" applyBorder="1"/>
    <xf numFmtId="0" fontId="0" fillId="14" borderId="0" xfId="0" applyFill="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4" fillId="0" borderId="0" xfId="3" applyAlignment="1">
      <alignment horizontal="left"/>
    </xf>
    <xf numFmtId="0" fontId="4" fillId="0" borderId="8" xfId="3" applyBorder="1" applyAlignment="1">
      <alignment horizontal="left"/>
    </xf>
    <xf numFmtId="0" fontId="0" fillId="14" borderId="13" xfId="0" applyFill="1" applyBorder="1"/>
    <xf numFmtId="0" fontId="0" fillId="0" borderId="19" xfId="0" applyBorder="1"/>
    <xf numFmtId="0" fontId="0" fillId="14" borderId="15" xfId="0" applyFill="1" applyBorder="1"/>
    <xf numFmtId="0" fontId="0" fillId="0" borderId="20" xfId="0" applyBorder="1" applyAlignment="1">
      <alignment horizontal="center" wrapText="1"/>
    </xf>
    <xf numFmtId="0" fontId="0" fillId="0" borderId="21" xfId="0" applyBorder="1"/>
    <xf numFmtId="0" fontId="0" fillId="0" borderId="22" xfId="0" applyBorder="1"/>
    <xf numFmtId="0" fontId="14" fillId="0" borderId="0" xfId="0" applyFont="1"/>
    <xf numFmtId="0" fontId="0" fillId="6" borderId="0" xfId="0" applyFill="1" applyProtection="1">
      <protection hidden="1"/>
    </xf>
    <xf numFmtId="0" fontId="10" fillId="6" borderId="0" xfId="0" applyFont="1" applyFill="1" applyAlignment="1" applyProtection="1">
      <alignment horizontal="left" vertical="center"/>
      <protection hidden="1"/>
    </xf>
    <xf numFmtId="0" fontId="0" fillId="6" borderId="0" xfId="0" applyFill="1" applyAlignment="1" applyProtection="1">
      <alignment horizontal="right"/>
      <protection hidden="1"/>
    </xf>
    <xf numFmtId="0" fontId="14" fillId="8" borderId="0" xfId="0" applyFont="1" applyFill="1" applyProtection="1">
      <protection hidden="1"/>
    </xf>
    <xf numFmtId="0" fontId="0" fillId="15" borderId="0" xfId="0" applyFill="1" applyProtection="1">
      <protection hidden="1"/>
    </xf>
    <xf numFmtId="0" fontId="0" fillId="8" borderId="0" xfId="0" applyFill="1" applyProtection="1">
      <protection hidden="1"/>
    </xf>
    <xf numFmtId="0" fontId="0" fillId="8" borderId="0" xfId="0" applyFill="1" applyAlignment="1" applyProtection="1">
      <alignment horizontal="right"/>
      <protection hidden="1"/>
    </xf>
    <xf numFmtId="0" fontId="2" fillId="8" borderId="0" xfId="0" applyFont="1" applyFill="1" applyProtection="1">
      <protection hidden="1"/>
    </xf>
    <xf numFmtId="0" fontId="0" fillId="7" borderId="0" xfId="0" applyFill="1" applyProtection="1">
      <protection hidden="1"/>
    </xf>
    <xf numFmtId="0" fontId="2" fillId="8" borderId="0" xfId="0" quotePrefix="1" applyFont="1" applyFill="1" applyProtection="1">
      <protection hidden="1"/>
    </xf>
    <xf numFmtId="0" fontId="0" fillId="8" borderId="1" xfId="0" applyFill="1" applyBorder="1" applyProtection="1">
      <protection hidden="1"/>
    </xf>
    <xf numFmtId="0" fontId="0" fillId="8" borderId="1" xfId="0" applyFill="1" applyBorder="1" applyAlignment="1" applyProtection="1">
      <alignment horizontal="right"/>
      <protection hidden="1"/>
    </xf>
    <xf numFmtId="0" fontId="14" fillId="8" borderId="1" xfId="0" applyFont="1" applyFill="1" applyBorder="1" applyProtection="1">
      <protection hidden="1"/>
    </xf>
    <xf numFmtId="0" fontId="0" fillId="15" borderId="1" xfId="0" applyFill="1" applyBorder="1" applyProtection="1">
      <protection hidden="1"/>
    </xf>
    <xf numFmtId="0" fontId="0" fillId="16" borderId="0" xfId="0" applyFill="1" applyProtection="1">
      <protection hidden="1"/>
    </xf>
    <xf numFmtId="0" fontId="0" fillId="16" borderId="0" xfId="0" applyFill="1" applyAlignment="1" applyProtection="1">
      <alignment horizontal="right"/>
      <protection hidden="1"/>
    </xf>
    <xf numFmtId="49" fontId="0" fillId="16" borderId="0" xfId="0" applyNumberFormat="1" applyFill="1" applyProtection="1">
      <protection hidden="1"/>
    </xf>
    <xf numFmtId="0" fontId="15" fillId="16" borderId="0" xfId="0" applyFont="1" applyFill="1" applyProtection="1">
      <protection hidden="1"/>
    </xf>
    <xf numFmtId="0" fontId="0" fillId="16" borderId="2" xfId="0" applyFill="1" applyBorder="1" applyProtection="1">
      <protection hidden="1"/>
    </xf>
    <xf numFmtId="0" fontId="0" fillId="16" borderId="3" xfId="0" applyFill="1" applyBorder="1" applyProtection="1">
      <protection hidden="1"/>
    </xf>
    <xf numFmtId="0" fontId="12" fillId="16" borderId="3" xfId="3" applyFont="1" applyFill="1" applyBorder="1" applyAlignment="1" applyProtection="1">
      <alignment horizontal="right"/>
      <protection hidden="1"/>
    </xf>
    <xf numFmtId="0" fontId="0" fillId="16" borderId="4" xfId="0" applyFill="1" applyBorder="1" applyProtection="1">
      <protection hidden="1"/>
    </xf>
    <xf numFmtId="0" fontId="0" fillId="16" borderId="5" xfId="0" applyFill="1" applyBorder="1" applyProtection="1">
      <protection hidden="1"/>
    </xf>
    <xf numFmtId="0" fontId="12" fillId="16" borderId="0" xfId="3" applyFont="1" applyFill="1" applyAlignment="1" applyProtection="1">
      <alignment horizontal="right"/>
      <protection hidden="1"/>
    </xf>
    <xf numFmtId="0" fontId="0" fillId="16" borderId="6" xfId="0" applyFill="1" applyBorder="1" applyProtection="1">
      <protection hidden="1"/>
    </xf>
    <xf numFmtId="0" fontId="12" fillId="16" borderId="5" xfId="0" applyFont="1" applyFill="1" applyBorder="1" applyProtection="1">
      <protection hidden="1"/>
    </xf>
    <xf numFmtId="0" fontId="12" fillId="16" borderId="0" xfId="0" applyFont="1" applyFill="1" applyProtection="1">
      <protection hidden="1"/>
    </xf>
    <xf numFmtId="0" fontId="12" fillId="16" borderId="0" xfId="0" applyFont="1" applyFill="1" applyAlignment="1" applyProtection="1">
      <alignment horizontal="right"/>
      <protection hidden="1"/>
    </xf>
    <xf numFmtId="0" fontId="12" fillId="16" borderId="7" xfId="0" applyFont="1" applyFill="1" applyBorder="1" applyProtection="1">
      <protection hidden="1"/>
    </xf>
    <xf numFmtId="0" fontId="12" fillId="16" borderId="8" xfId="0" applyFont="1" applyFill="1" applyBorder="1" applyProtection="1">
      <protection hidden="1"/>
    </xf>
    <xf numFmtId="0" fontId="0" fillId="16" borderId="8" xfId="0" applyFill="1" applyBorder="1" applyProtection="1">
      <protection hidden="1"/>
    </xf>
    <xf numFmtId="0" fontId="12" fillId="16" borderId="8" xfId="0" applyFont="1" applyFill="1" applyBorder="1" applyAlignment="1" applyProtection="1">
      <alignment horizontal="right"/>
      <protection hidden="1"/>
    </xf>
    <xf numFmtId="0" fontId="0" fillId="16" borderId="9" xfId="0" applyFill="1" applyBorder="1" applyProtection="1">
      <protection hidden="1"/>
    </xf>
    <xf numFmtId="0" fontId="12" fillId="16" borderId="2" xfId="0" applyFont="1" applyFill="1" applyBorder="1" applyProtection="1">
      <protection hidden="1"/>
    </xf>
    <xf numFmtId="0" fontId="12" fillId="16" borderId="3" xfId="0" applyFont="1" applyFill="1" applyBorder="1" applyProtection="1">
      <protection hidden="1"/>
    </xf>
    <xf numFmtId="0" fontId="0" fillId="16" borderId="7" xfId="0" applyFill="1" applyBorder="1" applyProtection="1">
      <protection hidden="1"/>
    </xf>
    <xf numFmtId="0" fontId="12" fillId="16" borderId="8" xfId="3" applyFont="1" applyFill="1" applyBorder="1" applyAlignment="1" applyProtection="1">
      <alignment horizontal="right"/>
      <protection hidden="1"/>
    </xf>
    <xf numFmtId="0" fontId="16" fillId="16" borderId="6" xfId="0" applyFont="1" applyFill="1" applyBorder="1" applyProtection="1">
      <protection hidden="1"/>
    </xf>
    <xf numFmtId="0" fontId="0" fillId="16" borderId="8" xfId="0" applyFill="1" applyBorder="1" applyAlignment="1" applyProtection="1">
      <alignment horizontal="right"/>
      <protection hidden="1"/>
    </xf>
    <xf numFmtId="0" fontId="16" fillId="16" borderId="9" xfId="0" applyFont="1" applyFill="1" applyBorder="1" applyProtection="1">
      <protection hidden="1"/>
    </xf>
    <xf numFmtId="0" fontId="0" fillId="16" borderId="3" xfId="0" applyFill="1" applyBorder="1" applyAlignment="1" applyProtection="1">
      <alignment horizontal="right"/>
      <protection hidden="1"/>
    </xf>
    <xf numFmtId="0" fontId="15" fillId="16" borderId="2" xfId="0" applyFont="1" applyFill="1" applyBorder="1" applyProtection="1">
      <protection hidden="1"/>
    </xf>
    <xf numFmtId="0" fontId="14" fillId="16" borderId="3" xfId="0" applyFont="1" applyFill="1" applyBorder="1" applyAlignment="1" applyProtection="1">
      <alignment horizontal="right"/>
      <protection hidden="1"/>
    </xf>
    <xf numFmtId="0" fontId="15" fillId="16" borderId="5" xfId="0" applyFont="1" applyFill="1" applyBorder="1" applyProtection="1">
      <protection hidden="1"/>
    </xf>
    <xf numFmtId="0" fontId="22" fillId="16" borderId="0" xfId="0" applyFont="1" applyFill="1" applyAlignment="1" applyProtection="1">
      <alignment horizontal="right"/>
      <protection hidden="1"/>
    </xf>
    <xf numFmtId="0" fontId="0" fillId="0" borderId="0" xfId="0" applyProtection="1">
      <protection hidden="1"/>
    </xf>
    <xf numFmtId="0" fontId="0" fillId="16" borderId="0" xfId="0" applyFill="1" applyAlignment="1" applyProtection="1">
      <alignment horizontal="center"/>
      <protection hidden="1"/>
    </xf>
    <xf numFmtId="0" fontId="0" fillId="16" borderId="6" xfId="0" applyFill="1" applyBorder="1" applyAlignment="1" applyProtection="1">
      <alignment horizontal="center"/>
      <protection hidden="1"/>
    </xf>
    <xf numFmtId="1" fontId="0" fillId="16" borderId="0" xfId="0" applyNumberFormat="1" applyFill="1" applyProtection="1">
      <protection hidden="1"/>
    </xf>
    <xf numFmtId="0" fontId="27" fillId="13" borderId="0" xfId="0" applyFont="1" applyFill="1" applyProtection="1">
      <protection hidden="1"/>
    </xf>
    <xf numFmtId="0" fontId="0" fillId="13" borderId="0" xfId="0" applyFill="1" applyProtection="1">
      <protection hidden="1"/>
    </xf>
    <xf numFmtId="0" fontId="0" fillId="13" borderId="0" xfId="0" applyFill="1" applyAlignment="1" applyProtection="1">
      <alignment horizontal="right"/>
      <protection hidden="1"/>
    </xf>
    <xf numFmtId="0" fontId="0" fillId="17" borderId="0" xfId="0" applyFill="1" applyProtection="1">
      <protection hidden="1"/>
    </xf>
    <xf numFmtId="0" fontId="30" fillId="16" borderId="0" xfId="0" applyFont="1" applyFill="1" applyAlignment="1" applyProtection="1">
      <alignment horizontal="left"/>
      <protection hidden="1"/>
    </xf>
    <xf numFmtId="0" fontId="4" fillId="16" borderId="3" xfId="3" applyFill="1" applyBorder="1" applyAlignment="1" applyProtection="1">
      <alignment horizontal="right"/>
      <protection hidden="1"/>
    </xf>
    <xf numFmtId="0" fontId="4" fillId="16" borderId="4" xfId="3" applyFill="1" applyBorder="1" applyProtection="1">
      <protection hidden="1"/>
    </xf>
    <xf numFmtId="0" fontId="4" fillId="16" borderId="0" xfId="3" applyFill="1" applyAlignment="1" applyProtection="1">
      <alignment horizontal="right"/>
      <protection hidden="1"/>
    </xf>
    <xf numFmtId="0" fontId="4" fillId="16" borderId="6" xfId="3" applyFill="1" applyBorder="1" applyProtection="1">
      <protection hidden="1"/>
    </xf>
    <xf numFmtId="0" fontId="4" fillId="16" borderId="8" xfId="3" applyFill="1" applyBorder="1" applyAlignment="1" applyProtection="1">
      <alignment horizontal="right"/>
      <protection hidden="1"/>
    </xf>
    <xf numFmtId="0" fontId="4" fillId="16" borderId="9" xfId="3" applyFill="1" applyBorder="1" applyProtection="1">
      <protection hidden="1"/>
    </xf>
    <xf numFmtId="0" fontId="0" fillId="15" borderId="0" xfId="0" applyFill="1" applyAlignment="1" applyProtection="1">
      <alignment horizontal="right"/>
      <protection hidden="1"/>
    </xf>
    <xf numFmtId="0" fontId="14" fillId="15" borderId="0" xfId="0" applyFont="1" applyFill="1" applyProtection="1">
      <protection hidden="1"/>
    </xf>
    <xf numFmtId="0" fontId="34" fillId="16" borderId="0" xfId="0" applyFont="1" applyFill="1" applyProtection="1">
      <protection hidden="1"/>
    </xf>
    <xf numFmtId="0" fontId="0" fillId="7" borderId="24" xfId="0" applyFill="1" applyBorder="1" applyProtection="1">
      <protection locked="0" hidden="1"/>
    </xf>
    <xf numFmtId="0" fontId="0" fillId="7" borderId="25" xfId="0" applyFill="1" applyBorder="1" applyProtection="1">
      <protection locked="0" hidden="1"/>
    </xf>
    <xf numFmtId="2" fontId="0" fillId="16" borderId="25" xfId="0" applyNumberFormat="1" applyFill="1" applyBorder="1" applyProtection="1">
      <protection hidden="1"/>
    </xf>
    <xf numFmtId="0" fontId="0" fillId="16" borderId="25" xfId="0" applyFill="1" applyBorder="1" applyProtection="1">
      <protection hidden="1"/>
    </xf>
    <xf numFmtId="164" fontId="0" fillId="0" borderId="25" xfId="0" applyNumberFormat="1" applyBorder="1" applyProtection="1">
      <protection hidden="1"/>
    </xf>
    <xf numFmtId="2" fontId="0" fillId="0" borderId="26" xfId="0" applyNumberFormat="1" applyBorder="1" applyProtection="1">
      <protection hidden="1"/>
    </xf>
    <xf numFmtId="1" fontId="0" fillId="16" borderId="25" xfId="0" applyNumberFormat="1" applyFill="1" applyBorder="1" applyProtection="1">
      <protection hidden="1"/>
    </xf>
    <xf numFmtId="2" fontId="0" fillId="16" borderId="26" xfId="0" applyNumberFormat="1" applyFill="1" applyBorder="1" applyProtection="1">
      <protection hidden="1"/>
    </xf>
    <xf numFmtId="0" fontId="0" fillId="7" borderId="26" xfId="0" applyFill="1" applyBorder="1" applyProtection="1">
      <protection locked="0" hidden="1"/>
    </xf>
    <xf numFmtId="2" fontId="0" fillId="0" borderId="25" xfId="0" applyNumberFormat="1" applyBorder="1" applyProtection="1">
      <protection hidden="1"/>
    </xf>
    <xf numFmtId="2" fontId="0" fillId="0" borderId="24" xfId="0" applyNumberFormat="1" applyBorder="1" applyProtection="1">
      <protection hidden="1"/>
    </xf>
    <xf numFmtId="1" fontId="0" fillId="0" borderId="26" xfId="0" applyNumberFormat="1" applyBorder="1" applyProtection="1">
      <protection hidden="1"/>
    </xf>
    <xf numFmtId="0" fontId="0" fillId="7" borderId="24" xfId="0" applyFill="1" applyBorder="1" applyAlignment="1" applyProtection="1">
      <alignment vertical="top"/>
      <protection hidden="1"/>
    </xf>
    <xf numFmtId="0" fontId="0" fillId="0" borderId="25" xfId="0" applyBorder="1" applyAlignment="1" applyProtection="1">
      <alignment vertical="top"/>
      <protection hidden="1"/>
    </xf>
    <xf numFmtId="0" fontId="0" fillId="16" borderId="25" xfId="0" applyFill="1" applyBorder="1" applyAlignment="1" applyProtection="1">
      <alignment horizontal="center"/>
      <protection hidden="1"/>
    </xf>
    <xf numFmtId="1" fontId="0" fillId="16" borderId="7" xfId="0" applyNumberFormat="1" applyFill="1" applyBorder="1" applyProtection="1">
      <protection hidden="1"/>
    </xf>
    <xf numFmtId="0" fontId="0" fillId="7" borderId="23" xfId="0" applyFill="1" applyBorder="1" applyProtection="1">
      <protection locked="0" hidden="1"/>
    </xf>
    <xf numFmtId="2" fontId="0" fillId="16" borderId="10" xfId="0" applyNumberFormat="1" applyFill="1" applyBorder="1" applyProtection="1">
      <protection hidden="1"/>
    </xf>
    <xf numFmtId="0" fontId="0" fillId="0" borderId="24" xfId="0" applyBorder="1" applyProtection="1">
      <protection hidden="1"/>
    </xf>
    <xf numFmtId="0" fontId="16" fillId="16" borderId="23" xfId="0" applyFont="1" applyFill="1" applyBorder="1" applyAlignment="1" applyProtection="1">
      <alignment horizontal="left"/>
      <protection hidden="1"/>
    </xf>
    <xf numFmtId="0" fontId="0" fillId="16" borderId="26" xfId="0" applyFill="1" applyBorder="1" applyAlignment="1" applyProtection="1">
      <alignment horizontal="left"/>
      <protection hidden="1"/>
    </xf>
    <xf numFmtId="48" fontId="0" fillId="0" borderId="0" xfId="0" applyNumberFormat="1"/>
    <xf numFmtId="0" fontId="0" fillId="7" borderId="26" xfId="0" applyFill="1" applyBorder="1" applyAlignment="1" applyProtection="1">
      <alignment horizontal="right"/>
      <protection locked="0" hidden="1"/>
    </xf>
    <xf numFmtId="0" fontId="3" fillId="3" borderId="0" xfId="3" applyFont="1" applyFill="1" applyAlignment="1">
      <alignment horizontal="right"/>
    </xf>
    <xf numFmtId="2" fontId="0" fillId="9" borderId="0" xfId="0" applyNumberFormat="1" applyFill="1" applyAlignment="1">
      <alignment horizontal="right"/>
    </xf>
    <xf numFmtId="168" fontId="0" fillId="16" borderId="10" xfId="0" applyNumberFormat="1" applyFill="1" applyBorder="1" applyProtection="1">
      <protection hidden="1"/>
    </xf>
    <xf numFmtId="1" fontId="0" fillId="16" borderId="26" xfId="0" applyNumberFormat="1" applyFill="1" applyBorder="1" applyProtection="1">
      <protection hidden="1"/>
    </xf>
    <xf numFmtId="4" fontId="0" fillId="16" borderId="25" xfId="0" applyNumberFormat="1" applyFill="1" applyBorder="1" applyProtection="1">
      <protection hidden="1"/>
    </xf>
    <xf numFmtId="0" fontId="36" fillId="0" borderId="0" xfId="0" applyFont="1"/>
    <xf numFmtId="0" fontId="37" fillId="0" borderId="0" xfId="0" applyFont="1" applyAlignment="1">
      <alignment horizontal="center"/>
    </xf>
    <xf numFmtId="0" fontId="37" fillId="0" borderId="0" xfId="0" applyFont="1" applyAlignment="1">
      <alignment horizontal="left"/>
    </xf>
    <xf numFmtId="0" fontId="38" fillId="0" borderId="0" xfId="0" applyFont="1"/>
    <xf numFmtId="0" fontId="39" fillId="0" borderId="0" xfId="8" applyFont="1" applyFill="1" applyBorder="1" applyAlignment="1">
      <alignment vertical="center"/>
    </xf>
    <xf numFmtId="0" fontId="39" fillId="0" borderId="0" xfId="8" applyFont="1" applyFill="1" applyBorder="1" applyAlignment="1">
      <alignment horizontal="right" vertical="center"/>
    </xf>
    <xf numFmtId="0" fontId="36" fillId="0" borderId="0" xfId="0" applyFont="1" applyAlignment="1">
      <alignment horizontal="center"/>
    </xf>
    <xf numFmtId="0" fontId="36" fillId="0" borderId="0" xfId="0" applyFont="1" applyAlignment="1">
      <alignment horizontal="left"/>
    </xf>
    <xf numFmtId="0" fontId="38" fillId="0" borderId="0" xfId="0" applyFont="1" applyAlignment="1">
      <alignment horizontal="center"/>
    </xf>
    <xf numFmtId="0" fontId="3" fillId="0" borderId="0" xfId="0" applyFont="1"/>
    <xf numFmtId="0" fontId="40" fillId="17" borderId="0" xfId="0" applyFont="1" applyFill="1" applyAlignment="1">
      <alignment horizontal="center"/>
    </xf>
    <xf numFmtId="0" fontId="41" fillId="0" borderId="0" xfId="8" applyFont="1" applyFill="1" applyBorder="1" applyAlignment="1">
      <alignment vertical="center"/>
    </xf>
    <xf numFmtId="49" fontId="38" fillId="0" borderId="0" xfId="0" applyNumberFormat="1" applyFont="1" applyAlignment="1">
      <alignment horizontal="center"/>
    </xf>
    <xf numFmtId="49" fontId="37" fillId="0" borderId="0" xfId="0" applyNumberFormat="1" applyFont="1" applyAlignment="1">
      <alignment horizontal="left"/>
    </xf>
    <xf numFmtId="0" fontId="5" fillId="0" borderId="0" xfId="3" applyFont="1" applyAlignment="1" applyProtection="1">
      <alignment horizontal="center"/>
      <protection hidden="1"/>
    </xf>
    <xf numFmtId="0" fontId="5" fillId="3" borderId="0" xfId="3" applyFont="1" applyFill="1" applyAlignment="1" applyProtection="1">
      <alignment horizontal="center"/>
      <protection hidden="1"/>
    </xf>
    <xf numFmtId="0" fontId="4" fillId="0" borderId="0" xfId="3" applyProtection="1">
      <protection hidden="1"/>
    </xf>
    <xf numFmtId="0" fontId="5" fillId="4" borderId="0" xfId="3" applyFont="1" applyFill="1" applyAlignment="1" applyProtection="1">
      <alignment horizontal="center"/>
      <protection hidden="1"/>
    </xf>
    <xf numFmtId="0" fontId="5" fillId="0" borderId="0" xfId="3" applyFont="1" applyAlignment="1" applyProtection="1">
      <alignment horizontal="right"/>
      <protection hidden="1"/>
    </xf>
    <xf numFmtId="0" fontId="4" fillId="0" borderId="0" xfId="3" applyAlignment="1" applyProtection="1">
      <alignment horizontal="center"/>
      <protection hidden="1"/>
    </xf>
    <xf numFmtId="0" fontId="5" fillId="0" borderId="0" xfId="3" applyFont="1" applyAlignment="1" applyProtection="1">
      <alignment horizontal="left"/>
      <protection hidden="1"/>
    </xf>
    <xf numFmtId="0" fontId="5" fillId="5" borderId="0" xfId="3" applyFont="1" applyFill="1" applyAlignment="1" applyProtection="1">
      <alignment horizontal="center"/>
      <protection hidden="1"/>
    </xf>
    <xf numFmtId="0" fontId="0" fillId="0" borderId="10" xfId="0" applyBorder="1" applyProtection="1">
      <protection hidden="1"/>
    </xf>
    <xf numFmtId="0" fontId="0" fillId="0" borderId="12" xfId="0" applyBorder="1" applyProtection="1">
      <protection hidden="1"/>
    </xf>
    <xf numFmtId="0" fontId="0" fillId="0" borderId="5" xfId="0" applyBorder="1" applyProtection="1">
      <protection hidden="1"/>
    </xf>
    <xf numFmtId="0" fontId="0" fillId="0" borderId="6" xfId="0" applyBorder="1" applyProtection="1">
      <protection hidden="1"/>
    </xf>
    <xf numFmtId="0" fontId="5" fillId="0" borderId="0" xfId="3" applyFont="1" applyProtection="1">
      <protection hidden="1"/>
    </xf>
    <xf numFmtId="0" fontId="4" fillId="0" borderId="5" xfId="3" applyBorder="1" applyProtection="1">
      <protection hidden="1"/>
    </xf>
    <xf numFmtId="0" fontId="4" fillId="0" borderId="6" xfId="3" applyBorder="1" applyProtection="1">
      <protection hidden="1"/>
    </xf>
    <xf numFmtId="164" fontId="4" fillId="0" borderId="11" xfId="3" applyNumberFormat="1" applyBorder="1" applyProtection="1">
      <protection hidden="1"/>
    </xf>
    <xf numFmtId="0" fontId="4" fillId="0" borderId="11" xfId="3" applyBorder="1" applyProtection="1">
      <protection hidden="1"/>
    </xf>
    <xf numFmtId="0" fontId="0" fillId="0" borderId="11" xfId="0" applyBorder="1" applyProtection="1">
      <protection hidden="1"/>
    </xf>
    <xf numFmtId="0" fontId="4" fillId="0" borderId="10" xfId="3" applyBorder="1" applyProtection="1">
      <protection hidden="1"/>
    </xf>
    <xf numFmtId="164" fontId="0" fillId="0" borderId="11" xfId="0" applyNumberFormat="1" applyBorder="1" applyProtection="1">
      <protection hidden="1"/>
    </xf>
    <xf numFmtId="0" fontId="26" fillId="0" borderId="0" xfId="3" applyFont="1" applyProtection="1">
      <protection hidden="1"/>
    </xf>
    <xf numFmtId="0" fontId="0" fillId="0" borderId="2" xfId="0" applyBorder="1" applyProtection="1">
      <protection hidden="1"/>
    </xf>
    <xf numFmtId="1" fontId="0" fillId="0" borderId="4" xfId="0" applyNumberFormat="1" applyBorder="1" applyProtection="1">
      <protection hidden="1"/>
    </xf>
    <xf numFmtId="164" fontId="4" fillId="0" borderId="3" xfId="3" applyNumberFormat="1" applyBorder="1" applyProtection="1">
      <protection hidden="1"/>
    </xf>
    <xf numFmtId="0" fontId="4" fillId="0" borderId="3" xfId="3" applyBorder="1" applyProtection="1">
      <protection hidden="1"/>
    </xf>
    <xf numFmtId="0" fontId="0" fillId="0" borderId="3" xfId="0" applyBorder="1" applyProtection="1">
      <protection hidden="1"/>
    </xf>
    <xf numFmtId="0" fontId="4" fillId="0" borderId="2" xfId="3" applyBorder="1" applyProtection="1">
      <protection hidden="1"/>
    </xf>
    <xf numFmtId="164" fontId="0" fillId="0" borderId="3" xfId="0" applyNumberFormat="1" applyBorder="1" applyProtection="1">
      <protection hidden="1"/>
    </xf>
    <xf numFmtId="0" fontId="0" fillId="0" borderId="4" xfId="0" applyBorder="1" applyProtection="1">
      <protection hidden="1"/>
    </xf>
    <xf numFmtId="0" fontId="0" fillId="10" borderId="0" xfId="0" applyFill="1" applyProtection="1">
      <protection hidden="1"/>
    </xf>
    <xf numFmtId="1" fontId="0" fillId="0" borderId="6" xfId="0" applyNumberFormat="1" applyBorder="1" applyProtection="1">
      <protection hidden="1"/>
    </xf>
    <xf numFmtId="164" fontId="4" fillId="0" borderId="0" xfId="3" applyNumberFormat="1" applyProtection="1">
      <protection hidden="1"/>
    </xf>
    <xf numFmtId="164" fontId="0" fillId="0" borderId="0" xfId="0" applyNumberFormat="1" applyProtection="1">
      <protection hidden="1"/>
    </xf>
    <xf numFmtId="0" fontId="0" fillId="0" borderId="7" xfId="0" applyBorder="1" applyProtection="1">
      <protection hidden="1"/>
    </xf>
    <xf numFmtId="1" fontId="0" fillId="0" borderId="9" xfId="0" applyNumberFormat="1" applyBorder="1" applyProtection="1">
      <protection hidden="1"/>
    </xf>
    <xf numFmtId="164" fontId="4" fillId="0" borderId="8" xfId="3" applyNumberFormat="1" applyBorder="1" applyProtection="1">
      <protection hidden="1"/>
    </xf>
    <xf numFmtId="0" fontId="4" fillId="0" borderId="8" xfId="3" applyBorder="1" applyProtection="1">
      <protection hidden="1"/>
    </xf>
    <xf numFmtId="0" fontId="0" fillId="0" borderId="8" xfId="0" applyBorder="1" applyProtection="1">
      <protection hidden="1"/>
    </xf>
    <xf numFmtId="0" fontId="4" fillId="0" borderId="7" xfId="3" applyBorder="1" applyProtection="1">
      <protection hidden="1"/>
    </xf>
    <xf numFmtId="164" fontId="0" fillId="0" borderId="8" xfId="0" applyNumberFormat="1" applyBorder="1" applyProtection="1">
      <protection hidden="1"/>
    </xf>
    <xf numFmtId="0" fontId="0" fillId="0" borderId="9" xfId="0" applyBorder="1" applyProtection="1">
      <protection hidden="1"/>
    </xf>
    <xf numFmtId="2" fontId="0" fillId="0" borderId="0" xfId="0" applyNumberFormat="1" applyProtection="1">
      <protection hidden="1"/>
    </xf>
    <xf numFmtId="0" fontId="25" fillId="0" borderId="0" xfId="0" applyFont="1" applyProtection="1">
      <protection hidden="1"/>
    </xf>
    <xf numFmtId="2" fontId="0" fillId="0" borderId="10" xfId="0" applyNumberFormat="1" applyBorder="1" applyProtection="1">
      <protection hidden="1"/>
    </xf>
    <xf numFmtId="2" fontId="0" fillId="0" borderId="5" xfId="0" applyNumberFormat="1" applyBorder="1" applyProtection="1">
      <protection hidden="1"/>
    </xf>
    <xf numFmtId="2" fontId="0" fillId="0" borderId="7" xfId="0" applyNumberFormat="1" applyBorder="1" applyProtection="1">
      <protection hidden="1"/>
    </xf>
    <xf numFmtId="0" fontId="4" fillId="0" borderId="9" xfId="3" applyBorder="1" applyProtection="1">
      <protection hidden="1"/>
    </xf>
    <xf numFmtId="0" fontId="0" fillId="12" borderId="0" xfId="0" applyFill="1" applyProtection="1">
      <protection hidden="1"/>
    </xf>
    <xf numFmtId="0" fontId="16" fillId="0" borderId="0" xfId="0" applyFont="1" applyProtection="1">
      <protection hidden="1"/>
    </xf>
    <xf numFmtId="0" fontId="0" fillId="11" borderId="0" xfId="0" applyFill="1" applyProtection="1">
      <protection hidden="1"/>
    </xf>
    <xf numFmtId="164" fontId="0" fillId="9" borderId="0" xfId="0" applyNumberFormat="1" applyFill="1" applyProtection="1">
      <protection hidden="1"/>
    </xf>
    <xf numFmtId="1" fontId="0" fillId="9" borderId="0" xfId="0" applyNumberFormat="1" applyFill="1" applyProtection="1">
      <protection hidden="1"/>
    </xf>
    <xf numFmtId="2" fontId="0" fillId="9" borderId="0" xfId="0" applyNumberFormat="1" applyFill="1" applyProtection="1">
      <protection hidden="1"/>
    </xf>
    <xf numFmtId="0" fontId="0" fillId="9" borderId="0" xfId="0" applyFill="1" applyProtection="1">
      <protection hidden="1"/>
    </xf>
    <xf numFmtId="0" fontId="24" fillId="0" borderId="0" xfId="0" applyFont="1" applyProtection="1">
      <protection hidden="1"/>
    </xf>
    <xf numFmtId="0" fontId="0" fillId="19" borderId="0" xfId="0" applyFill="1"/>
    <xf numFmtId="0" fontId="0" fillId="0" borderId="5" xfId="0" applyBorder="1"/>
    <xf numFmtId="0" fontId="5" fillId="0" borderId="0" xfId="0" applyFont="1"/>
    <xf numFmtId="2" fontId="3" fillId="0" borderId="0" xfId="0" quotePrefix="1" applyNumberFormat="1" applyFont="1"/>
    <xf numFmtId="0" fontId="0" fillId="0" borderId="0" xfId="0" applyAlignment="1">
      <alignment horizontal="left"/>
    </xf>
    <xf numFmtId="0" fontId="5" fillId="0" borderId="0" xfId="0" applyFont="1" applyAlignment="1">
      <alignment horizontal="left"/>
    </xf>
    <xf numFmtId="164" fontId="0" fillId="0" borderId="26" xfId="0" applyNumberFormat="1" applyBorder="1" applyAlignment="1" applyProtection="1">
      <alignment horizontal="right"/>
      <protection hidden="1"/>
    </xf>
    <xf numFmtId="168" fontId="0" fillId="16" borderId="25" xfId="0" applyNumberFormat="1" applyFill="1" applyBorder="1" applyProtection="1">
      <protection hidden="1"/>
    </xf>
    <xf numFmtId="0" fontId="0" fillId="0" borderId="27" xfId="0" applyBorder="1"/>
    <xf numFmtId="0" fontId="0" fillId="0" borderId="28" xfId="0" applyBorder="1"/>
    <xf numFmtId="0" fontId="0" fillId="0" borderId="24" xfId="0" applyBorder="1"/>
    <xf numFmtId="0" fontId="4" fillId="0" borderId="25" xfId="3" applyBorder="1"/>
    <xf numFmtId="2" fontId="4" fillId="0" borderId="25" xfId="3" applyNumberFormat="1" applyBorder="1" applyAlignment="1">
      <alignment horizontal="center"/>
    </xf>
    <xf numFmtId="0" fontId="38" fillId="0" borderId="0" xfId="0" applyFont="1" applyAlignment="1">
      <alignment wrapText="1"/>
    </xf>
    <xf numFmtId="48" fontId="0" fillId="9" borderId="0" xfId="0" applyNumberFormat="1" applyFill="1"/>
    <xf numFmtId="0" fontId="35" fillId="8" borderId="0" xfId="8" applyFill="1" applyBorder="1" applyAlignment="1" applyProtection="1">
      <alignment horizontal="center"/>
      <protection hidden="1"/>
    </xf>
    <xf numFmtId="0" fontId="6" fillId="2" borderId="0" xfId="3" applyFont="1" applyFill="1" applyAlignment="1">
      <alignment horizontal="center"/>
    </xf>
    <xf numFmtId="0" fontId="5" fillId="0" borderId="0" xfId="3" applyFont="1" applyAlignment="1">
      <alignment horizontal="center"/>
    </xf>
    <xf numFmtId="0" fontId="0" fillId="0" borderId="20" xfId="0" applyBorder="1" applyAlignment="1">
      <alignment horizontal="center" wrapText="1"/>
    </xf>
    <xf numFmtId="0" fontId="0" fillId="0" borderId="21" xfId="0" applyBorder="1" applyAlignment="1">
      <alignment horizontal="center" wrapText="1"/>
    </xf>
    <xf numFmtId="0" fontId="0" fillId="0" borderId="22" xfId="0" applyBorder="1" applyAlignment="1">
      <alignment horizontal="center" wrapText="1"/>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5" xfId="0" applyBorder="1" applyAlignment="1" applyProtection="1">
      <alignment horizontal="center"/>
      <protection hidden="1"/>
    </xf>
    <xf numFmtId="0" fontId="0" fillId="0" borderId="0" xfId="0" applyAlignment="1" applyProtection="1">
      <alignment horizontal="center"/>
      <protection hidden="1"/>
    </xf>
    <xf numFmtId="0" fontId="0" fillId="0" borderId="6" xfId="0" applyBorder="1" applyAlignment="1" applyProtection="1">
      <alignment horizontal="center"/>
      <protection hidden="1"/>
    </xf>
    <xf numFmtId="0" fontId="22" fillId="0" borderId="10" xfId="0" applyFont="1" applyBorder="1" applyAlignment="1" applyProtection="1">
      <alignment horizontal="center"/>
      <protection hidden="1"/>
    </xf>
    <xf numFmtId="0" fontId="22" fillId="0" borderId="11" xfId="0" applyFont="1" applyBorder="1" applyAlignment="1" applyProtection="1">
      <alignment horizontal="center"/>
      <protection hidden="1"/>
    </xf>
    <xf numFmtId="0" fontId="22" fillId="0" borderId="12" xfId="0" applyFont="1" applyBorder="1" applyAlignment="1" applyProtection="1">
      <alignment horizontal="center"/>
      <protection hidden="1"/>
    </xf>
    <xf numFmtId="0" fontId="4" fillId="0" borderId="0" xfId="3" applyAlignment="1" applyProtection="1">
      <alignment horizontal="center"/>
      <protection hidden="1"/>
    </xf>
    <xf numFmtId="0" fontId="6" fillId="2" borderId="0" xfId="3" applyFont="1" applyFill="1" applyAlignment="1" applyProtection="1">
      <alignment horizontal="center"/>
      <protection hidden="1"/>
    </xf>
    <xf numFmtId="0" fontId="5" fillId="0" borderId="0" xfId="3" applyFont="1" applyAlignment="1" applyProtection="1">
      <alignment horizontal="center"/>
      <protection hidden="1"/>
    </xf>
    <xf numFmtId="0" fontId="36" fillId="0" borderId="0" xfId="0" applyFont="1" applyAlignment="1">
      <alignment horizontal="center"/>
    </xf>
    <xf numFmtId="0" fontId="36" fillId="18" borderId="0" xfId="0" applyFont="1" applyFill="1" applyAlignment="1">
      <alignment horizontal="center"/>
    </xf>
    <xf numFmtId="0" fontId="40" fillId="17" borderId="0" xfId="0" applyFont="1" applyFill="1" applyAlignment="1">
      <alignment horizontal="left"/>
    </xf>
    <xf numFmtId="0" fontId="38" fillId="0" borderId="0" xfId="0" applyFont="1" applyAlignment="1">
      <alignment horizontal="left"/>
    </xf>
    <xf numFmtId="0" fontId="38" fillId="0" borderId="0" xfId="0" applyFont="1" applyAlignment="1">
      <alignment wrapText="1"/>
    </xf>
  </cellXfs>
  <cellStyles count="9">
    <cellStyle name="Comma 2" xfId="5" xr:uid="{00000000-0005-0000-0000-000000000000}"/>
    <cellStyle name="Comma 3" xfId="2" xr:uid="{00000000-0005-0000-0000-000001000000}"/>
    <cellStyle name="Hyperlink" xfId="8" builtinId="8"/>
    <cellStyle name="Normal" xfId="0" builtinId="0"/>
    <cellStyle name="Normal 2" xfId="3" xr:uid="{00000000-0005-0000-0000-000003000000}"/>
    <cellStyle name="Normal 3" xfId="4" xr:uid="{00000000-0005-0000-0000-000004000000}"/>
    <cellStyle name="Normal 4" xfId="1" xr:uid="{00000000-0005-0000-0000-000005000000}"/>
    <cellStyle name="Normal 4 2" xfId="7" xr:uid="{00000000-0005-0000-0000-000006000000}"/>
    <cellStyle name="Normal 4 3" xfId="6" xr:uid="{00000000-0005-0000-0000-000007000000}"/>
  </cellStyles>
  <dxfs count="11">
    <dxf>
      <fill>
        <patternFill>
          <bgColor rgb="FFFF0000"/>
        </patternFill>
      </fill>
    </dxf>
    <dxf>
      <fill>
        <patternFill>
          <bgColor rgb="FFFF0000"/>
        </patternFill>
      </fill>
    </dxf>
    <dxf>
      <font>
        <color rgb="FFC00000"/>
      </font>
      <fill>
        <patternFill>
          <bgColor theme="5" tint="0.59996337778862885"/>
        </patternFill>
      </fill>
    </dxf>
    <dxf>
      <font>
        <color rgb="FF9C0006"/>
      </font>
      <fill>
        <patternFill>
          <bgColor rgb="FFFFC7CE"/>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ont>
        <color auto="1"/>
      </font>
      <fill>
        <patternFill>
          <bgColor rgb="FFFFC000"/>
        </patternFill>
      </fill>
    </dxf>
    <dxf>
      <fill>
        <patternFill>
          <bgColor rgb="FFFF0000"/>
        </patternFill>
      </fill>
    </dxf>
  </dxfs>
  <tableStyles count="0" defaultTableStyle="TableStyleMedium2" defaultPivotStyle="PivotStyleLight16"/>
  <colors>
    <mruColors>
      <color rgb="FF9C0006"/>
      <color rgb="FFFFC7CE"/>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Bode Plot</a:t>
            </a:r>
          </a:p>
        </c:rich>
      </c:tx>
      <c:layout>
        <c:manualLayout>
          <c:xMode val="edge"/>
          <c:yMode val="edge"/>
          <c:x val="9.4354157174953393E-2"/>
          <c:y val="3.9916010498687662E-3"/>
        </c:manualLayout>
      </c:layout>
      <c:overlay val="0"/>
    </c:title>
    <c:autoTitleDeleted val="0"/>
    <c:plotArea>
      <c:layout>
        <c:manualLayout>
          <c:layoutTarget val="inner"/>
          <c:xMode val="edge"/>
          <c:yMode val="edge"/>
          <c:x val="9.0594052720499751E-2"/>
          <c:y val="8.9158108013693851E-2"/>
          <c:w val="0.80965876742891785"/>
          <c:h val="0.76159168715027026"/>
        </c:manualLayout>
      </c:layout>
      <c:scatterChart>
        <c:scatterStyle val="smoothMarker"/>
        <c:varyColors val="0"/>
        <c:ser>
          <c:idx val="0"/>
          <c:order val="0"/>
          <c:tx>
            <c:v>Gain (dB)</c:v>
          </c:tx>
          <c:spPr>
            <a:ln w="28575">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Loop_Modeling!$AT$19:$AT$560</c:f>
              <c:numCache>
                <c:formatCode>0.000</c:formatCode>
                <c:ptCount val="542"/>
                <c:pt idx="0">
                  <c:v>38.924669807279912</c:v>
                </c:pt>
                <c:pt idx="1">
                  <c:v>38.623105316232675</c:v>
                </c:pt>
                <c:pt idx="2">
                  <c:v>38.322057690541641</c:v>
                </c:pt>
                <c:pt idx="3">
                  <c:v>38.021602137363629</c:v>
                </c:pt>
                <c:pt idx="4">
                  <c:v>37.721812370781919</c:v>
                </c:pt>
                <c:pt idx="5">
                  <c:v>37.422760431881066</c:v>
                </c:pt>
                <c:pt idx="6">
                  <c:v>37.124516515316223</c:v>
                </c:pt>
                <c:pt idx="7">
                  <c:v>36.827148803103867</c:v>
                </c:pt>
                <c:pt idx="8">
                  <c:v>36.530723306341123</c:v>
                </c:pt>
                <c:pt idx="9">
                  <c:v>36.235303715538137</c:v>
                </c:pt>
                <c:pt idx="10">
                  <c:v>35.94095126022151</c:v>
                </c:pt>
                <c:pt idx="11">
                  <c:v>35.647724578428353</c:v>
                </c:pt>
                <c:pt idx="12">
                  <c:v>35.35567959667425</c:v>
                </c:pt>
                <c:pt idx="13">
                  <c:v>35.064869420929071</c:v>
                </c:pt>
                <c:pt idx="14">
                  <c:v>34.775344239080283</c:v>
                </c:pt>
                <c:pt idx="15">
                  <c:v>34.487151235304438</c:v>
                </c:pt>
                <c:pt idx="16">
                  <c:v>34.20033451670173</c:v>
                </c:pt>
                <c:pt idx="17">
                  <c:v>33.91493505247314</c:v>
                </c:pt>
                <c:pt idx="18">
                  <c:v>33.630990625848568</c:v>
                </c:pt>
                <c:pt idx="19">
                  <c:v>33.348535798885671</c:v>
                </c:pt>
                <c:pt idx="20">
                  <c:v>33.067601890180804</c:v>
                </c:pt>
                <c:pt idx="21">
                  <c:v>32.788216965443539</c:v>
                </c:pt>
                <c:pt idx="22">
                  <c:v>32.510405840798285</c:v>
                </c:pt>
                <c:pt idx="23">
                  <c:v>32.234190098589586</c:v>
                </c:pt>
                <c:pt idx="24">
                  <c:v>31.959588115380519</c:v>
                </c:pt>
                <c:pt idx="25">
                  <c:v>31.686615101750462</c:v>
                </c:pt>
                <c:pt idx="26">
                  <c:v>31.415283153417292</c:v>
                </c:pt>
                <c:pt idx="27">
                  <c:v>31.145601313135355</c:v>
                </c:pt>
                <c:pt idx="28">
                  <c:v>30.877575642751292</c:v>
                </c:pt>
                <c:pt idx="29">
                  <c:v>30.611209304736615</c:v>
                </c:pt>
                <c:pt idx="30">
                  <c:v>30.346502652464196</c:v>
                </c:pt>
                <c:pt idx="31">
                  <c:v>30.083453328448794</c:v>
                </c:pt>
                <c:pt idx="32">
                  <c:v>29.822056369734476</c:v>
                </c:pt>
                <c:pt idx="33">
                  <c:v>29.562304319586865</c:v>
                </c:pt>
                <c:pt idx="34">
                  <c:v>29.304187344627934</c:v>
                </c:pt>
                <c:pt idx="35">
                  <c:v>29.047693356544141</c:v>
                </c:pt>
                <c:pt idx="36">
                  <c:v>28.792808137498227</c:v>
                </c:pt>
                <c:pt idx="37">
                  <c:v>28.539515468385229</c:v>
                </c:pt>
                <c:pt idx="38">
                  <c:v>28.287797259091402</c:v>
                </c:pt>
                <c:pt idx="39">
                  <c:v>28.037633679938953</c:v>
                </c:pt>
                <c:pt idx="40">
                  <c:v>27.78900329353176</c:v>
                </c:pt>
                <c:pt idx="41">
                  <c:v>27.541883186258737</c:v>
                </c:pt>
                <c:pt idx="42">
                  <c:v>27.296249098750231</c:v>
                </c:pt>
                <c:pt idx="43">
                  <c:v>27.052075554636271</c:v>
                </c:pt>
                <c:pt idx="44">
                  <c:v>26.80933598700264</c:v>
                </c:pt>
                <c:pt idx="45">
                  <c:v>26.568002861997773</c:v>
                </c:pt>
                <c:pt idx="46">
                  <c:v>26.328047799099309</c:v>
                </c:pt>
                <c:pt idx="47">
                  <c:v>26.089441687603685</c:v>
                </c:pt>
                <c:pt idx="48">
                  <c:v>25.852154798961923</c:v>
                </c:pt>
                <c:pt idx="49">
                  <c:v>25.616156894638902</c:v>
                </c:pt>
                <c:pt idx="50">
                  <c:v>25.381417329229436</c:v>
                </c:pt>
                <c:pt idx="51">
                  <c:v>25.147905148618797</c:v>
                </c:pt>
                <c:pt idx="52">
                  <c:v>24.915589183022448</c:v>
                </c:pt>
                <c:pt idx="53">
                  <c:v>24.684438134793055</c:v>
                </c:pt>
                <c:pt idx="54">
                  <c:v>24.45442066092415</c:v>
                </c:pt>
                <c:pt idx="55">
                  <c:v>24.225505450224027</c:v>
                </c:pt>
                <c:pt idx="56">
                  <c:v>23.997661295169578</c:v>
                </c:pt>
                <c:pt idx="57">
                  <c:v>23.770857158487324</c:v>
                </c:pt>
                <c:pt idx="58">
                  <c:v>23.545062234539106</c:v>
                </c:pt>
                <c:pt idx="59">
                  <c:v>23.320246005616433</c:v>
                </c:pt>
                <c:pt idx="60">
                  <c:v>23.096378293273368</c:v>
                </c:pt>
                <c:pt idx="61">
                  <c:v>22.873429304848266</c:v>
                </c:pt>
                <c:pt idx="62">
                  <c:v>22.651369675341705</c:v>
                </c:pt>
                <c:pt idx="63">
                  <c:v>22.43017050483175</c:v>
                </c:pt>
                <c:pt idx="64">
                  <c:v>22.209803391621428</c:v>
                </c:pt>
                <c:pt idx="65">
                  <c:v>21.990240461319281</c:v>
                </c:pt>
                <c:pt idx="66">
                  <c:v>21.771454392061848</c:v>
                </c:pt>
                <c:pt idx="67">
                  <c:v>21.553418436089778</c:v>
                </c:pt>
                <c:pt idx="68">
                  <c:v>21.336106437892507</c:v>
                </c:pt>
                <c:pt idx="69">
                  <c:v>21.119492849134396</c:v>
                </c:pt>
                <c:pt idx="70">
                  <c:v>20.903552740575289</c:v>
                </c:pt>
                <c:pt idx="71">
                  <c:v>20.688261811195559</c:v>
                </c:pt>
                <c:pt idx="72">
                  <c:v>20.473596394728052</c:v>
                </c:pt>
                <c:pt idx="73">
                  <c:v>20.259533463799638</c:v>
                </c:pt>
                <c:pt idx="74">
                  <c:v>20.046050631873861</c:v>
                </c:pt>
                <c:pt idx="75">
                  <c:v>19.833126153180775</c:v>
                </c:pt>
                <c:pt idx="76">
                  <c:v>19.62073892081424</c:v>
                </c:pt>
                <c:pt idx="77">
                  <c:v>19.408868463166598</c:v>
                </c:pt>
                <c:pt idx="78">
                  <c:v>19.197494938863372</c:v>
                </c:pt>
                <c:pt idx="79">
                  <c:v>18.986599130352868</c:v>
                </c:pt>
                <c:pt idx="80">
                  <c:v>18.776162436296072</c:v>
                </c:pt>
                <c:pt idx="81">
                  <c:v>18.566166862892999</c:v>
                </c:pt>
                <c:pt idx="82">
                  <c:v>18.356595014276799</c:v>
                </c:pt>
                <c:pt idx="83">
                  <c:v>18.147430082092157</c:v>
                </c:pt>
                <c:pt idx="84">
                  <c:v>17.938655834373961</c:v>
                </c:pt>
                <c:pt idx="85">
                  <c:v>17.730256603826593</c:v>
                </c:pt>
                <c:pt idx="86">
                  <c:v>17.522217275604262</c:v>
                </c:pt>
                <c:pt idx="87">
                  <c:v>17.314523274677121</c:v>
                </c:pt>
                <c:pt idx="88">
                  <c:v>17.107160552868098</c:v>
                </c:pt>
                <c:pt idx="89">
                  <c:v>16.900115575634306</c:v>
                </c:pt>
                <c:pt idx="90">
                  <c:v>16.693375308661416</c:v>
                </c:pt>
                <c:pt idx="91">
                  <c:v>16.486927204333476</c:v>
                </c:pt>
                <c:pt idx="92">
                  <c:v>16.280759188134773</c:v>
                </c:pt>
                <c:pt idx="93">
                  <c:v>16.074859645035499</c:v>
                </c:pt>
                <c:pt idx="94">
                  <c:v>15.869217405905598</c:v>
                </c:pt>
                <c:pt idx="95">
                  <c:v>15.663821734000097</c:v>
                </c:pt>
                <c:pt idx="96">
                  <c:v>15.458662311550311</c:v>
                </c:pt>
                <c:pt idx="97">
                  <c:v>15.253729226496036</c:v>
                </c:pt>
                <c:pt idx="98">
                  <c:v>15.049012959384971</c:v>
                </c:pt>
                <c:pt idx="99">
                  <c:v>14.844504370466382</c:v>
                </c:pt>
                <c:pt idx="100">
                  <c:v>14.640194686999257</c:v>
                </c:pt>
                <c:pt idx="101">
                  <c:v>14.436075490795538</c:v>
                </c:pt>
                <c:pt idx="102">
                  <c:v>14.232138706012506</c:v>
                </c:pt>
                <c:pt idx="103">
                  <c:v>14.028376587209788</c:v>
                </c:pt>
                <c:pt idx="104">
                  <c:v>13.824781707679538</c:v>
                </c:pt>
                <c:pt idx="105">
                  <c:v>13.621346948061966</c:v>
                </c:pt>
                <c:pt idx="106">
                  <c:v>13.418065485250688</c:v>
                </c:pt>
                <c:pt idx="107">
                  <c:v>13.214930781594687</c:v>
                </c:pt>
                <c:pt idx="108">
                  <c:v>13.01193657439978</c:v>
                </c:pt>
                <c:pt idx="109">
                  <c:v>12.809076865733239</c:v>
                </c:pt>
                <c:pt idx="110">
                  <c:v>12.606345912531287</c:v>
                </c:pt>
                <c:pt idx="111">
                  <c:v>12.403738217010487</c:v>
                </c:pt>
                <c:pt idx="112">
                  <c:v>12.20124851738162</c:v>
                </c:pt>
                <c:pt idx="113">
                  <c:v>11.998871778864208</c:v>
                </c:pt>
                <c:pt idx="114">
                  <c:v>11.79660318499927</c:v>
                </c:pt>
                <c:pt idx="115">
                  <c:v>11.594438129256591</c:v>
                </c:pt>
                <c:pt idx="116">
                  <c:v>11.392372206933549</c:v>
                </c:pt>
                <c:pt idx="117">
                  <c:v>11.190401207339606</c:v>
                </c:pt>
                <c:pt idx="118">
                  <c:v>10.988521106263358</c:v>
                </c:pt>
                <c:pt idx="119">
                  <c:v>10.786728058715383</c:v>
                </c:pt>
                <c:pt idx="120">
                  <c:v>10.585018391943297</c:v>
                </c:pt>
                <c:pt idx="121">
                  <c:v>10.383388598711036</c:v>
                </c:pt>
                <c:pt idx="122">
                  <c:v>10.181835330838602</c:v>
                </c:pt>
                <c:pt idx="123">
                  <c:v>9.9803553929952464</c:v>
                </c:pt>
                <c:pt idx="124">
                  <c:v>9.7789457367397237</c:v>
                </c:pt>
                <c:pt idx="125">
                  <c:v>9.5776034548024374</c:v>
                </c:pt>
                <c:pt idx="126">
                  <c:v>9.3763257756022078</c:v>
                </c:pt>
                <c:pt idx="127">
                  <c:v>9.1751100579924731</c:v>
                </c:pt>
                <c:pt idx="128">
                  <c:v>8.9739537862301475</c:v>
                </c:pt>
                <c:pt idx="129">
                  <c:v>8.7728545651605891</c:v>
                </c:pt>
                <c:pt idx="130">
                  <c:v>8.5718101156143671</c:v>
                </c:pt>
                <c:pt idx="131">
                  <c:v>8.3708182700079057</c:v>
                </c:pt>
                <c:pt idx="132">
                  <c:v>8.1698769681433099</c:v>
                </c:pt>
                <c:pt idx="133">
                  <c:v>7.9689842532020192</c:v>
                </c:pt>
                <c:pt idx="134">
                  <c:v>7.7681382679247175</c:v>
                </c:pt>
                <c:pt idx="135">
                  <c:v>7.5673372509754069</c:v>
                </c:pt>
                <c:pt idx="136">
                  <c:v>7.3665795334809889</c:v>
                </c:pt>
                <c:pt idx="137">
                  <c:v>7.1658635357437204</c:v>
                </c:pt>
                <c:pt idx="138">
                  <c:v>6.9651877641201523</c:v>
                </c:pt>
                <c:pt idx="139">
                  <c:v>6.7645508080630847</c:v>
                </c:pt>
                <c:pt idx="140">
                  <c:v>6.5639513373200149</c:v>
                </c:pt>
                <c:pt idx="141">
                  <c:v>6.3633880992864613</c:v>
                </c:pt>
                <c:pt idx="142">
                  <c:v>6.1628599165074309</c:v>
                </c:pt>
                <c:pt idx="143">
                  <c:v>5.9623656843247055</c:v>
                </c:pt>
                <c:pt idx="144">
                  <c:v>5.7619043686648839</c:v>
                </c:pt>
                <c:pt idx="145">
                  <c:v>5.5614750039659953</c:v>
                </c:pt>
                <c:pt idx="146">
                  <c:v>5.3610766912377823</c:v>
                </c:pt>
                <c:pt idx="147">
                  <c:v>5.1607085962539001</c:v>
                </c:pt>
                <c:pt idx="148">
                  <c:v>4.9603699478714569</c:v>
                </c:pt>
                <c:pt idx="149">
                  <c:v>4.76006003647651</c:v>
                </c:pt>
                <c:pt idx="150">
                  <c:v>4.5597782125522279</c:v>
                </c:pt>
                <c:pt idx="151">
                  <c:v>4.3595238853667331</c:v>
                </c:pt>
                <c:pt idx="152">
                  <c:v>4.1592965217801634</c:v>
                </c:pt>
                <c:pt idx="153">
                  <c:v>3.9590956451660819</c:v>
                </c:pt>
                <c:pt idx="154">
                  <c:v>3.7589208344489728</c:v>
                </c:pt>
                <c:pt idx="155">
                  <c:v>3.5587717232525429</c:v>
                </c:pt>
                <c:pt idx="156">
                  <c:v>3.3586479991603833</c:v>
                </c:pt>
                <c:pt idx="157">
                  <c:v>3.158549403085301</c:v>
                </c:pt>
                <c:pt idx="158">
                  <c:v>2.9584757287488284</c:v>
                </c:pt>
                <c:pt idx="159">
                  <c:v>2.7584268222666291</c:v>
                </c:pt>
                <c:pt idx="160">
                  <c:v>2.5584025818435752</c:v>
                </c:pt>
                <c:pt idx="161">
                  <c:v>2.3584029575731784</c:v>
                </c:pt>
                <c:pt idx="162">
                  <c:v>2.1584279513448217</c:v>
                </c:pt>
                <c:pt idx="163">
                  <c:v>1.9584776168574063</c:v>
                </c:pt>
                <c:pt idx="164">
                  <c:v>1.7585520597385615</c:v>
                </c:pt>
                <c:pt idx="165">
                  <c:v>1.5586514377708092</c:v>
                </c:pt>
                <c:pt idx="166">
                  <c:v>1.3587759612266945</c:v>
                </c:pt>
                <c:pt idx="167">
                  <c:v>1.1589258933083659</c:v>
                </c:pt>
                <c:pt idx="168">
                  <c:v>0.95910155070002845</c:v>
                </c:pt>
                <c:pt idx="169">
                  <c:v>0.75930330422748005</c:v>
                </c:pt>
                <c:pt idx="170">
                  <c:v>0.5595315796296616</c:v>
                </c:pt>
                <c:pt idx="171">
                  <c:v>0.35978685844412944</c:v>
                </c:pt>
                <c:pt idx="172">
                  <c:v>0.16006967900505675</c:v>
                </c:pt>
                <c:pt idx="173">
                  <c:v>-3.9619362440722956E-2</c:v>
                </c:pt>
                <c:pt idx="174">
                  <c:v>-0.23927961049921648</c:v>
                </c:pt>
                <c:pt idx="175">
                  <c:v>-0.4389103492751516</c:v>
                </c:pt>
                <c:pt idx="176">
                  <c:v>-0.63851080089289791</c:v>
                </c:pt>
                <c:pt idx="177">
                  <c:v>-0.83808012389137465</c:v>
                </c:pt>
                <c:pt idx="178">
                  <c:v>-1.0376174114900525</c:v>
                </c:pt>
                <c:pt idx="179">
                  <c:v>-1.2371216897217092</c:v>
                </c:pt>
                <c:pt idx="180">
                  <c:v>-1.4365919154293372</c:v>
                </c:pt>
                <c:pt idx="181">
                  <c:v>-1.6360269741239959</c:v>
                </c:pt>
                <c:pt idx="182">
                  <c:v>-1.8354256776962981</c:v>
                </c:pt>
                <c:pt idx="183">
                  <c:v>-2.0347867619832001</c:v>
                </c:pt>
                <c:pt idx="184">
                  <c:v>-2.2341088841795154</c:v>
                </c:pt>
                <c:pt idx="185">
                  <c:v>-2.4333906200935904</c:v>
                </c:pt>
                <c:pt idx="186">
                  <c:v>-2.6326304612407085</c:v>
                </c:pt>
                <c:pt idx="187">
                  <c:v>-2.8318268117679151</c:v>
                </c:pt>
                <c:pt idx="188">
                  <c:v>-3.0309779852073575</c:v>
                </c:pt>
                <c:pt idx="189">
                  <c:v>-3.2300822010497274</c:v>
                </c:pt>
                <c:pt idx="190">
                  <c:v>-3.4291375811338201</c:v>
                </c:pt>
                <c:pt idx="191">
                  <c:v>-3.6281421458438707</c:v>
                </c:pt>
                <c:pt idx="192">
                  <c:v>-3.8270938101104974</c:v>
                </c:pt>
                <c:pt idx="193">
                  <c:v>-4.0259903792059246</c:v>
                </c:pt>
                <c:pt idx="194">
                  <c:v>-4.2248295443278501</c:v>
                </c:pt>
                <c:pt idx="195">
                  <c:v>-4.4236088779646003</c:v>
                </c:pt>
                <c:pt idx="196">
                  <c:v>-4.6223258290322553</c:v>
                </c:pt>
                <c:pt idx="197">
                  <c:v>-4.8209777177777342</c:v>
                </c:pt>
                <c:pt idx="198">
                  <c:v>-5.0195617304380633</c:v>
                </c:pt>
                <c:pt idx="199">
                  <c:v>-5.2180749136477669</c:v>
                </c:pt>
                <c:pt idx="200">
                  <c:v>-5.4165141685854508</c:v>
                </c:pt>
                <c:pt idx="201">
                  <c:v>-5.6148762448502376</c:v>
                </c:pt>
                <c:pt idx="202">
                  <c:v>-5.813157734059077</c:v>
                </c:pt>
                <c:pt idx="203">
                  <c:v>-6.0113550631537871</c:v>
                </c:pt>
                <c:pt idx="204">
                  <c:v>-6.2094644874101244</c:v>
                </c:pt>
                <c:pt idx="205">
                  <c:v>-6.4074820831357364</c:v>
                </c:pt>
                <c:pt idx="206">
                  <c:v>-6.6054037400492502</c:v>
                </c:pt>
                <c:pt idx="207">
                  <c:v>-6.8032251533272508</c:v>
                </c:pt>
                <c:pt idx="208">
                  <c:v>-7.0009418153099814</c:v>
                </c:pt>
                <c:pt idx="209">
                  <c:v>-7.1985490068529003</c:v>
                </c:pt>
                <c:pt idx="210">
                  <c:v>-7.3960417883140757</c:v>
                </c:pt>
                <c:pt idx="211">
                  <c:v>-7.5934149901643426</c:v>
                </c:pt>
                <c:pt idx="212">
                  <c:v>-7.7906632032096077</c:v>
                </c:pt>
                <c:pt idx="213">
                  <c:v>-7.9877807684125433</c:v>
                </c:pt>
                <c:pt idx="214">
                  <c:v>-8.1847617663010599</c:v>
                </c:pt>
                <c:pt idx="215">
                  <c:v>-8.3816000059530733</c:v>
                </c:pt>
                <c:pt idx="216">
                  <c:v>-8.578289013543122</c:v>
                </c:pt>
                <c:pt idx="217">
                  <c:v>-8.7748220204402703</c:v>
                </c:pt>
                <c:pt idx="218">
                  <c:v>-8.9711919508434903</c:v>
                </c:pt>
                <c:pt idx="219">
                  <c:v>-9.1673914089436543</c:v>
                </c:pt>
                <c:pt idx="220">
                  <c:v>-9.3634126655986201</c:v>
                </c:pt>
                <c:pt idx="221">
                  <c:v>-9.5592476445099415</c:v>
                </c:pt>
                <c:pt idx="222">
                  <c:v>-9.7548879078899198</c:v>
                </c:pt>
                <c:pt idx="223">
                  <c:v>-9.9503246416052917</c:v>
                </c:pt>
                <c:pt idx="224">
                  <c:v>-10.145548639788988</c:v>
                </c:pt>
                <c:pt idx="225">
                  <c:v>-10.340550288905524</c:v>
                </c:pt>
                <c:pt idx="226">
                  <c:v>-10.535319551263168</c:v>
                </c:pt>
                <c:pt idx="227">
                  <c:v>-10.729845947958133</c:v>
                </c:pt>
                <c:pt idx="228">
                  <c:v>-10.924118541244997</c:v>
                </c:pt>
                <c:pt idx="229">
                  <c:v>-11.118125916321564</c:v>
                </c:pt>
                <c:pt idx="230">
                  <c:v>-11.311856162520135</c:v>
                </c:pt>
                <c:pt idx="231">
                  <c:v>-11.505296853897484</c:v>
                </c:pt>
                <c:pt idx="232">
                  <c:v>-11.698435029214817</c:v>
                </c:pt>
                <c:pt idx="233">
                  <c:v>-11.891257171302561</c:v>
                </c:pt>
                <c:pt idx="234">
                  <c:v>-12.083749185802864</c:v>
                </c:pt>
                <c:pt idx="235">
                  <c:v>-12.275896379283539</c:v>
                </c:pt>
                <c:pt idx="236">
                  <c:v>-12.467683436720904</c:v>
                </c:pt>
                <c:pt idx="237">
                  <c:v>-12.659094398344726</c:v>
                </c:pt>
                <c:pt idx="238">
                  <c:v>-12.850112635843537</c:v>
                </c:pt>
                <c:pt idx="239">
                  <c:v>-13.040720827926052</c:v>
                </c:pt>
                <c:pt idx="240">
                  <c:v>-13.230900935236559</c:v>
                </c:pt>
                <c:pt idx="241">
                  <c:v>-13.420634174619872</c:v>
                </c:pt>
                <c:pt idx="242">
                  <c:v>-13.609900992734874</c:v>
                </c:pt>
                <c:pt idx="243">
                  <c:v>-13.798681039012202</c:v>
                </c:pt>
                <c:pt idx="244">
                  <c:v>-13.98695313795085</c:v>
                </c:pt>
                <c:pt idx="245">
                  <c:v>-14.174695260750603</c:v>
                </c:pt>
                <c:pt idx="246">
                  <c:v>-14.361884496270644</c:v>
                </c:pt>
                <c:pt idx="247">
                  <c:v>-14.548497021305371</c:v>
                </c:pt>
                <c:pt idx="248">
                  <c:v>-14.734508070165045</c:v>
                </c:pt>
                <c:pt idx="249">
                  <c:v>-14.919891903542389</c:v>
                </c:pt>
                <c:pt idx="250">
                  <c:v>-15.104621776644775</c:v>
                </c:pt>
                <c:pt idx="251">
                  <c:v>-15.288669906560822</c:v>
                </c:pt>
                <c:pt idx="252">
                  <c:v>-15.472007438826548</c:v>
                </c:pt>
                <c:pt idx="253">
                  <c:v>-15.654604413143582</c:v>
                </c:pt>
                <c:pt idx="254">
                  <c:v>-15.836429728192229</c:v>
                </c:pt>
                <c:pt idx="255">
                  <c:v>-16.017451105467767</c:v>
                </c:pt>
                <c:pt idx="256">
                  <c:v>-16.197635052053421</c:v>
                </c:pt>
                <c:pt idx="257">
                  <c:v>-16.376946822224166</c:v>
                </c:pt>
                <c:pt idx="258">
                  <c:v>-16.555350377753019</c:v>
                </c:pt>
                <c:pt idx="259">
                  <c:v>-16.732808346768802</c:v>
                </c:pt>
                <c:pt idx="260">
                  <c:v>-16.909281980983046</c:v>
                </c:pt>
                <c:pt idx="261">
                  <c:v>-17.084731111070568</c:v>
                </c:pt>
                <c:pt idx="262">
                  <c:v>-17.259114099953649</c:v>
                </c:pt>
                <c:pt idx="263">
                  <c:v>-17.432387793691269</c:v>
                </c:pt>
                <c:pt idx="264">
                  <c:v>-17.604507469630789</c:v>
                </c:pt>
                <c:pt idx="265">
                  <c:v>-17.775426781421622</c:v>
                </c:pt>
                <c:pt idx="266">
                  <c:v>-17.945097700428729</c:v>
                </c:pt>
                <c:pt idx="267">
                  <c:v>-18.113470453014592</c:v>
                </c:pt>
                <c:pt idx="268">
                  <c:v>-18.280493453078705</c:v>
                </c:pt>
                <c:pt idx="269">
                  <c:v>-18.446113229158627</c:v>
                </c:pt>
                <c:pt idx="270">
                  <c:v>-18.610274345295544</c:v>
                </c:pt>
                <c:pt idx="271">
                  <c:v>-18.772919314763318</c:v>
                </c:pt>
                <c:pt idx="272">
                  <c:v>-18.933988505636229</c:v>
                </c:pt>
                <c:pt idx="273">
                  <c:v>-19.093420037039614</c:v>
                </c:pt>
                <c:pt idx="274">
                  <c:v>-19.251149664777646</c:v>
                </c:pt>
                <c:pt idx="275">
                  <c:v>-19.407110654873062</c:v>
                </c:pt>
                <c:pt idx="276">
                  <c:v>-19.56123364336834</c:v>
                </c:pt>
                <c:pt idx="277">
                  <c:v>-19.713446480541588</c:v>
                </c:pt>
                <c:pt idx="278">
                  <c:v>-19.863674057468685</c:v>
                </c:pt>
                <c:pt idx="279">
                  <c:v>-20.011838112618925</c:v>
                </c:pt>
                <c:pt idx="280">
                  <c:v>-20.157857015899225</c:v>
                </c:pt>
                <c:pt idx="281">
                  <c:v>-20.301645527262764</c:v>
                </c:pt>
                <c:pt idx="282">
                  <c:v>-20.443114526663742</c:v>
                </c:pt>
                <c:pt idx="283">
                  <c:v>-20.582170711763176</c:v>
                </c:pt>
                <c:pt idx="284">
                  <c:v>-20.718716259377125</c:v>
                </c:pt>
                <c:pt idx="285">
                  <c:v>-20.852648446185995</c:v>
                </c:pt>
                <c:pt idx="286">
                  <c:v>-20.983859223694431</c:v>
                </c:pt>
                <c:pt idx="287">
                  <c:v>-21.112234741832161</c:v>
                </c:pt>
                <c:pt idx="288">
                  <c:v>-21.23765481490252</c:v>
                </c:pt>
                <c:pt idx="289">
                  <c:v>-21.359992322804654</c:v>
                </c:pt>
                <c:pt idx="290">
                  <c:v>-21.479112539558667</c:v>
                </c:pt>
                <c:pt idx="291">
                  <c:v>-21.594872380124372</c:v>
                </c:pt>
                <c:pt idx="292">
                  <c:v>-21.707119555306488</c:v>
                </c:pt>
                <c:pt idx="293">
                  <c:v>-21.815691623130906</c:v>
                </c:pt>
                <c:pt idx="294">
                  <c:v>-21.920414923440411</c:v>
                </c:pt>
                <c:pt idx="295">
                  <c:v>-22.021103380519303</c:v>
                </c:pt>
                <c:pt idx="296">
                  <c:v>-22.117557156276479</c:v>
                </c:pt>
                <c:pt idx="297">
                  <c:v>-22.209561133801188</c:v>
                </c:pt>
                <c:pt idx="298">
                  <c:v>-22.296883207877404</c:v>
                </c:pt>
                <c:pt idx="299">
                  <c:v>-22.379272355175431</c:v>
                </c:pt>
                <c:pt idx="300">
                  <c:v>-22.456456452198047</c:v>
                </c:pt>
                <c:pt idx="301">
                  <c:v>-22.528139803469074</c:v>
                </c:pt>
                <c:pt idx="302">
                  <c:v>-22.59400033568528</c:v>
                </c:pt>
                <c:pt idx="303">
                  <c:v>-22.653686405348953</c:v>
                </c:pt>
                <c:pt idx="304">
                  <c:v>-22.706813157407026</c:v>
                </c:pt>
                <c:pt idx="305">
                  <c:v>-22.75295836021424</c:v>
                </c:pt>
                <c:pt idx="306">
                  <c:v>-22.791657627181849</c:v>
                </c:pt>
                <c:pt idx="307">
                  <c:v>-22.822398917077116</c:v>
                </c:pt>
                <c:pt idx="308">
                  <c:v>-22.844616182266009</c:v>
                </c:pt>
                <c:pt idx="309">
                  <c:v>-22.857682006146621</c:v>
                </c:pt>
                <c:pt idx="310">
                  <c:v>-22.860899036280546</c:v>
                </c:pt>
                <c:pt idx="311">
                  <c:v>-22.853489976598791</c:v>
                </c:pt>
                <c:pt idx="312">
                  <c:v>-22.834585848500723</c:v>
                </c:pt>
                <c:pt idx="313">
                  <c:v>-22.803212164193685</c:v>
                </c:pt>
                <c:pt idx="314">
                  <c:v>-22.758272573390347</c:v>
                </c:pt>
                <c:pt idx="315">
                  <c:v>-22.698529443424022</c:v>
                </c:pt>
                <c:pt idx="316">
                  <c:v>-22.622580710176898</c:v>
                </c:pt>
                <c:pt idx="317">
                  <c:v>-22.528832191637331</c:v>
                </c:pt>
                <c:pt idx="318">
                  <c:v>-22.415464390096442</c:v>
                </c:pt>
                <c:pt idx="319">
                  <c:v>-22.2803926351035</c:v>
                </c:pt>
                <c:pt idx="320">
                  <c:v>-22.121219270135803</c:v>
                </c:pt>
                <c:pt idx="321">
                  <c:v>-21.935176538379825</c:v>
                </c:pt>
                <c:pt idx="322">
                  <c:v>-21.719059046719241</c:v>
                </c:pt>
                <c:pt idx="323">
                  <c:v>-21.469145546889465</c:v>
                </c:pt>
                <c:pt idx="324">
                  <c:v>-21.181112047574043</c:v>
                </c:pt>
                <c:pt idx="325">
                  <c:v>-20.849943626783801</c:v>
                </c:pt>
                <c:pt idx="326">
                  <c:v>-20.469864343421278</c:v>
                </c:pt>
                <c:pt idx="327">
                  <c:v>-20.03433118809404</c:v>
                </c:pt>
                <c:pt idx="328">
                  <c:v>-19.536196330807691</c:v>
                </c:pt>
                <c:pt idx="329">
                  <c:v>-18.968270121799936</c:v>
                </c:pt>
                <c:pt idx="330">
                  <c:v>-18.324797809345093</c:v>
                </c:pt>
                <c:pt idx="331">
                  <c:v>-17.604960484732146</c:v>
                </c:pt>
                <c:pt idx="332">
                  <c:v>-16.820672854177324</c:v>
                </c:pt>
                <c:pt idx="333">
                  <c:v>-16.012594752398254</c:v>
                </c:pt>
                <c:pt idx="334">
                  <c:v>-15.277568355417092</c:v>
                </c:pt>
                <c:pt idx="335">
                  <c:v>-14.795217032186244</c:v>
                </c:pt>
                <c:pt idx="336">
                  <c:v>-14.796082793648893</c:v>
                </c:pt>
                <c:pt idx="337">
                  <c:v>-15.413789755674731</c:v>
                </c:pt>
                <c:pt idx="338">
                  <c:v>-16.557935290737944</c:v>
                </c:pt>
                <c:pt idx="339">
                  <c:v>-18.003020901350482</c:v>
                </c:pt>
                <c:pt idx="340">
                  <c:v>-19.552204929157163</c:v>
                </c:pt>
                <c:pt idx="341">
                  <c:v>-21.092493277678077</c:v>
                </c:pt>
                <c:pt idx="342">
                  <c:v>-22.57390788161759</c:v>
                </c:pt>
                <c:pt idx="343">
                  <c:v>-23.980121397805302</c:v>
                </c:pt>
                <c:pt idx="344">
                  <c:v>-25.310111014128196</c:v>
                </c:pt>
                <c:pt idx="345">
                  <c:v>-26.568987304386429</c:v>
                </c:pt>
                <c:pt idx="346">
                  <c:v>-27.76381922735056</c:v>
                </c:pt>
                <c:pt idx="347">
                  <c:v>-28.901847574372063</c:v>
                </c:pt>
                <c:pt idx="348">
                  <c:v>-29.989783938122841</c:v>
                </c:pt>
                <c:pt idx="349">
                  <c:v>-31.033588854749201</c:v>
                </c:pt>
                <c:pt idx="350">
                  <c:v>-32.038453605727035</c:v>
                </c:pt>
                <c:pt idx="351">
                  <c:v>-33.008861821724402</c:v>
                </c:pt>
                <c:pt idx="352">
                  <c:v>-33.948676030106256</c:v>
                </c:pt>
                <c:pt idx="353">
                  <c:v>-34.861225690326542</c:v>
                </c:pt>
                <c:pt idx="354">
                  <c:v>-35.749387518598347</c:v>
                </c:pt>
                <c:pt idx="355">
                  <c:v>-36.61565528604023</c:v>
                </c:pt>
                <c:pt idx="356">
                  <c:v>-37.46219902340242</c:v>
                </c:pt>
                <c:pt idx="357">
                  <c:v>-38.290914641797556</c:v>
                </c:pt>
                <c:pt idx="358">
                  <c:v>-39.103465298304528</c:v>
                </c:pt>
                <c:pt idx="359">
                  <c:v>-39.901315827002811</c:v>
                </c:pt>
                <c:pt idx="360">
                  <c:v>-40.685761420019105</c:v>
                </c:pt>
                <c:pt idx="361">
                  <c:v>-41.457951570866442</c:v>
                </c:pt>
                <c:pt idx="362">
                  <c:v>-42.218910123409714</c:v>
                </c:pt>
                <c:pt idx="363">
                  <c:v>-42.969552119507874</c:v>
                </c:pt>
                <c:pt idx="364">
                  <c:v>-43.710698010889445</c:v>
                </c:pt>
                <c:pt idx="365">
                  <c:v>-44.443085695370229</c:v>
                </c:pt>
                <c:pt idx="366">
                  <c:v>-45.167380751528235</c:v>
                </c:pt>
                <c:pt idx="367">
                  <c:v>-45.884185176337709</c:v>
                </c:pt>
                <c:pt idx="368">
                  <c:v>-46.594044874133552</c:v>
                </c:pt>
                <c:pt idx="369">
                  <c:v>-47.297456100042368</c:v>
                </c:pt>
                <c:pt idx="370">
                  <c:v>-47.994871024563821</c:v>
                </c:pt>
                <c:pt idx="371">
                  <c:v>-48.686702556546123</c:v>
                </c:pt>
                <c:pt idx="372">
                  <c:v>-49.373328537973194</c:v>
                </c:pt>
                <c:pt idx="373">
                  <c:v>-50.055095404639289</c:v>
                </c:pt>
                <c:pt idx="374">
                  <c:v>-50.732321391040884</c:v>
                </c:pt>
                <c:pt idx="375">
                  <c:v>-51.405299344941895</c:v>
                </c:pt>
                <c:pt idx="376">
                  <c:v>-52.074299206519129</c:v>
                </c:pt>
                <c:pt idx="377">
                  <c:v>-52.739570198308463</c:v>
                </c:pt>
                <c:pt idx="378">
                  <c:v>-53.401342764999164</c:v>
                </c:pt>
                <c:pt idx="379">
                  <c:v>-54.059830296181524</c:v>
                </c:pt>
                <c:pt idx="380">
                  <c:v>-54.715230660203119</c:v>
                </c:pt>
                <c:pt idx="381">
                  <c:v>-55.367727573163961</c:v>
                </c:pt>
                <c:pt idx="382">
                  <c:v>-56.017491823621995</c:v>
                </c:pt>
                <c:pt idx="383">
                  <c:v>-56.664682370673617</c:v>
                </c:pt>
                <c:pt idx="384">
                  <c:v>-57.309447330624906</c:v>
                </c:pt>
                <c:pt idx="385">
                  <c:v>-57.951924865394687</c:v>
                </c:pt>
                <c:pt idx="386">
                  <c:v>-58.59224398403407</c:v>
                </c:pt>
                <c:pt idx="387">
                  <c:v>-59.230525267249099</c:v>
                </c:pt>
                <c:pt idx="388">
                  <c:v>-59.866881523533984</c:v>
                </c:pt>
                <c:pt idx="389">
                  <c:v>-60.501418384434515</c:v>
                </c:pt>
                <c:pt idx="390">
                  <c:v>-61.134234845512793</c:v>
                </c:pt>
                <c:pt idx="391">
                  <c:v>-61.765423758787605</c:v>
                </c:pt>
                <c:pt idx="392">
                  <c:v>-62.395072281718782</c:v>
                </c:pt>
                <c:pt idx="393">
                  <c:v>-63.023262287205071</c:v>
                </c:pt>
                <c:pt idx="394">
                  <c:v>-63.650070738541075</c:v>
                </c:pt>
                <c:pt idx="395">
                  <c:v>-64.275570032824149</c:v>
                </c:pt>
                <c:pt idx="396">
                  <c:v>-64.899828315905197</c:v>
                </c:pt>
                <c:pt idx="397">
                  <c:v>-65.522909771633181</c:v>
                </c:pt>
                <c:pt idx="398">
                  <c:v>-66.144874887838952</c:v>
                </c:pt>
                <c:pt idx="399">
                  <c:v>-66.765780701238015</c:v>
                </c:pt>
                <c:pt idx="400">
                  <c:v>-67.385681023201528</c:v>
                </c:pt>
                <c:pt idx="401">
                  <c:v>-68.004626648135925</c:v>
                </c:pt>
                <c:pt idx="402">
                  <c:v>-68.622665546031854</c:v>
                </c:pt>
                <c:pt idx="403">
                  <c:v>-69.239843040585455</c:v>
                </c:pt>
                <c:pt idx="404">
                  <c:v>-69.856201974148433</c:v>
                </c:pt>
                <c:pt idx="405">
                  <c:v>-70.471782860641042</c:v>
                </c:pt>
                <c:pt idx="406">
                  <c:v>-71.086624027450512</c:v>
                </c:pt>
                <c:pt idx="407">
                  <c:v>-71.700761747236498</c:v>
                </c:pt>
                <c:pt idx="408">
                  <c:v>-72.314230360478263</c:v>
                </c:pt>
                <c:pt idx="409">
                  <c:v>-72.927062389515868</c:v>
                </c:pt>
                <c:pt idx="410">
                  <c:v>-73.539288644774402</c:v>
                </c:pt>
                <c:pt idx="411">
                  <c:v>-74.150938323785752</c:v>
                </c:pt>
                <c:pt idx="412">
                  <c:v>-74.762039103579013</c:v>
                </c:pt>
                <c:pt idx="413">
                  <c:v>-75.372617226946616</c:v>
                </c:pt>
                <c:pt idx="414">
                  <c:v>-75.982697583058069</c:v>
                </c:pt>
                <c:pt idx="415">
                  <c:v>-76.592303782845917</c:v>
                </c:pt>
                <c:pt idx="416">
                  <c:v>-77.201458229553282</c:v>
                </c:pt>
                <c:pt idx="417">
                  <c:v>-77.810182184799459</c:v>
                </c:pt>
                <c:pt idx="418">
                  <c:v>-78.418495830487686</c:v>
                </c:pt>
                <c:pt idx="419">
                  <c:v>-79.026418326854412</c:v>
                </c:pt>
                <c:pt idx="420">
                  <c:v>-79.633967866934228</c:v>
                </c:pt>
                <c:pt idx="421">
                  <c:v>-80.24116172768808</c:v>
                </c:pt>
                <c:pt idx="422">
                  <c:v>-80.848016318028911</c:v>
                </c:pt>
                <c:pt idx="423">
                  <c:v>-81.454547223953867</c:v>
                </c:pt>
                <c:pt idx="424">
                  <c:v>-82.060769250979945</c:v>
                </c:pt>
                <c:pt idx="425">
                  <c:v>-82.666696464061218</c:v>
                </c:pt>
                <c:pt idx="426">
                  <c:v>-83.272342225155114</c:v>
                </c:pt>
                <c:pt idx="427">
                  <c:v>-83.877719228587978</c:v>
                </c:pt>
                <c:pt idx="428">
                  <c:v>-84.482839534362085</c:v>
                </c:pt>
                <c:pt idx="429">
                  <c:v>-85.087714599538657</c:v>
                </c:pt>
                <c:pt idx="430">
                  <c:v>-85.692355307808782</c:v>
                </c:pt>
                <c:pt idx="431">
                  <c:v>-86.296771997373014</c:v>
                </c:pt>
                <c:pt idx="432">
                  <c:v>-86.90097448722625</c:v>
                </c:pt>
                <c:pt idx="433">
                  <c:v>-87.504972101949363</c:v>
                </c:pt>
                <c:pt idx="434">
                  <c:v>-88.108773695092026</c:v>
                </c:pt>
                <c:pt idx="435">
                  <c:v>-88.712387671231397</c:v>
                </c:pt>
                <c:pt idx="436">
                  <c:v>-89.315822006784188</c:v>
                </c:pt>
                <c:pt idx="437">
                  <c:v>-89.919084269640734</c:v>
                </c:pt>
                <c:pt idx="438">
                  <c:v>-90.522181637691148</c:v>
                </c:pt>
                <c:pt idx="439">
                  <c:v>-91.125120916300432</c:v>
                </c:pt>
                <c:pt idx="440">
                  <c:v>-91.72790855479407</c:v>
                </c:pt>
                <c:pt idx="441">
                  <c:v>-92.33055066200599</c:v>
                </c:pt>
                <c:pt idx="442">
                  <c:v>-92.93305302093728</c:v>
                </c:pt>
                <c:pt idx="443">
                  <c:v>-93.535421102574148</c:v>
                </c:pt>
                <c:pt idx="444">
                  <c:v>-94.137660078906947</c:v>
                </c:pt>
                <c:pt idx="445">
                  <c:v>-94.739774835191142</c:v>
                </c:pt>
                <c:pt idx="446">
                  <c:v>-95.341769981486451</c:v>
                </c:pt>
                <c:pt idx="447">
                  <c:v>-95.94364986351124</c:v>
                </c:pt>
                <c:pt idx="448">
                  <c:v>-96.545418572841996</c:v>
                </c:pt>
                <c:pt idx="449">
                  <c:v>-97.147079956491083</c:v>
                </c:pt>
                <c:pt idx="450">
                  <c:v>-97.748637625888307</c:v>
                </c:pt>
                <c:pt idx="451">
                  <c:v>-98.350094965294588</c:v>
                </c:pt>
                <c:pt idx="452">
                  <c:v>-98.951455139670244</c:v>
                </c:pt>
                <c:pt idx="453">
                  <c:v>-99.552721102023582</c:v>
                </c:pt>
                <c:pt idx="454">
                  <c:v>-100.15389560025774</c:v>
                </c:pt>
                <c:pt idx="455">
                  <c:v>-100.75498118353728</c:v>
                </c:pt>
                <c:pt idx="456">
                  <c:v>-101.35598020819133</c:v>
                </c:pt>
                <c:pt idx="457">
                  <c:v>-101.95689484317258</c:v>
                </c:pt>
                <c:pt idx="458">
                  <c:v>-102.5577270750849</c:v>
                </c:pt>
                <c:pt idx="459">
                  <c:v>-103.15847871279558</c:v>
                </c:pt>
                <c:pt idx="460">
                  <c:v>-103.75915139164503</c:v>
                </c:pt>
                <c:pt idx="461">
                  <c:v>-104.35974657726575</c:v>
                </c:pt>
                <c:pt idx="462">
                  <c:v>-104.96026556902237</c:v>
                </c:pt>
                <c:pt idx="463">
                  <c:v>-105.56070950308245</c:v>
                </c:pt>
                <c:pt idx="464">
                  <c:v>-106.16107935512743</c:v>
                </c:pt>
                <c:pt idx="465">
                  <c:v>-106.76137594271108</c:v>
                </c:pt>
                <c:pt idx="466">
                  <c:v>-107.36159992727565</c:v>
                </c:pt>
                <c:pt idx="467">
                  <c:v>-107.96175181582852</c:v>
                </c:pt>
                <c:pt idx="468">
                  <c:v>-108.56183196228835</c:v>
                </c:pt>
                <c:pt idx="469">
                  <c:v>-109.1618405685049</c:v>
                </c:pt>
                <c:pt idx="470">
                  <c:v>-109.76177768495603</c:v>
                </c:pt>
                <c:pt idx="471">
                  <c:v>-110.36164321112791</c:v>
                </c:pt>
                <c:pt idx="472">
                  <c:v>-110.96143689557763</c:v>
                </c:pt>
                <c:pt idx="473">
                  <c:v>-111.56115833568589</c:v>
                </c:pt>
                <c:pt idx="474">
                  <c:v>-112.16080697709629</c:v>
                </c:pt>
                <c:pt idx="475">
                  <c:v>-112.76038211284742</c:v>
                </c:pt>
                <c:pt idx="476">
                  <c:v>-113.35988288219363</c:v>
                </c:pt>
                <c:pt idx="477">
                  <c:v>-113.95930826911929</c:v>
                </c:pt>
                <c:pt idx="478">
                  <c:v>-114.55865710054196</c:v>
                </c:pt>
                <c:pt idx="479">
                  <c:v>-115.15792804420701</c:v>
                </c:pt>
                <c:pt idx="480">
                  <c:v>-115.75711960627062</c:v>
                </c:pt>
                <c:pt idx="481">
                  <c:v>-116.35623012856874</c:v>
                </c:pt>
                <c:pt idx="482">
                  <c:v>-116.95525778557257</c:v>
                </c:pt>
                <c:pt idx="483">
                  <c:v>-117.55420058102446</c:v>
                </c:pt>
                <c:pt idx="484">
                  <c:v>-118.15305634425312</c:v>
                </c:pt>
                <c:pt idx="485">
                  <c:v>-118.7518227261661</c:v>
                </c:pt>
                <c:pt idx="486">
                  <c:v>-119.35049719491134</c:v>
                </c:pt>
                <c:pt idx="487">
                  <c:v>-119.94907703121035</c:v>
                </c:pt>
                <c:pt idx="488">
                  <c:v>-120.54755932335081</c:v>
                </c:pt>
                <c:pt idx="489">
                  <c:v>-121.14594096184254</c:v>
                </c:pt>
                <c:pt idx="490">
                  <c:v>-121.74421863372457</c:v>
                </c:pt>
                <c:pt idx="491">
                  <c:v>-122.34238881652374</c:v>
                </c:pt>
                <c:pt idx="492">
                  <c:v>-122.94044777185634</c:v>
                </c:pt>
                <c:pt idx="493">
                  <c:v>-123.53839153867064</c:v>
                </c:pt>
                <c:pt idx="494">
                  <c:v>-124.13621592612165</c:v>
                </c:pt>
                <c:pt idx="495">
                  <c:v>-124.73391650607621</c:v>
                </c:pt>
                <c:pt idx="496">
                  <c:v>-125.33148860524219</c:v>
                </c:pt>
                <c:pt idx="497">
                  <c:v>-125.92892729691499</c:v>
                </c:pt>
                <c:pt idx="498">
                  <c:v>-126.52622739234067</c:v>
                </c:pt>
                <c:pt idx="499">
                  <c:v>-127.12338343168688</c:v>
                </c:pt>
                <c:pt idx="500">
                  <c:v>-127.72038967462058</c:v>
                </c:pt>
                <c:pt idx="501">
                  <c:v>-128.31724009048739</c:v>
                </c:pt>
                <c:pt idx="502">
                  <c:v>-128.91392834809039</c:v>
                </c:pt>
                <c:pt idx="503">
                  <c:v>-129.51044780506518</c:v>
                </c:pt>
                <c:pt idx="504">
                  <c:v>-130.10679149684981</c:v>
                </c:pt>
                <c:pt idx="505">
                  <c:v>-130.70295212524942</c:v>
                </c:pt>
                <c:pt idx="506">
                  <c:v>-131.29892204659481</c:v>
                </c:pt>
                <c:pt idx="507">
                  <c:v>-131.89469325949642</c:v>
                </c:pt>
                <c:pt idx="508">
                  <c:v>-132.49025739219871</c:v>
                </c:pt>
                <c:pt idx="509">
                  <c:v>-133.08560568953538</c:v>
                </c:pt>
                <c:pt idx="510">
                  <c:v>-133.68072899949487</c:v>
                </c:pt>
                <c:pt idx="511">
                  <c:v>-134.27561775940126</c:v>
                </c:pt>
                <c:pt idx="512">
                  <c:v>-134.87026198172305</c:v>
                </c:pt>
                <c:pt idx="513">
                  <c:v>-135.4646512395193</c:v>
                </c:pt>
                <c:pt idx="514">
                  <c:v>-136.05877465153964</c:v>
                </c:pt>
                <c:pt idx="515">
                  <c:v>-136.65262086699497</c:v>
                </c:pt>
                <c:pt idx="516">
                  <c:v>-137.24617805001861</c:v>
                </c:pt>
                <c:pt idx="517">
                  <c:v>-137.83943386384351</c:v>
                </c:pt>
                <c:pt idx="518">
                  <c:v>-138.43237545472024</c:v>
                </c:pt>
                <c:pt idx="519">
                  <c:v>-139.024989435609</c:v>
                </c:pt>
                <c:pt idx="520">
                  <c:v>-139.61726186968073</c:v>
                </c:pt>
                <c:pt idx="521">
                  <c:v>-140.2091782536651</c:v>
                </c:pt>
                <c:pt idx="522">
                  <c:v>-140.80072350109376</c:v>
                </c:pt>
                <c:pt idx="523">
                  <c:v>-141.39188192548434</c:v>
                </c:pt>
                <c:pt idx="524">
                  <c:v>-141.98263722352462</c:v>
                </c:pt>
                <c:pt idx="525">
                  <c:v>-142.57297245831546</c:v>
                </c:pt>
                <c:pt idx="526">
                  <c:v>-143.16287004273954</c:v>
                </c:pt>
                <c:pt idx="527">
                  <c:v>-143.75231172303305</c:v>
                </c:pt>
                <c:pt idx="528">
                  <c:v>-144.34127856263518</c:v>
                </c:pt>
                <c:pt idx="529">
                  <c:v>-144.92975092641211</c:v>
                </c:pt>
                <c:pt idx="530">
                  <c:v>-145.51770846533984</c:v>
                </c:pt>
                <c:pt idx="531">
                  <c:v>-146.10513010175927</c:v>
                </c:pt>
                <c:pt idx="532">
                  <c:v>-146.69199401530636</c:v>
                </c:pt>
                <c:pt idx="533">
                  <c:v>-147.2782776296437</c:v>
                </c:pt>
                <c:pt idx="534">
                  <c:v>-147.8639576001147</c:v>
                </c:pt>
                <c:pt idx="535">
                  <c:v>-148.44900980246041</c:v>
                </c:pt>
                <c:pt idx="536">
                  <c:v>-149.03340932274159</c:v>
                </c:pt>
                <c:pt idx="537">
                  <c:v>-149.61713044861926</c:v>
                </c:pt>
                <c:pt idx="538">
                  <c:v>-150.20014666215491</c:v>
                </c:pt>
                <c:pt idx="539">
                  <c:v>-150.78243063429829</c:v>
                </c:pt>
                <c:pt idx="540">
                  <c:v>-151.36395422123999</c:v>
                </c:pt>
                <c:pt idx="541">
                  <c:v>-151.94468846281342</c:v>
                </c:pt>
              </c:numCache>
            </c:numRef>
          </c:yVal>
          <c:smooth val="1"/>
          <c:extLst>
            <c:ext xmlns:c16="http://schemas.microsoft.com/office/drawing/2014/chart" uri="{C3380CC4-5D6E-409C-BE32-E72D297353CC}">
              <c16:uniqueId val="{00000000-2470-421C-8EF3-DF4BAC2DF802}"/>
            </c:ext>
          </c:extLst>
        </c:ser>
        <c:ser>
          <c:idx val="2"/>
          <c:order val="2"/>
          <c:tx>
            <c:v>f_LP</c:v>
          </c:tx>
          <c:spPr>
            <a:ln w="38100" cmpd="sng"/>
          </c:spPr>
          <c:marker>
            <c:symbol val="x"/>
            <c:size val="7"/>
            <c:spPr>
              <a:noFill/>
            </c:spPr>
          </c:marker>
          <c:dPt>
            <c:idx val="0"/>
            <c:marker>
              <c:spPr>
                <a:noFill/>
                <a:ln w="19050">
                  <a:solidFill>
                    <a:schemeClr val="tx1"/>
                  </a:solidFill>
                </a:ln>
              </c:spPr>
            </c:marker>
            <c:bubble3D val="0"/>
            <c:extLst>
              <c:ext xmlns:c16="http://schemas.microsoft.com/office/drawing/2014/chart" uri="{C3380CC4-5D6E-409C-BE32-E72D297353CC}">
                <c16:uniqueId val="{00000001-2470-421C-8EF3-DF4BAC2DF802}"/>
              </c:ext>
            </c:extLst>
          </c:dPt>
          <c:dLbls>
            <c:dLbl>
              <c:idx val="0"/>
              <c:tx>
                <c:rich>
                  <a:bodyPr/>
                  <a:lstStyle/>
                  <a:p>
                    <a:r>
                      <a:rPr lang="en-US" sz="1100" b="1"/>
                      <a:t>f</a:t>
                    </a:r>
                    <a:r>
                      <a:rPr lang="en-US" sz="1100" b="1" baseline="-25000"/>
                      <a:t>LP</a:t>
                    </a:r>
                    <a:endParaRPr lang="en-US" b="1" baseline="-25000"/>
                  </a:p>
                </c:rich>
              </c:tx>
              <c:dLblPos val="b"/>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2470-421C-8EF3-DF4BAC2DF802}"/>
                </c:ext>
              </c:extLst>
            </c:dLbl>
            <c:spPr>
              <a:noFill/>
              <a:ln>
                <a:noFill/>
              </a:ln>
              <a:effectLst/>
            </c:sp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Loop_Modeling!$O$11</c:f>
              <c:numCache>
                <c:formatCode>0</c:formatCode>
                <c:ptCount val="1"/>
                <c:pt idx="0">
                  <c:v>5.0929581789406511</c:v>
                </c:pt>
              </c:numCache>
            </c:numRef>
          </c:xVal>
          <c:yVal>
            <c:numRef>
              <c:f>Loop_Modeling!$AT$11</c:f>
              <c:numCache>
                <c:formatCode>0.000</c:formatCode>
                <c:ptCount val="1"/>
                <c:pt idx="0">
                  <c:v>47.917465296971393</c:v>
                </c:pt>
              </c:numCache>
            </c:numRef>
          </c:yVal>
          <c:smooth val="0"/>
          <c:extLst>
            <c:ext xmlns:c16="http://schemas.microsoft.com/office/drawing/2014/chart" uri="{C3380CC4-5D6E-409C-BE32-E72D297353CC}">
              <c16:uniqueId val="{00000002-2470-421C-8EF3-DF4BAC2DF802}"/>
            </c:ext>
          </c:extLst>
        </c:ser>
        <c:ser>
          <c:idx val="3"/>
          <c:order val="3"/>
          <c:tx>
            <c:v>fz_rhp</c:v>
          </c:tx>
          <c:spPr>
            <a:ln>
              <a:solidFill>
                <a:schemeClr val="tx1"/>
              </a:solidFill>
            </a:ln>
          </c:spPr>
          <c:marker>
            <c:symbol val="circle"/>
            <c:size val="7"/>
            <c:spPr>
              <a:noFill/>
              <a:ln w="19050">
                <a:solidFill>
                  <a:schemeClr val="tx1"/>
                </a:solidFill>
              </a:ln>
            </c:spPr>
          </c:marker>
          <c:dLbls>
            <c:dLbl>
              <c:idx val="0"/>
              <c:layout>
                <c:manualLayout>
                  <c:x val="8.0501209561423519E-3"/>
                  <c:y val="-1.5493667278504181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2470-421C-8EF3-DF4BAC2DF802}"/>
                </c:ext>
              </c:extLst>
            </c:dLbl>
            <c:spPr>
              <a:noFill/>
              <a:ln>
                <a:noFill/>
              </a:ln>
              <a:effectLst/>
            </c:spPr>
            <c:txPr>
              <a:bodyPr/>
              <a:lstStyle/>
              <a:p>
                <a:pPr>
                  <a:defRPr b="1"/>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Loop_Modeling!$O$9</c:f>
              <c:numCache>
                <c:formatCode>0</c:formatCode>
                <c:ptCount val="1"/>
                <c:pt idx="0">
                  <c:v>11002.913492885855</c:v>
                </c:pt>
              </c:numCache>
            </c:numRef>
          </c:xVal>
          <c:yVal>
            <c:numRef>
              <c:f>Loop_Modeling!$AT$9</c:f>
              <c:numCache>
                <c:formatCode>0.000</c:formatCode>
                <c:ptCount val="1"/>
                <c:pt idx="0">
                  <c:v>-22.662126162166125</c:v>
                </c:pt>
              </c:numCache>
            </c:numRef>
          </c:yVal>
          <c:smooth val="1"/>
          <c:extLst>
            <c:ext xmlns:c16="http://schemas.microsoft.com/office/drawing/2014/chart" uri="{C3380CC4-5D6E-409C-BE32-E72D297353CC}">
              <c16:uniqueId val="{00000004-2470-421C-8EF3-DF4BAC2DF802}"/>
            </c:ext>
          </c:extLst>
        </c:ser>
        <c:ser>
          <c:idx val="4"/>
          <c:order val="4"/>
          <c:tx>
            <c:v>f_esr</c:v>
          </c:tx>
          <c:spPr>
            <a:ln>
              <a:noFill/>
            </a:ln>
          </c:spPr>
          <c:marker>
            <c:symbol val="circle"/>
            <c:size val="5"/>
            <c:spPr>
              <a:noFill/>
              <a:ln w="19050">
                <a:solidFill>
                  <a:schemeClr val="tx1"/>
                </a:solidFill>
              </a:ln>
            </c:spPr>
          </c:marker>
          <c:dPt>
            <c:idx val="0"/>
            <c:marker>
              <c:symbol val="circle"/>
              <c:size val="7"/>
            </c:marker>
            <c:bubble3D val="0"/>
            <c:extLst>
              <c:ext xmlns:c16="http://schemas.microsoft.com/office/drawing/2014/chart" uri="{C3380CC4-5D6E-409C-BE32-E72D297353CC}">
                <c16:uniqueId val="{00000005-2470-421C-8EF3-DF4BAC2DF802}"/>
              </c:ext>
            </c:extLst>
          </c:dPt>
          <c:dLbls>
            <c:dLbl>
              <c:idx val="0"/>
              <c:layout>
                <c:manualLayout>
                  <c:x val="-5.990474489899654E-2"/>
                  <c:y val="-1.2457193490087108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2470-421C-8EF3-DF4BAC2DF802}"/>
                </c:ext>
              </c:extLst>
            </c:dLbl>
            <c:spPr>
              <a:noFill/>
              <a:ln>
                <a:noFill/>
              </a:ln>
              <a:effectLst/>
            </c:spPr>
            <c:txPr>
              <a:bodyPr/>
              <a:lstStyle/>
              <a:p>
                <a:pPr>
                  <a:defRPr b="1"/>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Loop_Modeling!$O$10</c:f>
              <c:numCache>
                <c:formatCode>0</c:formatCode>
                <c:ptCount val="1"/>
                <c:pt idx="0">
                  <c:v>7957747.1545947678</c:v>
                </c:pt>
              </c:numCache>
            </c:numRef>
          </c:xVal>
          <c:yVal>
            <c:numRef>
              <c:f>Loop_Modeling!$AT$10</c:f>
              <c:numCache>
                <c:formatCode>0.000</c:formatCode>
                <c:ptCount val="1"/>
                <c:pt idx="0">
                  <c:v>-178.2326238589277</c:v>
                </c:pt>
              </c:numCache>
            </c:numRef>
          </c:yVal>
          <c:smooth val="1"/>
          <c:extLst>
            <c:ext xmlns:c16="http://schemas.microsoft.com/office/drawing/2014/chart" uri="{C3380CC4-5D6E-409C-BE32-E72D297353CC}">
              <c16:uniqueId val="{00000006-2470-421C-8EF3-DF4BAC2DF802}"/>
            </c:ext>
          </c:extLst>
        </c:ser>
        <c:ser>
          <c:idx val="5"/>
          <c:order val="5"/>
          <c:tx>
            <c:v>fz_ea</c:v>
          </c:tx>
          <c:marker>
            <c:symbol val="circle"/>
            <c:size val="8"/>
            <c:spPr>
              <a:noFill/>
              <a:ln w="25400">
                <a:solidFill>
                  <a:srgbClr val="00B0F0"/>
                </a:solidFill>
              </a:ln>
            </c:spPr>
          </c:marker>
          <c:dLbls>
            <c:dLbl>
              <c:idx val="0"/>
              <c:spPr/>
              <c:txPr>
                <a:bodyPr/>
                <a:lstStyle/>
                <a:p>
                  <a:pPr>
                    <a:defRPr b="1"/>
                  </a:pPr>
                  <a:endParaRPr lang="en-US"/>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2470-421C-8EF3-DF4BAC2DF802}"/>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Loop_Modeling!$O$12</c:f>
              <c:numCache>
                <c:formatCode>General</c:formatCode>
                <c:ptCount val="1"/>
                <c:pt idx="0">
                  <c:v>15.915494309189532</c:v>
                </c:pt>
              </c:numCache>
            </c:numRef>
          </c:xVal>
          <c:yVal>
            <c:numRef>
              <c:f>Loop_Modeling!$AT$12</c:f>
              <c:numCache>
                <c:formatCode>0.000</c:formatCode>
                <c:ptCount val="1"/>
                <c:pt idx="0">
                  <c:v>33.297288042193344</c:v>
                </c:pt>
              </c:numCache>
            </c:numRef>
          </c:yVal>
          <c:smooth val="1"/>
          <c:extLst>
            <c:ext xmlns:c16="http://schemas.microsoft.com/office/drawing/2014/chart" uri="{C3380CC4-5D6E-409C-BE32-E72D297353CC}">
              <c16:uniqueId val="{00000008-2470-421C-8EF3-DF4BAC2DF802}"/>
            </c:ext>
          </c:extLst>
        </c:ser>
        <c:ser>
          <c:idx val="6"/>
          <c:order val="6"/>
          <c:tx>
            <c:v>fp_ea</c:v>
          </c:tx>
          <c:marker>
            <c:symbol val="x"/>
            <c:size val="7"/>
            <c:spPr>
              <a:noFill/>
              <a:ln w="25400">
                <a:solidFill>
                  <a:srgbClr val="00B0F0"/>
                </a:solidFill>
              </a:ln>
            </c:spPr>
          </c:marker>
          <c:dLbls>
            <c:dLbl>
              <c:idx val="0"/>
              <c:layout>
                <c:manualLayout>
                  <c:x val="-5.3995739911983948E-2"/>
                  <c:y val="3.3712510009006609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9-2470-421C-8EF3-DF4BAC2DF802}"/>
                </c:ext>
              </c:extLst>
            </c:dLbl>
            <c:spPr>
              <a:noFill/>
              <a:ln>
                <a:noFill/>
              </a:ln>
              <a:effectLst/>
            </c:spPr>
            <c:txPr>
              <a:bodyPr/>
              <a:lstStyle/>
              <a:p>
                <a:pPr>
                  <a:defRPr b="1"/>
                </a:pPr>
                <a:endParaRPr lang="en-US"/>
              </a:p>
            </c:tx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Loop_Modeling!$O$13</c:f>
              <c:numCache>
                <c:formatCode>General</c:formatCode>
                <c:ptCount val="1"/>
                <c:pt idx="0">
                  <c:v>15931.409803498724</c:v>
                </c:pt>
              </c:numCache>
            </c:numRef>
          </c:xVal>
          <c:yVal>
            <c:numRef>
              <c:f>Loop_Modeling!$AT$13</c:f>
              <c:numCache>
                <c:formatCode>0.000</c:formatCode>
                <c:ptCount val="1"/>
                <c:pt idx="0">
                  <c:v>-22.246708182222893</c:v>
                </c:pt>
              </c:numCache>
            </c:numRef>
          </c:yVal>
          <c:smooth val="1"/>
          <c:extLst>
            <c:ext xmlns:c16="http://schemas.microsoft.com/office/drawing/2014/chart" uri="{C3380CC4-5D6E-409C-BE32-E72D297353CC}">
              <c16:uniqueId val="{0000000A-2470-421C-8EF3-DF4BAC2DF802}"/>
            </c:ext>
          </c:extLst>
        </c:ser>
        <c:dLbls>
          <c:showLegendKey val="0"/>
          <c:showVal val="0"/>
          <c:showCatName val="0"/>
          <c:showSerName val="0"/>
          <c:showPercent val="0"/>
          <c:showBubbleSize val="0"/>
        </c:dLbls>
        <c:axId val="144369152"/>
        <c:axId val="144371072"/>
      </c:scatterChart>
      <c:scatterChart>
        <c:scatterStyle val="smoothMarker"/>
        <c:varyColors val="0"/>
        <c:ser>
          <c:idx val="1"/>
          <c:order val="1"/>
          <c:tx>
            <c:v>Phase (deg)</c:v>
          </c:tx>
          <c:spPr>
            <a:ln w="28575">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Loop_Modeling!$AU$19:$AU$560</c:f>
              <c:numCache>
                <c:formatCode>General</c:formatCode>
                <c:ptCount val="542"/>
                <c:pt idx="0">
                  <c:v>59.10456377780077</c:v>
                </c:pt>
                <c:pt idx="1">
                  <c:v>59.182757215999743</c:v>
                </c:pt>
                <c:pt idx="2">
                  <c:v>59.273795241015712</c:v>
                </c:pt>
                <c:pt idx="3">
                  <c:v>59.377510388856599</c:v>
                </c:pt>
                <c:pt idx="4">
                  <c:v>59.493713246521565</c:v>
                </c:pt>
                <c:pt idx="5">
                  <c:v>59.622193085967275</c:v>
                </c:pt>
                <c:pt idx="6">
                  <c:v>59.76271856941915</c:v>
                </c:pt>
                <c:pt idx="7">
                  <c:v>59.915038523307487</c:v>
                </c:pt>
                <c:pt idx="8">
                  <c:v>60.078882777739175</c:v>
                </c:pt>
                <c:pt idx="9">
                  <c:v>60.25396306806995</c:v>
                </c:pt>
                <c:pt idx="10">
                  <c:v>60.439973994742907</c:v>
                </c:pt>
                <c:pt idx="11">
                  <c:v>60.636594037213392</c:v>
                </c:pt>
                <c:pt idx="12">
                  <c:v>60.843486617401524</c:v>
                </c:pt>
                <c:pt idx="13">
                  <c:v>61.060301207768156</c:v>
                </c:pt>
                <c:pt idx="14">
                  <c:v>61.286674478774337</c:v>
                </c:pt>
                <c:pt idx="15">
                  <c:v>61.522231480183564</c:v>
                </c:pt>
                <c:pt idx="16">
                  <c:v>61.766586850382701</c:v>
                </c:pt>
                <c:pt idx="17">
                  <c:v>62.019346047670659</c:v>
                </c:pt>
                <c:pt idx="18">
                  <c:v>62.280106597262105</c:v>
                </c:pt>
                <c:pt idx="19">
                  <c:v>62.548459347628196</c:v>
                </c:pt>
                <c:pt idx="20">
                  <c:v>62.823989729689622</c:v>
                </c:pt>
                <c:pt idx="21">
                  <c:v>63.1062790123691</c:v>
                </c:pt>
                <c:pt idx="22">
                  <c:v>63.394905548034821</c:v>
                </c:pt>
                <c:pt idx="23">
                  <c:v>63.68944600146115</c:v>
                </c:pt>
                <c:pt idx="24">
                  <c:v>63.989476556100527</c:v>
                </c:pt>
                <c:pt idx="25">
                  <c:v>64.294574091675869</c:v>
                </c:pt>
                <c:pt idx="26">
                  <c:v>64.604317327382716</c:v>
                </c:pt>
                <c:pt idx="27">
                  <c:v>64.918287925337552</c:v>
                </c:pt>
                <c:pt idx="28">
                  <c:v>65.236071549282883</c:v>
                </c:pt>
                <c:pt idx="29">
                  <c:v>65.557258874007502</c:v>
                </c:pt>
                <c:pt idx="30">
                  <c:v>65.881446541405452</c:v>
                </c:pt>
                <c:pt idx="31">
                  <c:v>66.208238059610366</c:v>
                </c:pt>
                <c:pt idx="32">
                  <c:v>66.537244642165021</c:v>
                </c:pt>
                <c:pt idx="33">
                  <c:v>66.868085984742393</c:v>
                </c:pt>
                <c:pt idx="34">
                  <c:v>67.200390977484616</c:v>
                </c:pt>
                <c:pt idx="35">
                  <c:v>67.533798351586952</c:v>
                </c:pt>
                <c:pt idx="36">
                  <c:v>67.867957259302116</c:v>
                </c:pt>
                <c:pt idx="37">
                  <c:v>68.202527787082488</c:v>
                </c:pt>
                <c:pt idx="38">
                  <c:v>68.537181402085807</c:v>
                </c:pt>
                <c:pt idx="39">
                  <c:v>68.87160133276781</c:v>
                </c:pt>
                <c:pt idx="40">
                  <c:v>69.205482884736227</c:v>
                </c:pt>
                <c:pt idx="41">
                  <c:v>69.538533693469574</c:v>
                </c:pt>
                <c:pt idx="42">
                  <c:v>69.870473915879231</c:v>
                </c:pt>
                <c:pt idx="43">
                  <c:v>70.20103636303817</c:v>
                </c:pt>
                <c:pt idx="44">
                  <c:v>70.529966576695443</c:v>
                </c:pt>
                <c:pt idx="45">
                  <c:v>70.85702285244578</c:v>
                </c:pt>
                <c:pt idx="46">
                  <c:v>71.181976212631611</c:v>
                </c:pt>
                <c:pt idx="47">
                  <c:v>71.504610332217354</c:v>
                </c:pt>
                <c:pt idx="48">
                  <c:v>71.824721420995658</c:v>
                </c:pt>
                <c:pt idx="49">
                  <c:v>72.1421180655651</c:v>
                </c:pt>
                <c:pt idx="50">
                  <c:v>72.456621034559191</c:v>
                </c:pt>
                <c:pt idx="51">
                  <c:v>72.768063050609967</c:v>
                </c:pt>
                <c:pt idx="52">
                  <c:v>73.076288532503</c:v>
                </c:pt>
                <c:pt idx="53">
                  <c:v>73.38115331092429</c:v>
                </c:pt>
                <c:pt idx="54">
                  <c:v>73.682524321111345</c:v>
                </c:pt>
                <c:pt idx="55">
                  <c:v>73.980279275618884</c:v>
                </c:pt>
                <c:pt idx="56">
                  <c:v>74.274306320282108</c:v>
                </c:pt>
                <c:pt idx="57">
                  <c:v>74.564503676316761</c:v>
                </c:pt>
                <c:pt idx="58">
                  <c:v>74.850779271344464</c:v>
                </c:pt>
                <c:pt idx="59">
                  <c:v>75.133050361962461</c:v>
                </c:pt>
                <c:pt idx="60">
                  <c:v>75.411243150308934</c:v>
                </c:pt>
                <c:pt idx="61">
                  <c:v>75.685292396898419</c:v>
                </c:pt>
                <c:pt idx="62">
                  <c:v>75.955141031821427</c:v>
                </c:pt>
                <c:pt idx="63">
                  <c:v>76.220739766228064</c:v>
                </c:pt>
                <c:pt idx="64">
                  <c:v>76.482046705836652</c:v>
                </c:pt>
                <c:pt idx="65">
                  <c:v>76.739026968036853</c:v>
                </c:pt>
                <c:pt idx="66">
                  <c:v>76.991652303990463</c:v>
                </c:pt>
                <c:pt idx="67">
                  <c:v>77.239900726969012</c:v>
                </c:pt>
                <c:pt idx="68">
                  <c:v>77.48375614801634</c:v>
                </c:pt>
                <c:pt idx="69">
                  <c:v>77.723208019874392</c:v>
                </c:pt>
                <c:pt idx="70">
                  <c:v>77.958250989973962</c:v>
                </c:pt>
                <c:pt idx="71">
                  <c:v>78.188884563163981</c:v>
                </c:pt>
                <c:pt idx="72">
                  <c:v>78.415112774727589</c:v>
                </c:pt>
                <c:pt idx="73">
                  <c:v>78.636943874125265</c:v>
                </c:pt>
                <c:pt idx="74">
                  <c:v>78.85439001980258</c:v>
                </c:pt>
                <c:pt idx="75">
                  <c:v>79.067466985301877</c:v>
                </c:pt>
                <c:pt idx="76">
                  <c:v>79.276193876837056</c:v>
                </c:pt>
                <c:pt idx="77">
                  <c:v>79.480592862409921</c:v>
                </c:pt>
                <c:pt idx="78">
                  <c:v>79.680688912476271</c:v>
                </c:pt>
                <c:pt idx="79">
                  <c:v>79.876509552114456</c:v>
                </c:pt>
                <c:pt idx="80">
                  <c:v>80.068084624586234</c:v>
                </c:pt>
                <c:pt idx="81">
                  <c:v>80.255446066138575</c:v>
                </c:pt>
                <c:pt idx="82">
                  <c:v>80.438627691851465</c:v>
                </c:pt>
                <c:pt idx="83">
                  <c:v>80.617664992300604</c:v>
                </c:pt>
                <c:pt idx="84">
                  <c:v>80.792594940775643</c:v>
                </c:pt>
                <c:pt idx="85">
                  <c:v>80.963455810767286</c:v>
                </c:pt>
                <c:pt idx="86">
                  <c:v>81.130287003420023</c:v>
                </c:pt>
                <c:pt idx="87">
                  <c:v>81.293128884625332</c:v>
                </c:pt>
                <c:pt idx="88">
                  <c:v>81.452022631424299</c:v>
                </c:pt>
                <c:pt idx="89">
                  <c:v>81.607010087373808</c:v>
                </c:pt>
                <c:pt idx="90">
                  <c:v>81.758133626528206</c:v>
                </c:pt>
                <c:pt idx="91">
                  <c:v>81.90543602568313</c:v>
                </c:pt>
                <c:pt idx="92">
                  <c:v>82.048960344527003</c:v>
                </c:pt>
                <c:pt idx="93">
                  <c:v>82.188749813349716</c:v>
                </c:pt>
                <c:pt idx="94">
                  <c:v>82.324847727955955</c:v>
                </c:pt>
                <c:pt idx="95">
                  <c:v>82.457297351439919</c:v>
                </c:pt>
                <c:pt idx="96">
                  <c:v>82.586141822481267</c:v>
                </c:pt>
                <c:pt idx="97">
                  <c:v>82.711424069830485</c:v>
                </c:pt>
                <c:pt idx="98">
                  <c:v>82.833186732657708</c:v>
                </c:pt>
                <c:pt idx="99">
                  <c:v>82.951472086451375</c:v>
                </c:pt>
                <c:pt idx="100">
                  <c:v>83.066321974157958</c:v>
                </c:pt>
                <c:pt idx="101">
                  <c:v>83.177777742267509</c:v>
                </c:pt>
                <c:pt idx="102">
                  <c:v>83.285880181558397</c:v>
                </c:pt>
                <c:pt idx="103">
                  <c:v>83.390669472223436</c:v>
                </c:pt>
                <c:pt idx="104">
                  <c:v>83.492185133114262</c:v>
                </c:pt>
                <c:pt idx="105">
                  <c:v>83.590465974846026</c:v>
                </c:pt>
                <c:pt idx="106">
                  <c:v>83.685550056520398</c:v>
                </c:pt>
                <c:pt idx="107">
                  <c:v>83.777474645831632</c:v>
                </c:pt>
                <c:pt idx="108">
                  <c:v>83.866276182332044</c:v>
                </c:pt>
                <c:pt idx="109">
                  <c:v>83.951990243644147</c:v>
                </c:pt>
                <c:pt idx="110">
                  <c:v>84.034651514416424</c:v>
                </c:pt>
                <c:pt idx="111">
                  <c:v>84.114293757828108</c:v>
                </c:pt>
                <c:pt idx="112">
                  <c:v>84.190949789460348</c:v>
                </c:pt>
                <c:pt idx="113">
                  <c:v>84.264651453358169</c:v>
                </c:pt>
                <c:pt idx="114">
                  <c:v>84.335429600118573</c:v>
                </c:pt>
                <c:pt idx="115">
                  <c:v>84.403314066846036</c:v>
                </c:pt>
                <c:pt idx="116">
                  <c:v>84.468333658828385</c:v>
                </c:pt>
                <c:pt idx="117">
                  <c:v>84.530516132791718</c:v>
                </c:pt>
                <c:pt idx="118">
                  <c:v>84.589888181600614</c:v>
                </c:pt>
                <c:pt idx="119">
                  <c:v>84.64647542027879</c:v>
                </c:pt>
                <c:pt idx="120">
                  <c:v>84.700302373231693</c:v>
                </c:pt>
                <c:pt idx="121">
                  <c:v>84.751392462557462</c:v>
                </c:pt>
                <c:pt idx="122">
                  <c:v>84.799767997343082</c:v>
                </c:pt>
                <c:pt idx="123">
                  <c:v>84.845450163843708</c:v>
                </c:pt>
                <c:pt idx="124">
                  <c:v>84.888459016453538</c:v>
                </c:pt>
                <c:pt idx="125">
                  <c:v>84.928813469377914</c:v>
                </c:pt>
                <c:pt idx="126">
                  <c:v>84.966531288926063</c:v>
                </c:pt>
                <c:pt idx="127">
                  <c:v>85.001629086343584</c:v>
                </c:pt>
                <c:pt idx="128">
                  <c:v>85.034122311113066</c:v>
                </c:pt>
                <c:pt idx="129">
                  <c:v>85.064025244653479</c:v>
                </c:pt>
                <c:pt idx="130">
                  <c:v>85.091350994352396</c:v>
                </c:pt>
                <c:pt idx="131">
                  <c:v>85.116111487871464</c:v>
                </c:pt>
                <c:pt idx="132">
                  <c:v>85.138317467666383</c:v>
                </c:pt>
                <c:pt idx="133">
                  <c:v>85.15797848566875</c:v>
                </c:pt>
                <c:pt idx="134">
                  <c:v>85.175102898078421</c:v>
                </c:pt>
                <c:pt idx="135">
                  <c:v>85.189697860219269</c:v>
                </c:pt>
                <c:pt idx="136">
                  <c:v>85.20176932141365</c:v>
                </c:pt>
                <c:pt idx="137">
                  <c:v>85.211322019833815</c:v>
                </c:pt>
                <c:pt idx="138">
                  <c:v>85.218359477290718</c:v>
                </c:pt>
                <c:pt idx="139">
                  <c:v>85.222883993923915</c:v>
                </c:pt>
                <c:pt idx="140">
                  <c:v>85.224896642757116</c:v>
                </c:pt>
                <c:pt idx="141">
                  <c:v>85.2243972640876</c:v>
                </c:pt>
                <c:pt idx="142">
                  <c:v>85.221384459678688</c:v>
                </c:pt>
                <c:pt idx="143">
                  <c:v>85.215855586726363</c:v>
                </c:pt>
                <c:pt idx="144">
                  <c:v>85.207806751573571</c:v>
                </c:pt>
                <c:pt idx="145">
                  <c:v>85.197232803146761</c:v>
                </c:pt>
                <c:pt idx="146">
                  <c:v>85.184127326090703</c:v>
                </c:pt>
                <c:pt idx="147">
                  <c:v>85.168482633579615</c:v>
                </c:pt>
                <c:pt idx="148">
                  <c:v>85.150289759783661</c:v>
                </c:pt>
                <c:pt idx="149">
                  <c:v>85.129538451970845</c:v>
                </c:pt>
                <c:pt idx="150">
                  <c:v>85.106217162226287</c:v>
                </c:pt>
                <c:pt idx="151">
                  <c:v>85.080313038771294</c:v>
                </c:pt>
                <c:pt idx="152">
                  <c:v>85.051811916866129</c:v>
                </c:pt>
                <c:pt idx="153">
                  <c:v>85.020698309281087</c:v>
                </c:pt>
                <c:pt idx="154">
                  <c:v>84.986955396322145</c:v>
                </c:pt>
                <c:pt idx="155">
                  <c:v>84.950565015397004</c:v>
                </c:pt>
                <c:pt idx="156">
                  <c:v>84.911507650110238</c:v>
                </c:pt>
                <c:pt idx="157">
                  <c:v>84.869762418874458</c:v>
                </c:pt>
                <c:pt idx="158">
                  <c:v>84.825307063028731</c:v>
                </c:pt>
                <c:pt idx="159">
                  <c:v>84.77811793445187</c:v>
                </c:pt>
                <c:pt idx="160">
                  <c:v>84.728169982663843</c:v>
                </c:pt>
                <c:pt idx="161">
                  <c:v>84.675436741404738</c:v>
                </c:pt>
                <c:pt idx="162">
                  <c:v>84.619890314684966</c:v>
                </c:pt>
                <c:pt idx="163">
                  <c:v>84.561501362299367</c:v>
                </c:pt>
                <c:pt idx="164">
                  <c:v>84.500239084798523</c:v>
                </c:pt>
                <c:pt idx="165">
                  <c:v>84.436071207912306</c:v>
                </c:pt>
                <c:pt idx="166">
                  <c:v>84.368963966421035</c:v>
                </c:pt>
                <c:pt idx="167">
                  <c:v>84.298882087469721</c:v>
                </c:pt>
                <c:pt idx="168">
                  <c:v>84.225788773322549</c:v>
                </c:pt>
                <c:pt idx="169">
                  <c:v>84.149645683555406</c:v>
                </c:pt>
                <c:pt idx="170">
                  <c:v>84.070412916684248</c:v>
                </c:pt>
                <c:pt idx="171">
                  <c:v>83.988048991229249</c:v>
                </c:pt>
                <c:pt idx="172">
                  <c:v>83.902510826215092</c:v>
                </c:pt>
                <c:pt idx="173">
                  <c:v>83.813753721107318</c:v>
                </c:pt>
                <c:pt idx="174">
                  <c:v>83.721731335188835</c:v>
                </c:pt>
                <c:pt idx="175">
                  <c:v>83.626395666377903</c:v>
                </c:pt>
                <c:pt idx="176">
                  <c:v>83.527697029493453</c:v>
                </c:pt>
                <c:pt idx="177">
                  <c:v>83.425584033972058</c:v>
                </c:pt>
                <c:pt idx="178">
                  <c:v>83.32000356104453</c:v>
                </c:pt>
                <c:pt idx="179">
                  <c:v>83.210900740379202</c:v>
                </c:pt>
                <c:pt idx="180">
                  <c:v>83.098218926202264</c:v>
                </c:pt>
                <c:pt idx="181">
                  <c:v>82.981899672905797</c:v>
                </c:pt>
                <c:pt idx="182">
                  <c:v>82.861882710156593</c:v>
                </c:pt>
                <c:pt idx="183">
                  <c:v>82.738105917519846</c:v>
                </c:pt>
                <c:pt idx="184">
                  <c:v>82.610505298614825</c:v>
                </c:pt>
                <c:pt idx="185">
                  <c:v>82.479014954819803</c:v>
                </c:pt>
                <c:pt idx="186">
                  <c:v>82.343567058547961</c:v>
                </c:pt>
                <c:pt idx="187">
                  <c:v>82.204091826116297</c:v>
                </c:pt>
                <c:pt idx="188">
                  <c:v>82.06051749023311</c:v>
                </c:pt>
                <c:pt idx="189">
                  <c:v>81.912770272131993</c:v>
                </c:pt>
                <c:pt idx="190">
                  <c:v>81.760774353382644</c:v>
                </c:pt>
                <c:pt idx="191">
                  <c:v>81.604451847413131</c:v>
                </c:pt>
                <c:pt idx="192">
                  <c:v>81.443722770779345</c:v>
                </c:pt>
                <c:pt idx="193">
                  <c:v>81.278505014222901</c:v>
                </c:pt>
                <c:pt idx="194">
                  <c:v>81.108714313561165</c:v>
                </c:pt>
                <c:pt idx="195">
                  <c:v>80.934264220457095</c:v>
                </c:pt>
                <c:pt idx="196">
                  <c:v>80.755066073121412</c:v>
                </c:pt>
                <c:pt idx="197">
                  <c:v>80.571028967003173</c:v>
                </c:pt>
                <c:pt idx="198">
                  <c:v>80.382059725530269</c:v>
                </c:pt>
                <c:pt idx="199">
                  <c:v>80.188062870965652</c:v>
                </c:pt>
                <c:pt idx="200">
                  <c:v>79.988940595451396</c:v>
                </c:pt>
                <c:pt idx="201">
                  <c:v>79.78459273231752</c:v>
                </c:pt>
                <c:pt idx="202">
                  <c:v>79.574916727738383</c:v>
                </c:pt>
                <c:pt idx="203">
                  <c:v>79.359807612827552</c:v>
                </c:pt>
                <c:pt idx="204">
                  <c:v>79.13915797626575</c:v>
                </c:pt>
                <c:pt idx="205">
                  <c:v>78.912857937567381</c:v>
                </c:pt>
                <c:pt idx="206">
                  <c:v>78.680795121094746</c:v>
                </c:pt>
                <c:pt idx="207">
                  <c:v>78.442854630940417</c:v>
                </c:pt>
                <c:pt idx="208">
                  <c:v>78.198919026805498</c:v>
                </c:pt>
                <c:pt idx="209">
                  <c:v>77.948868301008417</c:v>
                </c:pt>
                <c:pt idx="210">
                  <c:v>77.692579856772312</c:v>
                </c:pt>
                <c:pt idx="211">
                  <c:v>77.42992848794492</c:v>
                </c:pt>
                <c:pt idx="212">
                  <c:v>77.160786360317715</c:v>
                </c:pt>
                <c:pt idx="213">
                  <c:v>76.885022994720103</c:v>
                </c:pt>
                <c:pt idx="214">
                  <c:v>76.602505252079069</c:v>
                </c:pt>
                <c:pt idx="215">
                  <c:v>76.313097320640253</c:v>
                </c:pt>
                <c:pt idx="216">
                  <c:v>76.016660705566792</c:v>
                </c:pt>
                <c:pt idx="217">
                  <c:v>75.71305422113771</c:v>
                </c:pt>
                <c:pt idx="218">
                  <c:v>75.402133985786023</c:v>
                </c:pt>
                <c:pt idx="219">
                  <c:v>75.083753420228334</c:v>
                </c:pt>
                <c:pt idx="220">
                  <c:v>74.757763248950738</c:v>
                </c:pt>
                <c:pt idx="221">
                  <c:v>74.424011505334633</c:v>
                </c:pt>
                <c:pt idx="222">
                  <c:v>74.082343540716565</c:v>
                </c:pt>
                <c:pt idx="223">
                  <c:v>73.732602037693454</c:v>
                </c:pt>
                <c:pt idx="224">
                  <c:v>73.374627028001996</c:v>
                </c:pt>
                <c:pt idx="225">
                  <c:v>73.008255915313484</c:v>
                </c:pt>
                <c:pt idx="226">
                  <c:v>72.633323503303998</c:v>
                </c:pt>
                <c:pt idx="227">
                  <c:v>72.24966202937641</c:v>
                </c:pt>
                <c:pt idx="228">
                  <c:v>71.85710120442387</c:v>
                </c:pt>
                <c:pt idx="229">
                  <c:v>71.455468259042632</c:v>
                </c:pt>
                <c:pt idx="230">
                  <c:v>71.044587996620351</c:v>
                </c:pt>
                <c:pt idx="231">
                  <c:v>70.624282853732836</c:v>
                </c:pt>
                <c:pt idx="232">
                  <c:v>70.194372968309366</c:v>
                </c:pt>
                <c:pt idx="233">
                  <c:v>69.754676256027338</c:v>
                </c:pt>
                <c:pt idx="234">
                  <c:v>69.305008495419926</c:v>
                </c:pt>
                <c:pt idx="235">
                  <c:v>68.845183422188057</c:v>
                </c:pt>
                <c:pt idx="236">
                  <c:v>68.375012833216317</c:v>
                </c:pt>
                <c:pt idx="237">
                  <c:v>67.894306700804179</c:v>
                </c:pt>
                <c:pt idx="238">
                  <c:v>67.402873297625817</c:v>
                </c:pt>
                <c:pt idx="239">
                  <c:v>66.90051933294086</c:v>
                </c:pt>
                <c:pt idx="240">
                  <c:v>66.387050100571358</c:v>
                </c:pt>
                <c:pt idx="241">
                  <c:v>65.862269639161312</c:v>
                </c:pt>
                <c:pt idx="242">
                  <c:v>65.325980905230594</c:v>
                </c:pt>
                <c:pt idx="243">
                  <c:v>64.777985959515931</c:v>
                </c:pt>
                <c:pt idx="244">
                  <c:v>64.218086167082973</c:v>
                </c:pt>
                <c:pt idx="245">
                  <c:v>63.646082411664572</c:v>
                </c:pt>
                <c:pt idx="246">
                  <c:v>63.061775324656395</c:v>
                </c:pt>
                <c:pt idx="247">
                  <c:v>62.464965529163813</c:v>
                </c:pt>
                <c:pt idx="248">
                  <c:v>61.855453899448797</c:v>
                </c:pt>
                <c:pt idx="249">
                  <c:v>61.23304183607766</c:v>
                </c:pt>
                <c:pt idx="250">
                  <c:v>60.597531557003101</c:v>
                </c:pt>
                <c:pt idx="251">
                  <c:v>59.948726404750801</c:v>
                </c:pt>
                <c:pt idx="252">
                  <c:v>59.286431169789353</c:v>
                </c:pt>
                <c:pt idx="253">
                  <c:v>58.610452430074503</c:v>
                </c:pt>
                <c:pt idx="254">
                  <c:v>57.920598906649268</c:v>
                </c:pt>
                <c:pt idx="255">
                  <c:v>57.216681835056491</c:v>
                </c:pt>
                <c:pt idx="256">
                  <c:v>56.498515352192882</c:v>
                </c:pt>
                <c:pt idx="257">
                  <c:v>55.765916898069591</c:v>
                </c:pt>
                <c:pt idx="258">
                  <c:v>55.018707631789155</c:v>
                </c:pt>
                <c:pt idx="259">
                  <c:v>54.256712860851067</c:v>
                </c:pt>
                <c:pt idx="260">
                  <c:v>53.479762482697829</c:v>
                </c:pt>
                <c:pt idx="261">
                  <c:v>52.68769143719458</c:v>
                </c:pt>
                <c:pt idx="262">
                  <c:v>51.880340168474973</c:v>
                </c:pt>
                <c:pt idx="263">
                  <c:v>51.05755509433763</c:v>
                </c:pt>
                <c:pt idx="264">
                  <c:v>50.219189081076657</c:v>
                </c:pt>
                <c:pt idx="265">
                  <c:v>49.365101921323252</c:v>
                </c:pt>
                <c:pt idx="266">
                  <c:v>48.495160812137811</c:v>
                </c:pt>
                <c:pt idx="267">
                  <c:v>47.609240830235279</c:v>
                </c:pt>
                <c:pt idx="268">
                  <c:v>46.707225400833863</c:v>
                </c:pt>
                <c:pt idx="269">
                  <c:v>45.789006756213446</c:v>
                </c:pt>
                <c:pt idx="270">
                  <c:v>44.854486379622372</c:v>
                </c:pt>
                <c:pt idx="271">
                  <c:v>43.903575429702947</c:v>
                </c:pt>
                <c:pt idx="272">
                  <c:v>42.93619514011003</c:v>
                </c:pt>
                <c:pt idx="273">
                  <c:v>41.952277188453657</c:v>
                </c:pt>
                <c:pt idx="274">
                  <c:v>40.951764028134974</c:v>
                </c:pt>
                <c:pt idx="275">
                  <c:v>39.934609176029738</c:v>
                </c:pt>
                <c:pt idx="276">
                  <c:v>38.900777448320994</c:v>
                </c:pt>
                <c:pt idx="277">
                  <c:v>37.850245136078392</c:v>
                </c:pt>
                <c:pt idx="278">
                  <c:v>36.783000111414637</c:v>
                </c:pt>
                <c:pt idx="279">
                  <c:v>35.69904185422719</c:v>
                </c:pt>
                <c:pt idx="280">
                  <c:v>34.598381388613518</c:v>
                </c:pt>
                <c:pt idx="281">
                  <c:v>33.481041117053046</c:v>
                </c:pt>
                <c:pt idx="282">
                  <c:v>32.347054539313127</c:v>
                </c:pt>
                <c:pt idx="283">
                  <c:v>31.196465841794243</c:v>
                </c:pt>
                <c:pt idx="284">
                  <c:v>30.029329341579825</c:v>
                </c:pt>
                <c:pt idx="285">
                  <c:v>28.845708767827809</c:v>
                </c:pt>
                <c:pt idx="286">
                  <c:v>27.645676361244107</c:v>
                </c:pt>
                <c:pt idx="287">
                  <c:v>26.429311770158307</c:v>
                </c:pt>
                <c:pt idx="288">
                  <c:v>25.196700719137691</c:v>
                </c:pt>
                <c:pt idx="289">
                  <c:v>23.947933422984338</c:v>
                </c:pt>
                <c:pt idx="290">
                  <c:v>22.683102715298947</c:v>
                </c:pt>
                <c:pt idx="291">
                  <c:v>21.402301856394615</c:v>
                </c:pt>
                <c:pt idx="292">
                  <c:v>20.10562198003468</c:v>
                </c:pt>
                <c:pt idx="293">
                  <c:v>18.793149132041862</c:v>
                </c:pt>
                <c:pt idx="294">
                  <c:v>17.464960845995712</c:v>
                </c:pt>
                <c:pt idx="295">
                  <c:v>16.121122191669393</c:v>
                </c:pt>
                <c:pt idx="296">
                  <c:v>14.761681220096881</c:v>
                </c:pt>
                <c:pt idx="297">
                  <c:v>13.386663714699411</c:v>
                </c:pt>
                <c:pt idx="298">
                  <c:v>11.996067139955048</c:v>
                </c:pt>
                <c:pt idx="299">
                  <c:v>10.589853656850233</c:v>
                </c:pt>
                <c:pt idx="300">
                  <c:v>9.167942046545793</c:v>
                </c:pt>
                <c:pt idx="301">
                  <c:v>7.7301983488642509</c:v>
                </c:pt>
                <c:pt idx="302">
                  <c:v>6.2764249783335524</c:v>
                </c:pt>
                <c:pt idx="303">
                  <c:v>4.8063480249881883</c:v>
                </c:pt>
                <c:pt idx="304">
                  <c:v>3.3196023764604656</c:v>
                </c:pt>
                <c:pt idx="305">
                  <c:v>1.8157142074421553</c:v>
                </c:pt>
                <c:pt idx="306">
                  <c:v>0.29408026611496757</c:v>
                </c:pt>
                <c:pt idx="307">
                  <c:v>-1.2460567638213857</c:v>
                </c:pt>
                <c:pt idx="308">
                  <c:v>-2.805637743971523</c:v>
                </c:pt>
                <c:pt idx="309">
                  <c:v>-4.3858225824551402</c:v>
                </c:pt>
                <c:pt idx="310">
                  <c:v>-5.9880332764622102</c:v>
                </c:pt>
                <c:pt idx="311">
                  <c:v>-7.6140064760027402</c:v>
                </c:pt>
                <c:pt idx="312">
                  <c:v>-9.2658581674489486</c:v>
                </c:pt>
                <c:pt idx="313">
                  <c:v>-10.946163917569114</c:v>
                </c:pt>
                <c:pt idx="314">
                  <c:v>-12.658059276342696</c:v>
                </c:pt>
                <c:pt idx="315">
                  <c:v>-14.405366544908921</c:v>
                </c:pt>
                <c:pt idx="316">
                  <c:v>-16.192756373932177</c:v>
                </c:pt>
                <c:pt idx="317">
                  <c:v>-18.025955868275421</c:v>
                </c:pt>
                <c:pt idx="318">
                  <c:v>-19.912019493845335</c:v>
                </c:pt>
                <c:pt idx="319">
                  <c:v>-21.859685816863447</c:v>
                </c:pt>
                <c:pt idx="320">
                  <c:v>-23.879853054915717</c:v>
                </c:pt>
                <c:pt idx="321">
                  <c:v>-25.986221321131094</c:v>
                </c:pt>
                <c:pt idx="322">
                  <c:v>-28.19617207438942</c:v>
                </c:pt>
                <c:pt idx="323">
                  <c:v>-30.531990122638426</c:v>
                </c:pt>
                <c:pt idx="324">
                  <c:v>-33.022587794612093</c:v>
                </c:pt>
                <c:pt idx="325">
                  <c:v>-35.705976213523826</c:v>
                </c:pt>
                <c:pt idx="326">
                  <c:v>-38.632863139339968</c:v>
                </c:pt>
                <c:pt idx="327">
                  <c:v>-41.87196692040866</c:v>
                </c:pt>
                <c:pt idx="328">
                  <c:v>-45.517951866019281</c:v>
                </c:pt>
                <c:pt idx="329">
                  <c:v>-49.703314302872734</c:v>
                </c:pt>
                <c:pt idx="330">
                  <c:v>-54.615920720862903</c:v>
                </c:pt>
                <c:pt idx="331">
                  <c:v>-60.523404824759595</c:v>
                </c:pt>
                <c:pt idx="332">
                  <c:v>-67.801201292831607</c:v>
                </c:pt>
                <c:pt idx="333">
                  <c:v>-76.943148359167495</c:v>
                </c:pt>
                <c:pt idx="334">
                  <c:v>-88.482160219784419</c:v>
                </c:pt>
                <c:pt idx="335">
                  <c:v>-102.66758114112744</c:v>
                </c:pt>
                <c:pt idx="336">
                  <c:v>-118.85365411097111</c:v>
                </c:pt>
                <c:pt idx="337">
                  <c:v>-135.25382239738863</c:v>
                </c:pt>
                <c:pt idx="338">
                  <c:v>-149.92718881610026</c:v>
                </c:pt>
                <c:pt idx="339">
                  <c:v>-161.96949128598087</c:v>
                </c:pt>
                <c:pt idx="340">
                  <c:v>-171.49468314060761</c:v>
                </c:pt>
                <c:pt idx="341">
                  <c:v>-179.01397114559967</c:v>
                </c:pt>
                <c:pt idx="342">
                  <c:v>174.95815508274742</c:v>
                </c:pt>
                <c:pt idx="343">
                  <c:v>170.02019933802839</c:v>
                </c:pt>
                <c:pt idx="344">
                  <c:v>165.88352084470097</c:v>
                </c:pt>
                <c:pt idx="345">
                  <c:v>162.34518563657412</c:v>
                </c:pt>
                <c:pt idx="346">
                  <c:v>159.2622212795992</c:v>
                </c:pt>
                <c:pt idx="347">
                  <c:v>156.5326606435986</c:v>
                </c:pt>
                <c:pt idx="348">
                  <c:v>154.08259911778964</c:v>
                </c:pt>
                <c:pt idx="349">
                  <c:v>151.85754417116121</c:v>
                </c:pt>
                <c:pt idx="350">
                  <c:v>149.81663204320628</c:v>
                </c:pt>
                <c:pt idx="351">
                  <c:v>147.92872341587352</c:v>
                </c:pt>
                <c:pt idx="352">
                  <c:v>146.1697308607672</c:v>
                </c:pt>
                <c:pt idx="353">
                  <c:v>144.52076110659942</c:v>
                </c:pt>
                <c:pt idx="354">
                  <c:v>142.96680335302983</c:v>
                </c:pt>
                <c:pt idx="355">
                  <c:v>141.49578889515661</c:v>
                </c:pt>
                <c:pt idx="356">
                  <c:v>140.09790705950817</c:v>
                </c:pt>
                <c:pt idx="357">
                  <c:v>138.76510070963772</c:v>
                </c:pt>
                <c:pt idx="358">
                  <c:v>137.49068936698146</c:v>
                </c:pt>
                <c:pt idx="359">
                  <c:v>136.26908426671628</c:v>
                </c:pt>
                <c:pt idx="360">
                  <c:v>135.09557050133199</c:v>
                </c:pt>
                <c:pt idx="361">
                  <c:v>133.96613871601687</c:v>
                </c:pt>
                <c:pt idx="362">
                  <c:v>132.87735382162563</c:v>
                </c:pt>
                <c:pt idx="363">
                  <c:v>131.82625165755246</c:v>
                </c:pt>
                <c:pt idx="364">
                  <c:v>130.81025696957755</c:v>
                </c:pt>
                <c:pt idx="365">
                  <c:v>129.82711779545679</c:v>
                </c:pt>
                <c:pt idx="366">
                  <c:v>128.87485259191877</c:v>
                </c:pt>
                <c:pt idx="367">
                  <c:v>127.95170733760762</c:v>
                </c:pt>
                <c:pt idx="368">
                  <c:v>127.05612050717625</c:v>
                </c:pt>
                <c:pt idx="369">
                  <c:v>126.18669430094296</c:v>
                </c:pt>
                <c:pt idx="370">
                  <c:v>125.34217088005273</c:v>
                </c:pt>
                <c:pt idx="371">
                  <c:v>124.52141263258834</c:v>
                </c:pt>
                <c:pt idx="372">
                  <c:v>123.72338570541466</c:v>
                </c:pt>
                <c:pt idx="373">
                  <c:v>122.9471461968473</c:v>
                </c:pt>
                <c:pt idx="374">
                  <c:v>122.19182852889158</c:v>
                </c:pt>
                <c:pt idx="375">
                  <c:v>121.45663561386556</c:v>
                </c:pt>
                <c:pt idx="376">
                  <c:v>120.74083050533432</c:v>
                </c:pt>
                <c:pt idx="377">
                  <c:v>120.04372928239066</c:v>
                </c:pt>
                <c:pt idx="378">
                  <c:v>119.36469496312212</c:v>
                </c:pt>
                <c:pt idx="379">
                  <c:v>118.70313228034775</c:v>
                </c:pt>
                <c:pt idx="380">
                  <c:v>118.05848318254897</c:v>
                </c:pt>
                <c:pt idx="381">
                  <c:v>117.43022294690689</c:v>
                </c:pt>
                <c:pt idx="382">
                  <c:v>116.8178568107712</c:v>
                </c:pt>
                <c:pt idx="383">
                  <c:v>116.22091704365822</c:v>
                </c:pt>
                <c:pt idx="384">
                  <c:v>115.63896039474054</c:v>
                </c:pt>
                <c:pt idx="385">
                  <c:v>115.0715658613412</c:v>
                </c:pt>
                <c:pt idx="386">
                  <c:v>114.51833273263037</c:v>
                </c:pt>
                <c:pt idx="387">
                  <c:v>113.97887886989264</c:v>
                </c:pt>
                <c:pt idx="388">
                  <c:v>113.45283919068461</c:v>
                </c:pt>
                <c:pt idx="389">
                  <c:v>112.93986432915737</c:v>
                </c:pt>
                <c:pt idx="390">
                  <c:v>112.43961944894563</c:v>
                </c:pt>
                <c:pt idx="391">
                  <c:v>111.95178318850284</c:v>
                </c:pt>
                <c:pt idx="392">
                  <c:v>111.47604672166385</c:v>
                </c:pt>
                <c:pt idx="393">
                  <c:v>111.01211291867642</c:v>
                </c:pt>
                <c:pt idx="394">
                  <c:v>110.55969559502061</c:v>
                </c:pt>
                <c:pt idx="395">
                  <c:v>110.11851883709069</c:v>
                </c:pt>
                <c:pt idx="396">
                  <c:v>109.68831639531288</c:v>
                </c:pt>
                <c:pt idx="397">
                  <c:v>109.26883113654488</c:v>
                </c:pt>
                <c:pt idx="398">
                  <c:v>108.85981454869268</c:v>
                </c:pt>
                <c:pt idx="399">
                  <c:v>108.46102629141065</c:v>
                </c:pt>
                <c:pt idx="400">
                  <c:v>108.07223378755089</c:v>
                </c:pt>
                <c:pt idx="401">
                  <c:v>107.69321185071449</c:v>
                </c:pt>
                <c:pt idx="402">
                  <c:v>107.32374234484907</c:v>
                </c:pt>
                <c:pt idx="403">
                  <c:v>106.96361387234759</c:v>
                </c:pt>
                <c:pt idx="404">
                  <c:v>106.61262148754633</c:v>
                </c:pt>
                <c:pt idx="405">
                  <c:v>106.27056643289762</c:v>
                </c:pt>
                <c:pt idx="406">
                  <c:v>105.93725589543263</c:v>
                </c:pt>
                <c:pt idx="407">
                  <c:v>105.61250278140979</c:v>
                </c:pt>
                <c:pt idx="408">
                  <c:v>105.29612550730084</c:v>
                </c:pt>
                <c:pt idx="409">
                  <c:v>104.98794780547975</c:v>
                </c:pt>
                <c:pt idx="410">
                  <c:v>104.68779854317918</c:v>
                </c:pt>
                <c:pt idx="411">
                  <c:v>104.39551155343445</c:v>
                </c:pt>
                <c:pt idx="412">
                  <c:v>104.11092547689209</c:v>
                </c:pt>
                <c:pt idx="413">
                  <c:v>103.8338836134804</c:v>
                </c:pt>
                <c:pt idx="414">
                  <c:v>103.56423378305415</c:v>
                </c:pt>
                <c:pt idx="415">
                  <c:v>103.30182819422639</c:v>
                </c:pt>
                <c:pt idx="416">
                  <c:v>103.04652332068186</c:v>
                </c:pt>
                <c:pt idx="417">
                  <c:v>102.79817978434916</c:v>
                </c:pt>
                <c:pt idx="418">
                  <c:v>102.55666224487074</c:v>
                </c:pt>
                <c:pt idx="419">
                  <c:v>102.32183929487167</c:v>
                </c:pt>
                <c:pt idx="420">
                  <c:v>102.09358336058214</c:v>
                </c:pt>
                <c:pt idx="421">
                  <c:v>101.87177060741068</c:v>
                </c:pt>
                <c:pt idx="422">
                  <c:v>101.65628085011038</c:v>
                </c:pt>
                <c:pt idx="423">
                  <c:v>101.44699746721517</c:v>
                </c:pt>
                <c:pt idx="424">
                  <c:v>101.24380731945553</c:v>
                </c:pt>
                <c:pt idx="425">
                  <c:v>101.04660067189035</c:v>
                </c:pt>
                <c:pt idx="426">
                  <c:v>100.85527111952082</c:v>
                </c:pt>
                <c:pt idx="427">
                  <c:v>100.66971551617092</c:v>
                </c:pt>
                <c:pt idx="428">
                  <c:v>100.4898339064417</c:v>
                </c:pt>
                <c:pt idx="429">
                  <c:v>100.31552946056298</c:v>
                </c:pt>
                <c:pt idx="430">
                  <c:v>100.1467084119849</c:v>
                </c:pt>
                <c:pt idx="431">
                  <c:v>99.98327999756151</c:v>
                </c:pt>
                <c:pt idx="432">
                  <c:v>99.825156400196789</c:v>
                </c:pt>
                <c:pt idx="433">
                  <c:v>99.672252693830117</c:v>
                </c:pt>
                <c:pt idx="434">
                  <c:v>99.524486790652176</c:v>
                </c:pt>
                <c:pt idx="435">
                  <c:v>99.38177939044914</c:v>
                </c:pt>
                <c:pt idx="436">
                  <c:v>99.244053931981966</c:v>
                </c:pt>
                <c:pt idx="437">
                  <c:v>99.111236546316135</c:v>
                </c:pt>
                <c:pt idx="438">
                  <c:v>98.983256012021215</c:v>
                </c:pt>
                <c:pt idx="439">
                  <c:v>98.860043712168661</c:v>
                </c:pt>
                <c:pt idx="440">
                  <c:v>98.741533593059742</c:v>
                </c:pt>
                <c:pt idx="441">
                  <c:v>98.627662124620031</c:v>
                </c:pt>
                <c:pt idx="442">
                  <c:v>98.518368262403001</c:v>
                </c:pt>
                <c:pt idx="443">
                  <c:v>98.413593411147943</c:v>
                </c:pt>
                <c:pt idx="444">
                  <c:v>98.313281389840526</c:v>
                </c:pt>
                <c:pt idx="445">
                  <c:v>98.21737839822886</c:v>
                </c:pt>
                <c:pt idx="446">
                  <c:v>98.125832984749735</c:v>
                </c:pt>
                <c:pt idx="447">
                  <c:v>98.038596015822392</c:v>
                </c:pt>
                <c:pt idx="448">
                  <c:v>97.955620646469924</c:v>
                </c:pt>
                <c:pt idx="449">
                  <c:v>97.876862292230442</c:v>
                </c:pt>
                <c:pt idx="450">
                  <c:v>97.802278602320499</c:v>
                </c:pt>
                <c:pt idx="451">
                  <c:v>97.731829434017413</c:v>
                </c:pt>
                <c:pt idx="452">
                  <c:v>97.66547682822663</c:v>
                </c:pt>
                <c:pt idx="453">
                  <c:v>97.603184986201597</c:v>
                </c:pt>
                <c:pt idx="454">
                  <c:v>97.544920247386543</c:v>
                </c:pt>
                <c:pt idx="455">
                  <c:v>97.490651068350402</c:v>
                </c:pt>
                <c:pt idx="456">
                  <c:v>97.440348002784077</c:v>
                </c:pt>
                <c:pt idx="457">
                  <c:v>97.393983682531697</c:v>
                </c:pt>
                <c:pt idx="458">
                  <c:v>97.351532799628202</c:v>
                </c:pt>
                <c:pt idx="459">
                  <c:v>97.312972089314826</c:v>
                </c:pt>
                <c:pt idx="460">
                  <c:v>97.27828031400594</c:v>
                </c:pt>
                <c:pt idx="461">
                  <c:v>97.247438248179549</c:v>
                </c:pt>
                <c:pt idx="462">
                  <c:v>97.220428664163535</c:v>
                </c:pt>
                <c:pt idx="463">
                  <c:v>97.19723631879134</c:v>
                </c:pt>
                <c:pt idx="464">
                  <c:v>97.177847940898673</c:v>
                </c:pt>
                <c:pt idx="465">
                  <c:v>97.162252219633103</c:v>
                </c:pt>
                <c:pt idx="466">
                  <c:v>97.150439793548813</c:v>
                </c:pt>
                <c:pt idx="467">
                  <c:v>97.14240324045673</c:v>
                </c:pt>
                <c:pt idx="468">
                  <c:v>97.138137068000574</c:v>
                </c:pt>
                <c:pt idx="469">
                  <c:v>97.137637704928324</c:v>
                </c:pt>
                <c:pt idx="470">
                  <c:v>97.140903493026769</c:v>
                </c:pt>
                <c:pt idx="471">
                  <c:v>97.147934679687637</c:v>
                </c:pt>
                <c:pt idx="472">
                  <c:v>97.158733411070074</c:v>
                </c:pt>
                <c:pt idx="473">
                  <c:v>97.173303725824766</c:v>
                </c:pt>
                <c:pt idx="474">
                  <c:v>97.19165154934278</c:v>
                </c:pt>
                <c:pt idx="475">
                  <c:v>97.213784688490065</c:v>
                </c:pt>
                <c:pt idx="476">
                  <c:v>97.239712826787553</c:v>
                </c:pt>
                <c:pt idx="477">
                  <c:v>97.26944751999396</c:v>
                </c:pt>
                <c:pt idx="478">
                  <c:v>97.303002192046407</c:v>
                </c:pt>
                <c:pt idx="479">
                  <c:v>97.340392131312271</c:v>
                </c:pt>
                <c:pt idx="480">
                  <c:v>97.381634487101522</c:v>
                </c:pt>
                <c:pt idx="481">
                  <c:v>97.426748266387719</c:v>
                </c:pt>
                <c:pt idx="482">
                  <c:v>97.475754330681397</c:v>
                </c:pt>
                <c:pt idx="483">
                  <c:v>97.528675392997386</c:v>
                </c:pt>
                <c:pt idx="484">
                  <c:v>97.585536014853531</c:v>
                </c:pt>
                <c:pt idx="485">
                  <c:v>97.646362603234508</c:v>
                </c:pt>
                <c:pt idx="486">
                  <c:v>97.711183407450733</c:v>
                </c:pt>
                <c:pt idx="487">
                  <c:v>97.780028515818415</c:v>
                </c:pt>
                <c:pt idx="488">
                  <c:v>97.852929852081076</c:v>
                </c:pt>
                <c:pt idx="489">
                  <c:v>97.929921171489752</c:v>
                </c:pt>
                <c:pt idx="490">
                  <c:v>98.011038056452847</c:v>
                </c:pt>
                <c:pt idx="491">
                  <c:v>98.096317911660989</c:v>
                </c:pt>
                <c:pt idx="492">
                  <c:v>98.185799958587864</c:v>
                </c:pt>
                <c:pt idx="493">
                  <c:v>98.279525229260727</c:v>
                </c:pt>
                <c:pt idx="494">
                  <c:v>98.377536559188272</c:v>
                </c:pt>
                <c:pt idx="495">
                  <c:v>98.479878579326879</c:v>
                </c:pt>
                <c:pt idx="496">
                  <c:v>98.586597706959978</c:v>
                </c:pt>
                <c:pt idx="497">
                  <c:v>98.697742135355725</c:v>
                </c:pt>
                <c:pt idx="498">
                  <c:v>98.813361822063115</c:v>
                </c:pt>
                <c:pt idx="499">
                  <c:v>98.93350847569684</c:v>
                </c:pt>
                <c:pt idx="500">
                  <c:v>99.058235541052866</c:v>
                </c:pt>
                <c:pt idx="501">
                  <c:v>99.187598182387859</c:v>
                </c:pt>
                <c:pt idx="502">
                  <c:v>99.321653264688095</c:v>
                </c:pt>
                <c:pt idx="503">
                  <c:v>99.460459332741252</c:v>
                </c:pt>
                <c:pt idx="504">
                  <c:v>99.604076587815399</c:v>
                </c:pt>
                <c:pt idx="505">
                  <c:v>99.752566861742253</c:v>
                </c:pt>
                <c:pt idx="506">
                  <c:v>99.905993588186448</c:v>
                </c:pt>
                <c:pt idx="507">
                  <c:v>100.06442177087496</c:v>
                </c:pt>
                <c:pt idx="508">
                  <c:v>100.22791794855114</c:v>
                </c:pt>
                <c:pt idx="509">
                  <c:v>100.39655015640162</c:v>
                </c:pt>
                <c:pt idx="510">
                  <c:v>100.5703878836986</c:v>
                </c:pt>
                <c:pt idx="511">
                  <c:v>100.7495020273855</c:v>
                </c:pt>
                <c:pt idx="512">
                  <c:v>100.9339648413235</c:v>
                </c:pt>
                <c:pt idx="513">
                  <c:v>101.12384988090487</c:v>
                </c:pt>
                <c:pt idx="514">
                  <c:v>101.31923194272765</c:v>
                </c:pt>
                <c:pt idx="515">
                  <c:v>101.52018699901774</c:v>
                </c:pt>
                <c:pt idx="516">
                  <c:v>101.7267921264679</c:v>
                </c:pt>
                <c:pt idx="517">
                  <c:v>101.93912542916188</c:v>
                </c:pt>
                <c:pt idx="518">
                  <c:v>102.15726595523236</c:v>
                </c:pt>
                <c:pt idx="519">
                  <c:v>102.38129360690318</c:v>
                </c:pt>
                <c:pt idx="520">
                  <c:v>102.61128904354945</c:v>
                </c:pt>
                <c:pt idx="521">
                  <c:v>102.84733357740807</c:v>
                </c:pt>
                <c:pt idx="522">
                  <c:v>103.08950906156551</c:v>
                </c:pt>
                <c:pt idx="523">
                  <c:v>103.33789776984322</c:v>
                </c:pt>
                <c:pt idx="524">
                  <c:v>103.59258226820401</c:v>
                </c:pt>
                <c:pt idx="525">
                  <c:v>103.85364527729855</c:v>
                </c:pt>
                <c:pt idx="526">
                  <c:v>104.12116952577735</c:v>
                </c:pt>
                <c:pt idx="527">
                  <c:v>104.3952375939987</c:v>
                </c:pt>
                <c:pt idx="528">
                  <c:v>104.67593174777051</c:v>
                </c:pt>
                <c:pt idx="529">
                  <c:v>104.96333376177982</c:v>
                </c:pt>
                <c:pt idx="530">
                  <c:v>105.25752473237304</c:v>
                </c:pt>
                <c:pt idx="531">
                  <c:v>105.55858487938217</c:v>
                </c:pt>
                <c:pt idx="532">
                  <c:v>105.86659333670235</c:v>
                </c:pt>
                <c:pt idx="533">
                  <c:v>106.18162793137212</c:v>
                </c:pt>
                <c:pt idx="534">
                  <c:v>106.50376495093039</c:v>
                </c:pt>
                <c:pt idx="535">
                  <c:v>106.83307889887473</c:v>
                </c:pt>
                <c:pt idx="536">
                  <c:v>107.16964223808971</c:v>
                </c:pt>
                <c:pt idx="537">
                  <c:v>107.51352512217073</c:v>
                </c:pt>
                <c:pt idx="538">
                  <c:v>107.8647951146299</c:v>
                </c:pt>
                <c:pt idx="539">
                  <c:v>108.22351689604126</c:v>
                </c:pt>
                <c:pt idx="540">
                  <c:v>108.58975195926062</c:v>
                </c:pt>
                <c:pt idx="541">
                  <c:v>108.96355829294234</c:v>
                </c:pt>
              </c:numCache>
            </c:numRef>
          </c:yVal>
          <c:smooth val="1"/>
          <c:extLst>
            <c:ext xmlns:c16="http://schemas.microsoft.com/office/drawing/2014/chart" uri="{C3380CC4-5D6E-409C-BE32-E72D297353CC}">
              <c16:uniqueId val="{0000000B-2470-421C-8EF3-DF4BAC2DF802}"/>
            </c:ext>
          </c:extLst>
        </c:ser>
        <c:dLbls>
          <c:showLegendKey val="0"/>
          <c:showVal val="0"/>
          <c:showCatName val="0"/>
          <c:showSerName val="0"/>
          <c:showPercent val="0"/>
          <c:showBubbleSize val="0"/>
        </c:dLbls>
        <c:axId val="144838016"/>
        <c:axId val="144836096"/>
      </c:scatterChart>
      <c:valAx>
        <c:axId val="144369152"/>
        <c:scaling>
          <c:logBase val="10"/>
          <c:orientation val="minMax"/>
          <c:max val="2000000"/>
          <c:min val="1"/>
        </c:scaling>
        <c:delete val="0"/>
        <c:axPos val="b"/>
        <c:majorGridlines/>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txPr>
          <a:bodyPr/>
          <a:lstStyle/>
          <a:p>
            <a:pPr>
              <a:defRPr b="1"/>
            </a:pPr>
            <a:endParaRPr lang="en-US"/>
          </a:p>
        </c:txPr>
        <c:crossAx val="144371072"/>
        <c:crosses val="autoZero"/>
        <c:crossBetween val="midCat"/>
      </c:valAx>
      <c:valAx>
        <c:axId val="144371072"/>
        <c:scaling>
          <c:orientation val="minMax"/>
          <c:max val="60"/>
          <c:min val="-6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b="1">
                <a:solidFill>
                  <a:srgbClr val="FF0000"/>
                </a:solidFill>
              </a:defRPr>
            </a:pPr>
            <a:endParaRPr lang="en-US"/>
          </a:p>
        </c:txPr>
        <c:crossAx val="144369152"/>
        <c:crosses val="autoZero"/>
        <c:crossBetween val="midCat"/>
        <c:majorUnit val="20"/>
        <c:minorUnit val="10"/>
      </c:valAx>
      <c:valAx>
        <c:axId val="144836096"/>
        <c:scaling>
          <c:orientation val="minMax"/>
          <c:max val="180"/>
          <c:min val="-180"/>
        </c:scaling>
        <c:delete val="0"/>
        <c:axPos val="r"/>
        <c:title>
          <c:tx>
            <c:rich>
              <a:bodyPr rot="-5400000" vert="horz"/>
              <a:lstStyle/>
              <a:p>
                <a:pPr>
                  <a:defRPr/>
                </a:pPr>
                <a:r>
                  <a:rPr lang="en-US"/>
                  <a:t>Phase (deg)</a:t>
                </a:r>
              </a:p>
            </c:rich>
          </c:tx>
          <c:overlay val="0"/>
        </c:title>
        <c:numFmt formatCode="General" sourceLinked="1"/>
        <c:majorTickMark val="out"/>
        <c:minorTickMark val="none"/>
        <c:tickLblPos val="nextTo"/>
        <c:txPr>
          <a:bodyPr/>
          <a:lstStyle/>
          <a:p>
            <a:pPr>
              <a:defRPr b="1">
                <a:solidFill>
                  <a:schemeClr val="tx1">
                    <a:lumMod val="95000"/>
                    <a:lumOff val="5000"/>
                  </a:schemeClr>
                </a:solidFill>
              </a:defRPr>
            </a:pPr>
            <a:endParaRPr lang="en-US"/>
          </a:p>
        </c:txPr>
        <c:crossAx val="144838016"/>
        <c:crosses val="max"/>
        <c:crossBetween val="midCat"/>
        <c:majorUnit val="90"/>
        <c:minorUnit val="45"/>
      </c:valAx>
      <c:valAx>
        <c:axId val="144838016"/>
        <c:scaling>
          <c:logBase val="10"/>
          <c:orientation val="minMax"/>
        </c:scaling>
        <c:delete val="1"/>
        <c:axPos val="b"/>
        <c:numFmt formatCode="0.00" sourceLinked="1"/>
        <c:majorTickMark val="out"/>
        <c:minorTickMark val="none"/>
        <c:tickLblPos val="nextTo"/>
        <c:crossAx val="144836096"/>
        <c:crosses val="autoZero"/>
        <c:crossBetween val="midCat"/>
      </c:valAx>
    </c:plotArea>
    <c:legend>
      <c:legendPos val="r"/>
      <c:legendEntry>
        <c:idx val="1"/>
        <c:delete val="1"/>
      </c:legendEntry>
      <c:legendEntry>
        <c:idx val="2"/>
        <c:delete val="1"/>
      </c:legendEntry>
      <c:legendEntry>
        <c:idx val="3"/>
        <c:delete val="1"/>
      </c:legendEntry>
      <c:legendEntry>
        <c:idx val="4"/>
        <c:delete val="1"/>
      </c:legendEntry>
      <c:legendEntry>
        <c:idx val="5"/>
        <c:delete val="1"/>
      </c:legendEntry>
      <c:layout>
        <c:manualLayout>
          <c:xMode val="edge"/>
          <c:yMode val="edge"/>
          <c:x val="0.61392536510371165"/>
          <c:y val="7.0381012799940294E-3"/>
          <c:w val="0.28497500584606611"/>
          <c:h val="7.9643865606846526E-2"/>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2.24E-4</c:v>
                </c:pt>
                <c:pt idx="2">
                  <c:v>4.4799999999999999E-4</c:v>
                </c:pt>
                <c:pt idx="3">
                  <c:v>6.7199999999999996E-4</c:v>
                </c:pt>
                <c:pt idx="4">
                  <c:v>8.9599999999999999E-4</c:v>
                </c:pt>
                <c:pt idx="5">
                  <c:v>1.1199999999999999E-3</c:v>
                </c:pt>
                <c:pt idx="6">
                  <c:v>1.3439999999999999E-3</c:v>
                </c:pt>
                <c:pt idx="7">
                  <c:v>1.5679999999999999E-3</c:v>
                </c:pt>
                <c:pt idx="8">
                  <c:v>1.792E-3</c:v>
                </c:pt>
                <c:pt idx="9">
                  <c:v>2.016E-3</c:v>
                </c:pt>
                <c:pt idx="10">
                  <c:v>2.2399999999999998E-3</c:v>
                </c:pt>
                <c:pt idx="11">
                  <c:v>2.464E-3</c:v>
                </c:pt>
                <c:pt idx="12">
                  <c:v>2.6879999999999999E-3</c:v>
                </c:pt>
                <c:pt idx="13">
                  <c:v>2.9120000000000001E-3</c:v>
                </c:pt>
                <c:pt idx="14">
                  <c:v>3.1359999999999999E-3</c:v>
                </c:pt>
                <c:pt idx="15">
                  <c:v>3.3600000000000001E-3</c:v>
                </c:pt>
                <c:pt idx="16">
                  <c:v>3.5839999999999999E-3</c:v>
                </c:pt>
                <c:pt idx="17">
                  <c:v>3.8079999999999998E-3</c:v>
                </c:pt>
                <c:pt idx="18">
                  <c:v>4.032E-3</c:v>
                </c:pt>
                <c:pt idx="19">
                  <c:v>4.2560000000000002E-3</c:v>
                </c:pt>
                <c:pt idx="20">
                  <c:v>4.4799999999999996E-3</c:v>
                </c:pt>
                <c:pt idx="21">
                  <c:v>4.7039999999999998E-3</c:v>
                </c:pt>
                <c:pt idx="22">
                  <c:v>4.9280000000000001E-3</c:v>
                </c:pt>
                <c:pt idx="23">
                  <c:v>5.1520000000000003E-3</c:v>
                </c:pt>
                <c:pt idx="24">
                  <c:v>5.3759999999999997E-3</c:v>
                </c:pt>
                <c:pt idx="25">
                  <c:v>5.5999999999999999E-3</c:v>
                </c:pt>
                <c:pt idx="26">
                  <c:v>5.8240000000000002E-3</c:v>
                </c:pt>
                <c:pt idx="27">
                  <c:v>6.0479999999999996E-3</c:v>
                </c:pt>
                <c:pt idx="28">
                  <c:v>6.2719999999999998E-3</c:v>
                </c:pt>
                <c:pt idx="29">
                  <c:v>6.496E-3</c:v>
                </c:pt>
                <c:pt idx="30">
                  <c:v>6.7200000000000003E-3</c:v>
                </c:pt>
                <c:pt idx="31">
                  <c:v>6.9439999999999997E-3</c:v>
                </c:pt>
                <c:pt idx="32">
                  <c:v>7.1679999999999999E-3</c:v>
                </c:pt>
                <c:pt idx="33">
                  <c:v>7.3920000000000001E-3</c:v>
                </c:pt>
                <c:pt idx="34">
                  <c:v>7.6159999999999995E-3</c:v>
                </c:pt>
                <c:pt idx="35">
                  <c:v>7.8399999999999997E-3</c:v>
                </c:pt>
                <c:pt idx="36">
                  <c:v>8.064E-3</c:v>
                </c:pt>
                <c:pt idx="37">
                  <c:v>8.2880000000000002E-3</c:v>
                </c:pt>
                <c:pt idx="38">
                  <c:v>8.5120000000000005E-3</c:v>
                </c:pt>
                <c:pt idx="39">
                  <c:v>8.7360000000000007E-3</c:v>
                </c:pt>
                <c:pt idx="40">
                  <c:v>8.9599999999999992E-3</c:v>
                </c:pt>
                <c:pt idx="41">
                  <c:v>9.1839999999999995E-3</c:v>
                </c:pt>
                <c:pt idx="42">
                  <c:v>9.4079999999999997E-3</c:v>
                </c:pt>
                <c:pt idx="43">
                  <c:v>9.6319999999999999E-3</c:v>
                </c:pt>
                <c:pt idx="44">
                  <c:v>9.8560000000000002E-3</c:v>
                </c:pt>
                <c:pt idx="45">
                  <c:v>1.008E-2</c:v>
                </c:pt>
                <c:pt idx="46">
                  <c:v>1.0304000000000001E-2</c:v>
                </c:pt>
                <c:pt idx="47">
                  <c:v>1.0527999999999999E-2</c:v>
                </c:pt>
                <c:pt idx="48">
                  <c:v>1.0751999999999999E-2</c:v>
                </c:pt>
                <c:pt idx="49">
                  <c:v>1.0976E-2</c:v>
                </c:pt>
                <c:pt idx="50">
                  <c:v>1.12E-2</c:v>
                </c:pt>
                <c:pt idx="51">
                  <c:v>1.1424E-2</c:v>
                </c:pt>
                <c:pt idx="52">
                  <c:v>1.1648E-2</c:v>
                </c:pt>
                <c:pt idx="53">
                  <c:v>1.1872000000000001E-2</c:v>
                </c:pt>
                <c:pt idx="54">
                  <c:v>1.2095999999999999E-2</c:v>
                </c:pt>
                <c:pt idx="55">
                  <c:v>1.2319999999999999E-2</c:v>
                </c:pt>
                <c:pt idx="56">
                  <c:v>1.2544E-2</c:v>
                </c:pt>
                <c:pt idx="57">
                  <c:v>1.2768E-2</c:v>
                </c:pt>
                <c:pt idx="58">
                  <c:v>1.2992E-2</c:v>
                </c:pt>
                <c:pt idx="59">
                  <c:v>1.3216E-2</c:v>
                </c:pt>
                <c:pt idx="60">
                  <c:v>1.3440000000000001E-2</c:v>
                </c:pt>
                <c:pt idx="61">
                  <c:v>1.3663999999999999E-2</c:v>
                </c:pt>
                <c:pt idx="62">
                  <c:v>1.3887999999999999E-2</c:v>
                </c:pt>
                <c:pt idx="63">
                  <c:v>1.4112E-2</c:v>
                </c:pt>
                <c:pt idx="64">
                  <c:v>1.4336E-2</c:v>
                </c:pt>
                <c:pt idx="65">
                  <c:v>1.456E-2</c:v>
                </c:pt>
                <c:pt idx="66">
                  <c:v>1.4784E-2</c:v>
                </c:pt>
                <c:pt idx="67">
                  <c:v>1.5008000000000001E-2</c:v>
                </c:pt>
                <c:pt idx="68">
                  <c:v>1.5231999999999999E-2</c:v>
                </c:pt>
                <c:pt idx="69">
                  <c:v>1.5455999999999999E-2</c:v>
                </c:pt>
                <c:pt idx="70">
                  <c:v>1.5679999999999999E-2</c:v>
                </c:pt>
                <c:pt idx="71">
                  <c:v>1.5904000000000001E-2</c:v>
                </c:pt>
                <c:pt idx="72">
                  <c:v>1.6128E-2</c:v>
                </c:pt>
                <c:pt idx="73">
                  <c:v>1.6351999999999998E-2</c:v>
                </c:pt>
                <c:pt idx="74">
                  <c:v>1.6576E-2</c:v>
                </c:pt>
                <c:pt idx="75">
                  <c:v>1.6799999999999999E-2</c:v>
                </c:pt>
                <c:pt idx="76">
                  <c:v>1.7024000000000001E-2</c:v>
                </c:pt>
                <c:pt idx="77">
                  <c:v>1.7247999999999999E-2</c:v>
                </c:pt>
                <c:pt idx="78">
                  <c:v>1.7472000000000001E-2</c:v>
                </c:pt>
                <c:pt idx="79">
                  <c:v>1.7696E-2</c:v>
                </c:pt>
                <c:pt idx="80">
                  <c:v>1.7919999999999998E-2</c:v>
                </c:pt>
                <c:pt idx="81">
                  <c:v>1.8144E-2</c:v>
                </c:pt>
                <c:pt idx="82">
                  <c:v>1.8367999999999999E-2</c:v>
                </c:pt>
                <c:pt idx="83">
                  <c:v>1.8592000000000001E-2</c:v>
                </c:pt>
                <c:pt idx="84">
                  <c:v>1.8815999999999999E-2</c:v>
                </c:pt>
                <c:pt idx="85">
                  <c:v>1.9040000000000001E-2</c:v>
                </c:pt>
                <c:pt idx="86">
                  <c:v>1.9264E-2</c:v>
                </c:pt>
                <c:pt idx="87">
                  <c:v>1.9487999999999998E-2</c:v>
                </c:pt>
                <c:pt idx="88">
                  <c:v>1.9712E-2</c:v>
                </c:pt>
                <c:pt idx="89">
                  <c:v>1.9935999999999999E-2</c:v>
                </c:pt>
                <c:pt idx="90">
                  <c:v>2.0160000000000001E-2</c:v>
                </c:pt>
                <c:pt idx="91">
                  <c:v>2.0383999999999999E-2</c:v>
                </c:pt>
                <c:pt idx="92">
                  <c:v>2.0608000000000001E-2</c:v>
                </c:pt>
                <c:pt idx="93">
                  <c:v>2.0832E-2</c:v>
                </c:pt>
                <c:pt idx="94">
                  <c:v>2.1055999999999998E-2</c:v>
                </c:pt>
                <c:pt idx="95">
                  <c:v>2.128E-2</c:v>
                </c:pt>
                <c:pt idx="96">
                  <c:v>2.1503999999999999E-2</c:v>
                </c:pt>
                <c:pt idx="97">
                  <c:v>2.1728000000000001E-2</c:v>
                </c:pt>
                <c:pt idx="98">
                  <c:v>2.1951999999999999E-2</c:v>
                </c:pt>
                <c:pt idx="99">
                  <c:v>2.2176000000000001E-2</c:v>
                </c:pt>
                <c:pt idx="100">
                  <c:v>2.24E-2</c:v>
                </c:pt>
                <c:pt idx="101">
                  <c:v>2.2623999999999998E-2</c:v>
                </c:pt>
                <c:pt idx="102">
                  <c:v>2.2848E-2</c:v>
                </c:pt>
                <c:pt idx="103">
                  <c:v>2.3071999999999999E-2</c:v>
                </c:pt>
                <c:pt idx="104">
                  <c:v>2.3296000000000001E-2</c:v>
                </c:pt>
                <c:pt idx="105">
                  <c:v>2.3519999999999999E-2</c:v>
                </c:pt>
                <c:pt idx="106">
                  <c:v>2.3744000000000001E-2</c:v>
                </c:pt>
                <c:pt idx="107">
                  <c:v>2.3968E-2</c:v>
                </c:pt>
                <c:pt idx="108">
                  <c:v>2.4191999999999998E-2</c:v>
                </c:pt>
                <c:pt idx="109">
                  <c:v>2.4416E-2</c:v>
                </c:pt>
                <c:pt idx="110">
                  <c:v>2.4639999999999999E-2</c:v>
                </c:pt>
                <c:pt idx="111">
                  <c:v>2.4864000000000001E-2</c:v>
                </c:pt>
                <c:pt idx="112">
                  <c:v>2.5087999999999999E-2</c:v>
                </c:pt>
                <c:pt idx="113">
                  <c:v>2.5312000000000001E-2</c:v>
                </c:pt>
                <c:pt idx="114">
                  <c:v>2.5536E-2</c:v>
                </c:pt>
                <c:pt idx="115">
                  <c:v>2.5759999999999998E-2</c:v>
                </c:pt>
                <c:pt idx="116">
                  <c:v>2.5984E-2</c:v>
                </c:pt>
                <c:pt idx="117">
                  <c:v>2.6207999999999999E-2</c:v>
                </c:pt>
                <c:pt idx="118">
                  <c:v>2.6432000000000001E-2</c:v>
                </c:pt>
                <c:pt idx="119">
                  <c:v>2.6655999999999999E-2</c:v>
                </c:pt>
                <c:pt idx="120">
                  <c:v>2.6880000000000001E-2</c:v>
                </c:pt>
                <c:pt idx="121">
                  <c:v>2.7104E-2</c:v>
                </c:pt>
                <c:pt idx="122">
                  <c:v>2.7327999999999998E-2</c:v>
                </c:pt>
                <c:pt idx="123">
                  <c:v>2.7552E-2</c:v>
                </c:pt>
                <c:pt idx="124">
                  <c:v>2.7775999999999999E-2</c:v>
                </c:pt>
                <c:pt idx="125">
                  <c:v>2.8000000000000001E-2</c:v>
                </c:pt>
                <c:pt idx="126">
                  <c:v>2.8223999999999999E-2</c:v>
                </c:pt>
                <c:pt idx="127">
                  <c:v>2.8448000000000001E-2</c:v>
                </c:pt>
                <c:pt idx="128">
                  <c:v>2.8672E-2</c:v>
                </c:pt>
                <c:pt idx="129">
                  <c:v>2.8895999999999998E-2</c:v>
                </c:pt>
                <c:pt idx="130">
                  <c:v>2.912E-2</c:v>
                </c:pt>
                <c:pt idx="131">
                  <c:v>2.9343999999999999E-2</c:v>
                </c:pt>
                <c:pt idx="132">
                  <c:v>2.9568000000000001E-2</c:v>
                </c:pt>
                <c:pt idx="133">
                  <c:v>2.9791999999999999E-2</c:v>
                </c:pt>
                <c:pt idx="134">
                  <c:v>3.0016000000000001E-2</c:v>
                </c:pt>
                <c:pt idx="135">
                  <c:v>3.024E-2</c:v>
                </c:pt>
                <c:pt idx="136">
                  <c:v>3.0463999999999998E-2</c:v>
                </c:pt>
                <c:pt idx="137">
                  <c:v>3.0688E-2</c:v>
                </c:pt>
                <c:pt idx="138">
                  <c:v>3.0911999999999999E-2</c:v>
                </c:pt>
                <c:pt idx="139">
                  <c:v>3.1136E-2</c:v>
                </c:pt>
                <c:pt idx="140">
                  <c:v>3.1359999999999999E-2</c:v>
                </c:pt>
                <c:pt idx="141">
                  <c:v>3.1584000000000001E-2</c:v>
                </c:pt>
                <c:pt idx="142">
                  <c:v>3.1808000000000003E-2</c:v>
                </c:pt>
                <c:pt idx="143">
                  <c:v>3.2031999999999998E-2</c:v>
                </c:pt>
                <c:pt idx="144">
                  <c:v>3.2256E-2</c:v>
                </c:pt>
                <c:pt idx="145">
                  <c:v>3.2480000000000002E-2</c:v>
                </c:pt>
                <c:pt idx="146">
                  <c:v>3.2703999999999997E-2</c:v>
                </c:pt>
                <c:pt idx="147">
                  <c:v>3.2927999999999999E-2</c:v>
                </c:pt>
                <c:pt idx="148">
                  <c:v>3.3152000000000001E-2</c:v>
                </c:pt>
                <c:pt idx="149">
                  <c:v>3.3376000000000003E-2</c:v>
                </c:pt>
                <c:pt idx="150">
                  <c:v>3.3599999999999998E-2</c:v>
                </c:pt>
              </c:numCache>
            </c:numRef>
          </c:xVal>
          <c:yVal>
            <c:numRef>
              <c:f>Eff_vs_IOUT!$AT$7:$AT$157</c:f>
              <c:numCache>
                <c:formatCode>General</c:formatCode>
                <c:ptCount val="151"/>
                <c:pt idx="0">
                  <c:v>0</c:v>
                </c:pt>
                <c:pt idx="1">
                  <c:v>29.976821262079952</c:v>
                </c:pt>
                <c:pt idx="2">
                  <c:v>46.042301488702684</c:v>
                </c:pt>
                <c:pt idx="3">
                  <c:v>56.048959864124171</c:v>
                </c:pt>
                <c:pt idx="4">
                  <c:v>62.876571250807544</c:v>
                </c:pt>
                <c:pt idx="5">
                  <c:v>67.829967134641493</c:v>
                </c:pt>
                <c:pt idx="6">
                  <c:v>71.586064019322919</c:v>
                </c:pt>
                <c:pt idx="7">
                  <c:v>74.530957153195203</c:v>
                </c:pt>
                <c:pt idx="8">
                  <c:v>76.900927363570176</c:v>
                </c:pt>
                <c:pt idx="9">
                  <c:v>78.84866611020027</c:v>
                </c:pt>
                <c:pt idx="10">
                  <c:v>80.477228153584406</c:v>
                </c:pt>
                <c:pt idx="11">
                  <c:v>81.858680290350193</c:v>
                </c:pt>
                <c:pt idx="12">
                  <c:v>83.044931077311205</c:v>
                </c:pt>
                <c:pt idx="13">
                  <c:v>84.074316165704246</c:v>
                </c:pt>
                <c:pt idx="14">
                  <c:v>84.975760793853169</c:v>
                </c:pt>
                <c:pt idx="15">
                  <c:v>85.771499222833768</c:v>
                </c:pt>
                <c:pt idx="16">
                  <c:v>86.478902835491382</c:v>
                </c:pt>
                <c:pt idx="17">
                  <c:v>87.111740047919483</c:v>
                </c:pt>
                <c:pt idx="18">
                  <c:v>87.681063892424575</c:v>
                </c:pt>
                <c:pt idx="19">
                  <c:v>88.195849598877416</c:v>
                </c:pt>
                <c:pt idx="20">
                  <c:v>88.663460632743011</c:v>
                </c:pt>
                <c:pt idx="21">
                  <c:v>89.089994717751438</c:v>
                </c:pt>
                <c:pt idx="22">
                  <c:v>89.480544411551719</c:v>
                </c:pt>
                <c:pt idx="23">
                  <c:v>89.839395874282673</c:v>
                </c:pt>
                <c:pt idx="24">
                  <c:v>90.17018228034182</c:v>
                </c:pt>
                <c:pt idx="25">
                  <c:v>90.476003503648272</c:v>
                </c:pt>
                <c:pt idx="26">
                  <c:v>90.75952041926854</c:v>
                </c:pt>
                <c:pt idx="27">
                  <c:v>91.02302988647206</c:v>
                </c:pt>
                <c:pt idx="28">
                  <c:v>91.268524876969096</c:v>
                </c:pt>
                <c:pt idx="29">
                  <c:v>91.497743071165544</c:v>
                </c:pt>
                <c:pt idx="30">
                  <c:v>91.712206422231063</c:v>
                </c:pt>
                <c:pt idx="31">
                  <c:v>91.913253587173841</c:v>
                </c:pt>
                <c:pt idx="32">
                  <c:v>92.102066681101775</c:v>
                </c:pt>
                <c:pt idx="33">
                  <c:v>92.279693480787984</c:v>
                </c:pt>
                <c:pt idx="34">
                  <c:v>92.447065955433658</c:v>
                </c:pt>
                <c:pt idx="35">
                  <c:v>92.605015814193365</c:v>
                </c:pt>
                <c:pt idx="36">
                  <c:v>92.754287615958887</c:v>
                </c:pt>
                <c:pt idx="37">
                  <c:v>92.895549875825452</c:v>
                </c:pt>
                <c:pt idx="38">
                  <c:v>93.029404516400447</c:v>
                </c:pt>
                <c:pt idx="39">
                  <c:v>93.156394944652448</c:v>
                </c:pt>
                <c:pt idx="40">
                  <c:v>93.277012981892511</c:v>
                </c:pt>
                <c:pt idx="41">
                  <c:v>93.391704832414561</c:v>
                </c:pt>
                <c:pt idx="42">
                  <c:v>93.500876242804125</c:v>
                </c:pt>
                <c:pt idx="43">
                  <c:v>93.604896977067725</c:v>
                </c:pt>
                <c:pt idx="44">
                  <c:v>93.704104711101294</c:v>
                </c:pt>
                <c:pt idx="45">
                  <c:v>93.798808432498248</c:v>
                </c:pt>
                <c:pt idx="46">
                  <c:v>93.889291417447097</c:v>
                </c:pt>
                <c:pt idx="47">
                  <c:v>93.975813844817722</c:v>
                </c:pt>
                <c:pt idx="48">
                  <c:v>94.058615097972947</c:v>
                </c:pt>
                <c:pt idx="49">
                  <c:v>94.137915796955369</c:v>
                </c:pt>
                <c:pt idx="50">
                  <c:v>94.213919597172222</c:v>
                </c:pt>
                <c:pt idx="51">
                  <c:v>94.286814785274728</c:v>
                </c:pt>
                <c:pt idx="52">
                  <c:v>94.356775698403951</c:v>
                </c:pt>
                <c:pt idx="53">
                  <c:v>94.423963989185708</c:v>
                </c:pt>
                <c:pt idx="54">
                  <c:v>94.488529755674222</c:v>
                </c:pt>
                <c:pt idx="55">
                  <c:v>94.550612552761976</c:v>
                </c:pt>
                <c:pt idx="56">
                  <c:v>94.610342299304733</c:v>
                </c:pt>
                <c:pt idx="57">
                  <c:v>94.667840093286799</c:v>
                </c:pt>
                <c:pt idx="58">
                  <c:v>94.723218945715033</c:v>
                </c:pt>
                <c:pt idx="59">
                  <c:v>94.776584442534443</c:v>
                </c:pt>
                <c:pt idx="60">
                  <c:v>94.828035342663028</c:v>
                </c:pt>
                <c:pt idx="61">
                  <c:v>94.877664119220185</c:v>
                </c:pt>
                <c:pt idx="62">
                  <c:v>94.925557450141028</c:v>
                </c:pt>
                <c:pt idx="63">
                  <c:v>94.971796663610448</c:v>
                </c:pt>
                <c:pt idx="64">
                  <c:v>95.016458143093956</c:v>
                </c:pt>
                <c:pt idx="65">
                  <c:v>95.059613696173813</c:v>
                </c:pt>
                <c:pt idx="66">
                  <c:v>95.101330890906127</c:v>
                </c:pt>
                <c:pt idx="67">
                  <c:v>95.141673362984406</c:v>
                </c:pt>
                <c:pt idx="68">
                  <c:v>95.180701096621391</c:v>
                </c:pt>
                <c:pt idx="69">
                  <c:v>95.218470681733535</c:v>
                </c:pt>
                <c:pt idx="70">
                  <c:v>95.255035549726415</c:v>
                </c:pt>
                <c:pt idx="71">
                  <c:v>95.290446189928105</c:v>
                </c:pt>
                <c:pt idx="72">
                  <c:v>95.324750348497048</c:v>
                </c:pt>
                <c:pt idx="73">
                  <c:v>95.35799321143638</c:v>
                </c:pt>
                <c:pt idx="74">
                  <c:v>95.390217573175519</c:v>
                </c:pt>
                <c:pt idx="75">
                  <c:v>95.42146399202872</c:v>
                </c:pt>
                <c:pt idx="76">
                  <c:v>95.451770933705603</c:v>
                </c:pt>
                <c:pt idx="77">
                  <c:v>95.481174903930636</c:v>
                </c:pt>
                <c:pt idx="78">
                  <c:v>95.509710571122952</c:v>
                </c:pt>
                <c:pt idx="79">
                  <c:v>95.537410879993786</c:v>
                </c:pt>
                <c:pt idx="80">
                  <c:v>95.56430715683581</c:v>
                </c:pt>
                <c:pt idx="81">
                  <c:v>95.590429207203911</c:v>
                </c:pt>
                <c:pt idx="82">
                  <c:v>95.615805406620652</c:v>
                </c:pt>
                <c:pt idx="83">
                  <c:v>95.640462784879944</c:v>
                </c:pt>
                <c:pt idx="84">
                  <c:v>95.664427104469397</c:v>
                </c:pt>
                <c:pt idx="85">
                  <c:v>95.687722933584027</c:v>
                </c:pt>
                <c:pt idx="86">
                  <c:v>95.710373714161236</c:v>
                </c:pt>
                <c:pt idx="87">
                  <c:v>95.732401825327614</c:v>
                </c:pt>
                <c:pt idx="88">
                  <c:v>95.753828642615147</c:v>
                </c:pt>
                <c:pt idx="89">
                  <c:v>95.774674593270788</c:v>
                </c:pt>
                <c:pt idx="90">
                  <c:v>95.794959207957376</c:v>
                </c:pt>
                <c:pt idx="91">
                  <c:v>95.814701169116731</c:v>
                </c:pt>
                <c:pt idx="92">
                  <c:v>95.833918356243487</c:v>
                </c:pt>
                <c:pt idx="93">
                  <c:v>95.852627888297377</c:v>
                </c:pt>
                <c:pt idx="94">
                  <c:v>95.870846163462062</c:v>
                </c:pt>
                <c:pt idx="95">
                  <c:v>95.888588896442414</c:v>
                </c:pt>
                <c:pt idx="96">
                  <c:v>95.905871153475644</c:v>
                </c:pt>
                <c:pt idx="97">
                  <c:v>95.922707385217976</c:v>
                </c:pt>
                <c:pt idx="98">
                  <c:v>95.939111457655756</c:v>
                </c:pt>
                <c:pt idx="99">
                  <c:v>95.955096681177423</c:v>
                </c:pt>
                <c:pt idx="100">
                  <c:v>95.867222119001937</c:v>
                </c:pt>
                <c:pt idx="101">
                  <c:v>95.880814742756769</c:v>
                </c:pt>
                <c:pt idx="102">
                  <c:v>95.893941282780901</c:v>
                </c:pt>
                <c:pt idx="103">
                  <c:v>95.906615045699127</c:v>
                </c:pt>
                <c:pt idx="104">
                  <c:v>95.918848838883576</c:v>
                </c:pt>
                <c:pt idx="105">
                  <c:v>95.9306549936491</c:v>
                </c:pt>
                <c:pt idx="106">
                  <c:v>95.942045387167582</c:v>
                </c:pt>
                <c:pt idx="107">
                  <c:v>95.953031463182441</c:v>
                </c:pt>
                <c:pt idx="108">
                  <c:v>95.963624251599882</c:v>
                </c:pt>
                <c:pt idx="109">
                  <c:v>95.973834387026812</c:v>
                </c:pt>
                <c:pt idx="110">
                  <c:v>95.983672126321224</c:v>
                </c:pt>
                <c:pt idx="111">
                  <c:v>95.993147365215734</c:v>
                </c:pt>
                <c:pt idx="112">
                  <c:v>96.002269654070972</c:v>
                </c:pt>
                <c:pt idx="113">
                  <c:v>96.01104821281136</c:v>
                </c:pt>
                <c:pt idx="114">
                  <c:v>96.019491945092483</c:v>
                </c:pt>
                <c:pt idx="115">
                  <c:v>96.02760945174586</c:v>
                </c:pt>
                <c:pt idx="116">
                  <c:v>96.035409043543495</c:v>
                </c:pt>
                <c:pt idx="117">
                  <c:v>96.04289875332222</c:v>
                </c:pt>
                <c:pt idx="118">
                  <c:v>96.050086347504916</c:v>
                </c:pt>
                <c:pt idx="119">
                  <c:v>96.056979337053463</c:v>
                </c:pt>
                <c:pt idx="120">
                  <c:v>96.063584987885548</c:v>
                </c:pt>
                <c:pt idx="121">
                  <c:v>96.069910330785959</c:v>
                </c:pt>
                <c:pt idx="122">
                  <c:v>96.075962170840796</c:v>
                </c:pt>
                <c:pt idx="123">
                  <c:v>96.081747096420827</c:v>
                </c:pt>
                <c:pt idx="124">
                  <c:v>96.087271487739429</c:v>
                </c:pt>
                <c:pt idx="125">
                  <c:v>96.092541525007917</c:v>
                </c:pt>
                <c:pt idx="126">
                  <c:v>96.097563196210643</c:v>
                </c:pt>
                <c:pt idx="127">
                  <c:v>96.102342304520079</c:v>
                </c:pt>
                <c:pt idx="128">
                  <c:v>96.106884475371302</c:v>
                </c:pt>
                <c:pt idx="129">
                  <c:v>96.111195163213964</c:v>
                </c:pt>
                <c:pt idx="130">
                  <c:v>96.115279657958865</c:v>
                </c:pt>
                <c:pt idx="131">
                  <c:v>96.119143091134944</c:v>
                </c:pt>
                <c:pt idx="132">
                  <c:v>96.122790441771954</c:v>
                </c:pt>
                <c:pt idx="133">
                  <c:v>96.126226542022764</c:v>
                </c:pt>
                <c:pt idx="134">
                  <c:v>96.129456082538795</c:v>
                </c:pt>
                <c:pt idx="135">
                  <c:v>96.132483617611214</c:v>
                </c:pt>
                <c:pt idx="136">
                  <c:v>96.135313570089366</c:v>
                </c:pt>
                <c:pt idx="137">
                  <c:v>96.13795023608796</c:v>
                </c:pt>
                <c:pt idx="138">
                  <c:v>96.14039778949352</c:v>
                </c:pt>
                <c:pt idx="139">
                  <c:v>96.142660286279607</c:v>
                </c:pt>
                <c:pt idx="140">
                  <c:v>96.14474166864089</c:v>
                </c:pt>
                <c:pt idx="141">
                  <c:v>96.14664576895413</c:v>
                </c:pt>
                <c:pt idx="142">
                  <c:v>96.148376313575113</c:v>
                </c:pt>
                <c:pt idx="143">
                  <c:v>96.149936926478958</c:v>
                </c:pt>
                <c:pt idx="144">
                  <c:v>96.151331132751523</c:v>
                </c:pt>
                <c:pt idx="145">
                  <c:v>96.152562361939005</c:v>
                </c:pt>
                <c:pt idx="146">
                  <c:v>96.153633951262023</c:v>
                </c:pt>
                <c:pt idx="147">
                  <c:v>96.154549148701136</c:v>
                </c:pt>
                <c:pt idx="148">
                  <c:v>96.155311115959265</c:v>
                </c:pt>
                <c:pt idx="149">
                  <c:v>96.155922931306861</c:v>
                </c:pt>
                <c:pt idx="150">
                  <c:v>96.156387592315397</c:v>
                </c:pt>
              </c:numCache>
            </c:numRef>
          </c:yVal>
          <c:smooth val="0"/>
          <c:extLst>
            <c:ext xmlns:c16="http://schemas.microsoft.com/office/drawing/2014/chart" uri="{C3380CC4-5D6E-409C-BE32-E72D297353CC}">
              <c16:uniqueId val="{00000000-EBB2-49C9-A014-1F538461E4EA}"/>
            </c:ext>
          </c:extLst>
        </c:ser>
        <c:dLbls>
          <c:showLegendKey val="0"/>
          <c:showVal val="0"/>
          <c:showCatName val="0"/>
          <c:showSerName val="0"/>
          <c:showPercent val="0"/>
          <c:showBubbleSize val="0"/>
        </c:dLbls>
        <c:axId val="144893056"/>
        <c:axId val="144894592"/>
      </c:scatterChart>
      <c:scatterChart>
        <c:scatterStyle val="smoothMarker"/>
        <c:varyColors val="0"/>
        <c:ser>
          <c:idx val="1"/>
          <c:order val="1"/>
          <c:tx>
            <c:v>MOSFET</c:v>
          </c:tx>
          <c:spPr>
            <a:ln>
              <a:solidFill>
                <a:schemeClr val="tx2">
                  <a:lumMod val="75000"/>
                </a:schemeClr>
              </a:solidFill>
              <a:prstDash val="dashDot"/>
            </a:ln>
          </c:spPr>
          <c:marker>
            <c:symbol val="none"/>
          </c:marker>
          <c:xVal>
            <c:numRef>
              <c:f>Eff_vs_IOUT!$S$7:$S$157</c:f>
              <c:numCache>
                <c:formatCode>General</c:formatCode>
                <c:ptCount val="151"/>
                <c:pt idx="0">
                  <c:v>0</c:v>
                </c:pt>
                <c:pt idx="1">
                  <c:v>2.24E-4</c:v>
                </c:pt>
                <c:pt idx="2">
                  <c:v>4.4799999999999999E-4</c:v>
                </c:pt>
                <c:pt idx="3">
                  <c:v>6.7199999999999996E-4</c:v>
                </c:pt>
                <c:pt idx="4">
                  <c:v>8.9599999999999999E-4</c:v>
                </c:pt>
                <c:pt idx="5">
                  <c:v>1.1199999999999999E-3</c:v>
                </c:pt>
                <c:pt idx="6">
                  <c:v>1.3439999999999999E-3</c:v>
                </c:pt>
                <c:pt idx="7">
                  <c:v>1.5679999999999999E-3</c:v>
                </c:pt>
                <c:pt idx="8">
                  <c:v>1.792E-3</c:v>
                </c:pt>
                <c:pt idx="9">
                  <c:v>2.016E-3</c:v>
                </c:pt>
                <c:pt idx="10">
                  <c:v>2.2399999999999998E-3</c:v>
                </c:pt>
                <c:pt idx="11">
                  <c:v>2.464E-3</c:v>
                </c:pt>
                <c:pt idx="12">
                  <c:v>2.6879999999999999E-3</c:v>
                </c:pt>
                <c:pt idx="13">
                  <c:v>2.9120000000000001E-3</c:v>
                </c:pt>
                <c:pt idx="14">
                  <c:v>3.1359999999999999E-3</c:v>
                </c:pt>
                <c:pt idx="15">
                  <c:v>3.3600000000000001E-3</c:v>
                </c:pt>
                <c:pt idx="16">
                  <c:v>3.5839999999999999E-3</c:v>
                </c:pt>
                <c:pt idx="17">
                  <c:v>3.8079999999999998E-3</c:v>
                </c:pt>
                <c:pt idx="18">
                  <c:v>4.032E-3</c:v>
                </c:pt>
                <c:pt idx="19">
                  <c:v>4.2560000000000002E-3</c:v>
                </c:pt>
                <c:pt idx="20">
                  <c:v>4.4799999999999996E-3</c:v>
                </c:pt>
                <c:pt idx="21">
                  <c:v>4.7039999999999998E-3</c:v>
                </c:pt>
                <c:pt idx="22">
                  <c:v>4.9280000000000001E-3</c:v>
                </c:pt>
                <c:pt idx="23">
                  <c:v>5.1520000000000003E-3</c:v>
                </c:pt>
                <c:pt idx="24">
                  <c:v>5.3759999999999997E-3</c:v>
                </c:pt>
                <c:pt idx="25">
                  <c:v>5.5999999999999999E-3</c:v>
                </c:pt>
                <c:pt idx="26">
                  <c:v>5.8240000000000002E-3</c:v>
                </c:pt>
                <c:pt idx="27">
                  <c:v>6.0479999999999996E-3</c:v>
                </c:pt>
                <c:pt idx="28">
                  <c:v>6.2719999999999998E-3</c:v>
                </c:pt>
                <c:pt idx="29">
                  <c:v>6.496E-3</c:v>
                </c:pt>
                <c:pt idx="30">
                  <c:v>6.7200000000000003E-3</c:v>
                </c:pt>
                <c:pt idx="31">
                  <c:v>6.9439999999999997E-3</c:v>
                </c:pt>
                <c:pt idx="32">
                  <c:v>7.1679999999999999E-3</c:v>
                </c:pt>
                <c:pt idx="33">
                  <c:v>7.3920000000000001E-3</c:v>
                </c:pt>
                <c:pt idx="34">
                  <c:v>7.6159999999999995E-3</c:v>
                </c:pt>
                <c:pt idx="35">
                  <c:v>7.8399999999999997E-3</c:v>
                </c:pt>
                <c:pt idx="36">
                  <c:v>8.064E-3</c:v>
                </c:pt>
                <c:pt idx="37">
                  <c:v>8.2880000000000002E-3</c:v>
                </c:pt>
                <c:pt idx="38">
                  <c:v>8.5120000000000005E-3</c:v>
                </c:pt>
                <c:pt idx="39">
                  <c:v>8.7360000000000007E-3</c:v>
                </c:pt>
                <c:pt idx="40">
                  <c:v>8.9599999999999992E-3</c:v>
                </c:pt>
                <c:pt idx="41">
                  <c:v>9.1839999999999995E-3</c:v>
                </c:pt>
                <c:pt idx="42">
                  <c:v>9.4079999999999997E-3</c:v>
                </c:pt>
                <c:pt idx="43">
                  <c:v>9.6319999999999999E-3</c:v>
                </c:pt>
                <c:pt idx="44">
                  <c:v>9.8560000000000002E-3</c:v>
                </c:pt>
                <c:pt idx="45">
                  <c:v>1.008E-2</c:v>
                </c:pt>
                <c:pt idx="46">
                  <c:v>1.0304000000000001E-2</c:v>
                </c:pt>
                <c:pt idx="47">
                  <c:v>1.0527999999999999E-2</c:v>
                </c:pt>
                <c:pt idx="48">
                  <c:v>1.0751999999999999E-2</c:v>
                </c:pt>
                <c:pt idx="49">
                  <c:v>1.0976E-2</c:v>
                </c:pt>
                <c:pt idx="50">
                  <c:v>1.12E-2</c:v>
                </c:pt>
                <c:pt idx="51">
                  <c:v>1.1424E-2</c:v>
                </c:pt>
                <c:pt idx="52">
                  <c:v>1.1648E-2</c:v>
                </c:pt>
                <c:pt idx="53">
                  <c:v>1.1872000000000001E-2</c:v>
                </c:pt>
                <c:pt idx="54">
                  <c:v>1.2095999999999999E-2</c:v>
                </c:pt>
                <c:pt idx="55">
                  <c:v>1.2319999999999999E-2</c:v>
                </c:pt>
                <c:pt idx="56">
                  <c:v>1.2544E-2</c:v>
                </c:pt>
                <c:pt idx="57">
                  <c:v>1.2768E-2</c:v>
                </c:pt>
                <c:pt idx="58">
                  <c:v>1.2992E-2</c:v>
                </c:pt>
                <c:pt idx="59">
                  <c:v>1.3216E-2</c:v>
                </c:pt>
                <c:pt idx="60">
                  <c:v>1.3440000000000001E-2</c:v>
                </c:pt>
                <c:pt idx="61">
                  <c:v>1.3663999999999999E-2</c:v>
                </c:pt>
                <c:pt idx="62">
                  <c:v>1.3887999999999999E-2</c:v>
                </c:pt>
                <c:pt idx="63">
                  <c:v>1.4112E-2</c:v>
                </c:pt>
                <c:pt idx="64">
                  <c:v>1.4336E-2</c:v>
                </c:pt>
                <c:pt idx="65">
                  <c:v>1.456E-2</c:v>
                </c:pt>
                <c:pt idx="66">
                  <c:v>1.4784E-2</c:v>
                </c:pt>
                <c:pt idx="67">
                  <c:v>1.5008000000000001E-2</c:v>
                </c:pt>
                <c:pt idx="68">
                  <c:v>1.5231999999999999E-2</c:v>
                </c:pt>
                <c:pt idx="69">
                  <c:v>1.5455999999999999E-2</c:v>
                </c:pt>
                <c:pt idx="70">
                  <c:v>1.5679999999999999E-2</c:v>
                </c:pt>
                <c:pt idx="71">
                  <c:v>1.5904000000000001E-2</c:v>
                </c:pt>
                <c:pt idx="72">
                  <c:v>1.6128E-2</c:v>
                </c:pt>
                <c:pt idx="73">
                  <c:v>1.6351999999999998E-2</c:v>
                </c:pt>
                <c:pt idx="74">
                  <c:v>1.6576E-2</c:v>
                </c:pt>
                <c:pt idx="75">
                  <c:v>1.6799999999999999E-2</c:v>
                </c:pt>
                <c:pt idx="76">
                  <c:v>1.7024000000000001E-2</c:v>
                </c:pt>
                <c:pt idx="77">
                  <c:v>1.7247999999999999E-2</c:v>
                </c:pt>
                <c:pt idx="78">
                  <c:v>1.7472000000000001E-2</c:v>
                </c:pt>
                <c:pt idx="79">
                  <c:v>1.7696E-2</c:v>
                </c:pt>
                <c:pt idx="80">
                  <c:v>1.7919999999999998E-2</c:v>
                </c:pt>
                <c:pt idx="81">
                  <c:v>1.8144E-2</c:v>
                </c:pt>
                <c:pt idx="82">
                  <c:v>1.8367999999999999E-2</c:v>
                </c:pt>
                <c:pt idx="83">
                  <c:v>1.8592000000000001E-2</c:v>
                </c:pt>
                <c:pt idx="84">
                  <c:v>1.8815999999999999E-2</c:v>
                </c:pt>
                <c:pt idx="85">
                  <c:v>1.9040000000000001E-2</c:v>
                </c:pt>
                <c:pt idx="86">
                  <c:v>1.9264E-2</c:v>
                </c:pt>
                <c:pt idx="87">
                  <c:v>1.9487999999999998E-2</c:v>
                </c:pt>
                <c:pt idx="88">
                  <c:v>1.9712E-2</c:v>
                </c:pt>
                <c:pt idx="89">
                  <c:v>1.9935999999999999E-2</c:v>
                </c:pt>
                <c:pt idx="90">
                  <c:v>2.0160000000000001E-2</c:v>
                </c:pt>
                <c:pt idx="91">
                  <c:v>2.0383999999999999E-2</c:v>
                </c:pt>
                <c:pt idx="92">
                  <c:v>2.0608000000000001E-2</c:v>
                </c:pt>
                <c:pt idx="93">
                  <c:v>2.0832E-2</c:v>
                </c:pt>
                <c:pt idx="94">
                  <c:v>2.1055999999999998E-2</c:v>
                </c:pt>
                <c:pt idx="95">
                  <c:v>2.128E-2</c:v>
                </c:pt>
                <c:pt idx="96">
                  <c:v>2.1503999999999999E-2</c:v>
                </c:pt>
                <c:pt idx="97">
                  <c:v>2.1728000000000001E-2</c:v>
                </c:pt>
                <c:pt idx="98">
                  <c:v>2.1951999999999999E-2</c:v>
                </c:pt>
                <c:pt idx="99">
                  <c:v>2.2176000000000001E-2</c:v>
                </c:pt>
                <c:pt idx="100">
                  <c:v>2.24E-2</c:v>
                </c:pt>
                <c:pt idx="101">
                  <c:v>2.2623999999999998E-2</c:v>
                </c:pt>
                <c:pt idx="102">
                  <c:v>2.2848E-2</c:v>
                </c:pt>
                <c:pt idx="103">
                  <c:v>2.3071999999999999E-2</c:v>
                </c:pt>
                <c:pt idx="104">
                  <c:v>2.3296000000000001E-2</c:v>
                </c:pt>
                <c:pt idx="105">
                  <c:v>2.3519999999999999E-2</c:v>
                </c:pt>
                <c:pt idx="106">
                  <c:v>2.3744000000000001E-2</c:v>
                </c:pt>
                <c:pt idx="107">
                  <c:v>2.3968E-2</c:v>
                </c:pt>
                <c:pt idx="108">
                  <c:v>2.4191999999999998E-2</c:v>
                </c:pt>
                <c:pt idx="109">
                  <c:v>2.4416E-2</c:v>
                </c:pt>
                <c:pt idx="110">
                  <c:v>2.4639999999999999E-2</c:v>
                </c:pt>
                <c:pt idx="111">
                  <c:v>2.4864000000000001E-2</c:v>
                </c:pt>
                <c:pt idx="112">
                  <c:v>2.5087999999999999E-2</c:v>
                </c:pt>
                <c:pt idx="113">
                  <c:v>2.5312000000000001E-2</c:v>
                </c:pt>
                <c:pt idx="114">
                  <c:v>2.5536E-2</c:v>
                </c:pt>
                <c:pt idx="115">
                  <c:v>2.5759999999999998E-2</c:v>
                </c:pt>
                <c:pt idx="116">
                  <c:v>2.5984E-2</c:v>
                </c:pt>
                <c:pt idx="117">
                  <c:v>2.6207999999999999E-2</c:v>
                </c:pt>
                <c:pt idx="118">
                  <c:v>2.6432000000000001E-2</c:v>
                </c:pt>
                <c:pt idx="119">
                  <c:v>2.6655999999999999E-2</c:v>
                </c:pt>
                <c:pt idx="120">
                  <c:v>2.6880000000000001E-2</c:v>
                </c:pt>
                <c:pt idx="121">
                  <c:v>2.7104E-2</c:v>
                </c:pt>
                <c:pt idx="122">
                  <c:v>2.7327999999999998E-2</c:v>
                </c:pt>
                <c:pt idx="123">
                  <c:v>2.7552E-2</c:v>
                </c:pt>
                <c:pt idx="124">
                  <c:v>2.7775999999999999E-2</c:v>
                </c:pt>
                <c:pt idx="125">
                  <c:v>2.8000000000000001E-2</c:v>
                </c:pt>
                <c:pt idx="126">
                  <c:v>2.8223999999999999E-2</c:v>
                </c:pt>
                <c:pt idx="127">
                  <c:v>2.8448000000000001E-2</c:v>
                </c:pt>
                <c:pt idx="128">
                  <c:v>2.8672E-2</c:v>
                </c:pt>
                <c:pt idx="129">
                  <c:v>2.8895999999999998E-2</c:v>
                </c:pt>
                <c:pt idx="130">
                  <c:v>2.912E-2</c:v>
                </c:pt>
                <c:pt idx="131">
                  <c:v>2.9343999999999999E-2</c:v>
                </c:pt>
                <c:pt idx="132">
                  <c:v>2.9568000000000001E-2</c:v>
                </c:pt>
                <c:pt idx="133">
                  <c:v>2.9791999999999999E-2</c:v>
                </c:pt>
                <c:pt idx="134">
                  <c:v>3.0016000000000001E-2</c:v>
                </c:pt>
                <c:pt idx="135">
                  <c:v>3.024E-2</c:v>
                </c:pt>
                <c:pt idx="136">
                  <c:v>3.0463999999999998E-2</c:v>
                </c:pt>
                <c:pt idx="137">
                  <c:v>3.0688E-2</c:v>
                </c:pt>
                <c:pt idx="138">
                  <c:v>3.0911999999999999E-2</c:v>
                </c:pt>
                <c:pt idx="139">
                  <c:v>3.1136E-2</c:v>
                </c:pt>
                <c:pt idx="140">
                  <c:v>3.1359999999999999E-2</c:v>
                </c:pt>
                <c:pt idx="141">
                  <c:v>3.1584000000000001E-2</c:v>
                </c:pt>
                <c:pt idx="142">
                  <c:v>3.1808000000000003E-2</c:v>
                </c:pt>
                <c:pt idx="143">
                  <c:v>3.2031999999999998E-2</c:v>
                </c:pt>
                <c:pt idx="144">
                  <c:v>3.2256E-2</c:v>
                </c:pt>
                <c:pt idx="145">
                  <c:v>3.2480000000000002E-2</c:v>
                </c:pt>
                <c:pt idx="146">
                  <c:v>3.2703999999999997E-2</c:v>
                </c:pt>
                <c:pt idx="147">
                  <c:v>3.2927999999999999E-2</c:v>
                </c:pt>
                <c:pt idx="148">
                  <c:v>3.3152000000000001E-2</c:v>
                </c:pt>
                <c:pt idx="149">
                  <c:v>3.3376000000000003E-2</c:v>
                </c:pt>
                <c:pt idx="150">
                  <c:v>3.3599999999999998E-2</c:v>
                </c:pt>
              </c:numCache>
            </c:numRef>
          </c:xVal>
          <c:yVal>
            <c:numRef>
              <c:f>Eff_vs_IOUT!$AI$7:$AI$157</c:f>
              <c:numCache>
                <c:formatCode>General</c:formatCode>
                <c:ptCount val="151"/>
                <c:pt idx="0">
                  <c:v>0</c:v>
                </c:pt>
                <c:pt idx="1">
                  <c:v>5.3445606373892105E-5</c:v>
                </c:pt>
                <c:pt idx="2">
                  <c:v>1.0716185195165733E-4</c:v>
                </c:pt>
                <c:pt idx="3">
                  <c:v>1.6105428107519144E-4</c:v>
                </c:pt>
                <c:pt idx="4">
                  <c:v>2.1508918716856912E-4</c:v>
                </c:pt>
                <c:pt idx="5">
                  <c:v>2.6924708969223575E-4</c:v>
                </c:pt>
                <c:pt idx="6">
                  <c:v>3.235148447052676E-4</c:v>
                </c:pt>
                <c:pt idx="7">
                  <c:v>3.7788280290627701E-4</c:v>
                </c:pt>
                <c:pt idx="8">
                  <c:v>4.3234348796812323E-4</c:v>
                </c:pt>
                <c:pt idx="9">
                  <c:v>4.8689088489353206E-4</c:v>
                </c:pt>
                <c:pt idx="10">
                  <c:v>5.4152001767065507E-4</c:v>
                </c:pt>
                <c:pt idx="11">
                  <c:v>5.962266804514023E-4</c:v>
                </c:pt>
                <c:pt idx="12">
                  <c:v>6.5100725713382844E-4</c:v>
                </c:pt>
                <c:pt idx="13">
                  <c:v>7.0585859512799416E-4</c:v>
                </c:pt>
                <c:pt idx="14">
                  <c:v>7.6077791401186351E-4</c:v>
                </c:pt>
                <c:pt idx="15">
                  <c:v>8.1576273757335573E-4</c:v>
                </c:pt>
                <c:pt idx="16">
                  <c:v>8.7081084205828201E-4</c:v>
                </c:pt>
                <c:pt idx="17">
                  <c:v>9.2592021596839811E-4</c:v>
                </c:pt>
                <c:pt idx="18">
                  <c:v>9.8108902829163822E-4</c:v>
                </c:pt>
                <c:pt idx="19">
                  <c:v>1.036315603017732E-3</c:v>
                </c:pt>
                <c:pt idx="20">
                  <c:v>1.0915983984250473E-3</c:v>
                </c:pt>
                <c:pt idx="21">
                  <c:v>1.1469359900478926E-3</c:v>
                </c:pt>
                <c:pt idx="22">
                  <c:v>1.2023270565236887E-3</c:v>
                </c:pt>
                <c:pt idx="23">
                  <c:v>1.2577703677225576E-3</c:v>
                </c:pt>
                <c:pt idx="24">
                  <c:v>1.3132647747067345E-3</c:v>
                </c:pt>
                <c:pt idx="25">
                  <c:v>1.3688092011723198E-3</c:v>
                </c:pt>
                <c:pt idx="26">
                  <c:v>1.424402636103287E-3</c:v>
                </c:pt>
                <c:pt idx="27">
                  <c:v>1.4800441274255053E-3</c:v>
                </c:pt>
                <c:pt idx="28">
                  <c:v>1.5357327764922418E-3</c:v>
                </c:pt>
                <c:pt idx="29">
                  <c:v>1.5914677332660935E-3</c:v>
                </c:pt>
                <c:pt idx="30">
                  <c:v>1.6472481920881828E-3</c:v>
                </c:pt>
                <c:pt idx="31">
                  <c:v>1.7030733879456516E-3</c:v>
                </c:pt>
                <c:pt idx="32">
                  <c:v>1.7589425931644437E-3</c:v>
                </c:pt>
                <c:pt idx="33">
                  <c:v>1.8148551144670237E-3</c:v>
                </c:pt>
                <c:pt idx="34">
                  <c:v>1.8708102903448294E-3</c:v>
                </c:pt>
                <c:pt idx="35">
                  <c:v>1.9268074887034442E-3</c:v>
                </c:pt>
                <c:pt idx="36">
                  <c:v>1.9828461047451469E-3</c:v>
                </c:pt>
                <c:pt idx="37">
                  <c:v>2.0389255590589168E-3</c:v>
                </c:pt>
                <c:pt idx="38">
                  <c:v>2.0950452958924857E-3</c:v>
                </c:pt>
                <c:pt idx="39">
                  <c:v>2.1512047815846979E-3</c:v>
                </c:pt>
                <c:pt idx="40">
                  <c:v>2.2074035031395636E-3</c:v>
                </c:pt>
                <c:pt idx="41">
                  <c:v>2.2636409669259442E-3</c:v>
                </c:pt>
                <c:pt idx="42">
                  <c:v>2.3199166974889798E-3</c:v>
                </c:pt>
                <c:pt idx="43">
                  <c:v>2.3762302364612256E-3</c:v>
                </c:pt>
                <c:pt idx="44">
                  <c:v>2.4325811415629736E-3</c:v>
                </c:pt>
                <c:pt idx="45">
                  <c:v>2.4889689856825918E-3</c:v>
                </c:pt>
                <c:pt idx="46">
                  <c:v>2.5453933560288314E-3</c:v>
                </c:pt>
                <c:pt idx="47">
                  <c:v>2.6018538533480059E-3</c:v>
                </c:pt>
                <c:pt idx="48">
                  <c:v>2.6583500911998154E-3</c:v>
                </c:pt>
                <c:pt idx="49">
                  <c:v>2.7148816952862636E-3</c:v>
                </c:pt>
                <c:pt idx="50">
                  <c:v>2.77144830282878E-3</c:v>
                </c:pt>
                <c:pt idx="51">
                  <c:v>2.8280495619891792E-3</c:v>
                </c:pt>
                <c:pt idx="52">
                  <c:v>2.8846851313305728E-3</c:v>
                </c:pt>
                <c:pt idx="53">
                  <c:v>2.9413546793147444E-3</c:v>
                </c:pt>
                <c:pt idx="54">
                  <c:v>2.9980578838328976E-3</c:v>
                </c:pt>
                <c:pt idx="55">
                  <c:v>3.0547944317669625E-3</c:v>
                </c:pt>
                <c:pt idx="56">
                  <c:v>3.1115640185789594E-3</c:v>
                </c:pt>
                <c:pt idx="57">
                  <c:v>3.1683663479261446E-3</c:v>
                </c:pt>
                <c:pt idx="58">
                  <c:v>3.2252011312999115E-3</c:v>
                </c:pt>
                <c:pt idx="59">
                  <c:v>3.2820680876865654E-3</c:v>
                </c:pt>
                <c:pt idx="60">
                  <c:v>3.3389669432483298E-3</c:v>
                </c:pt>
                <c:pt idx="61">
                  <c:v>3.3958974310230308E-3</c:v>
                </c:pt>
                <c:pt idx="62">
                  <c:v>3.4528592906410958E-3</c:v>
                </c:pt>
                <c:pt idx="63">
                  <c:v>3.5098522680585948E-3</c:v>
                </c:pt>
                <c:pt idx="64">
                  <c:v>3.5668761153051722E-3</c:v>
                </c:pt>
                <c:pt idx="65">
                  <c:v>3.6239305902458275E-3</c:v>
                </c:pt>
                <c:pt idx="66">
                  <c:v>3.681015456355572E-3</c:v>
                </c:pt>
                <c:pt idx="67">
                  <c:v>3.7381304825060803E-3</c:v>
                </c:pt>
                <c:pt idx="68">
                  <c:v>3.795275442763534E-3</c:v>
                </c:pt>
                <c:pt idx="69">
                  <c:v>3.8524501161969192E-3</c:v>
                </c:pt>
                <c:pt idx="70">
                  <c:v>3.9096542866960664E-3</c:v>
                </c:pt>
                <c:pt idx="71">
                  <c:v>3.9668877427988447E-3</c:v>
                </c:pt>
                <c:pt idx="72">
                  <c:v>4.0241502775268875E-3</c:v>
                </c:pt>
                <c:pt idx="73">
                  <c:v>4.0814416882293449E-3</c:v>
                </c:pt>
                <c:pt idx="74">
                  <c:v>4.1387617764341526E-3</c:v>
                </c:pt>
                <c:pt idx="75">
                  <c:v>4.1961103477063536E-3</c:v>
                </c:pt>
                <c:pt idx="76">
                  <c:v>4.2534872115130686E-3</c:v>
                </c:pt>
                <c:pt idx="77">
                  <c:v>4.3108921810946855E-3</c:v>
                </c:pt>
                <c:pt idx="78">
                  <c:v>4.3683250733419507E-3</c:v>
                </c:pt>
                <c:pt idx="79">
                  <c:v>4.4257857086785644E-3</c:v>
                </c:pt>
                <c:pt idx="80">
                  <c:v>4.4832739109490248E-3</c:v>
                </c:pt>
                <c:pt idx="81">
                  <c:v>4.5407895073113717E-3</c:v>
                </c:pt>
                <c:pt idx="82">
                  <c:v>4.5983323281345882E-3</c:v>
                </c:pt>
                <c:pt idx="83">
                  <c:v>4.6559022069003987E-3</c:v>
                </c:pt>
                <c:pt idx="84">
                  <c:v>4.7134989801092195E-3</c:v>
                </c:pt>
                <c:pt idx="85">
                  <c:v>4.7711224871900349E-3</c:v>
                </c:pt>
                <c:pt idx="86">
                  <c:v>4.8287725704140045E-3</c:v>
                </c:pt>
                <c:pt idx="87">
                  <c:v>4.8864490748115851E-3</c:v>
                </c:pt>
                <c:pt idx="88">
                  <c:v>4.9441518480930194E-3</c:v>
                </c:pt>
                <c:pt idx="89">
                  <c:v>5.001880740571959E-3</c:v>
                </c:pt>
                <c:pt idx="90">
                  <c:v>5.0596356050921412E-3</c:v>
                </c:pt>
                <c:pt idx="91">
                  <c:v>5.1174162969568997E-3</c:v>
                </c:pt>
                <c:pt idx="92">
                  <c:v>5.1752226738614017E-3</c:v>
                </c:pt>
                <c:pt idx="93">
                  <c:v>5.2330545958274664E-3</c:v>
                </c:pt>
                <c:pt idx="94">
                  <c:v>5.290911925140849E-3</c:v>
                </c:pt>
                <c:pt idx="95">
                  <c:v>5.348794526290869E-3</c:v>
                </c:pt>
                <c:pt idx="96">
                  <c:v>5.4067022659122516E-3</c:v>
                </c:pt>
                <c:pt idx="97">
                  <c:v>5.4646350127291257E-3</c:v>
                </c:pt>
                <c:pt idx="98">
                  <c:v>5.5225926375010075E-3</c:v>
                </c:pt>
                <c:pt idx="99">
                  <c:v>5.5805750129707598E-3</c:v>
                </c:pt>
                <c:pt idx="100">
                  <c:v>5.6961096932766691E-3</c:v>
                </c:pt>
                <c:pt idx="101">
                  <c:v>5.7553143865834225E-3</c:v>
                </c:pt>
                <c:pt idx="102">
                  <c:v>5.8145796348886931E-3</c:v>
                </c:pt>
                <c:pt idx="103">
                  <c:v>5.8739054381924836E-3</c:v>
                </c:pt>
                <c:pt idx="104">
                  <c:v>5.9332917964947923E-3</c:v>
                </c:pt>
                <c:pt idx="105">
                  <c:v>5.992738709795619E-3</c:v>
                </c:pt>
                <c:pt idx="106">
                  <c:v>6.0522461780949648E-3</c:v>
                </c:pt>
                <c:pt idx="107">
                  <c:v>6.1118142013928279E-3</c:v>
                </c:pt>
                <c:pt idx="108">
                  <c:v>6.1714427796892117E-3</c:v>
                </c:pt>
                <c:pt idx="109">
                  <c:v>6.2311319129841128E-3</c:v>
                </c:pt>
                <c:pt idx="110">
                  <c:v>6.290881601277532E-3</c:v>
                </c:pt>
                <c:pt idx="111">
                  <c:v>6.350691844569472E-3</c:v>
                </c:pt>
                <c:pt idx="112">
                  <c:v>6.4105626428599292E-3</c:v>
                </c:pt>
                <c:pt idx="113">
                  <c:v>6.4704939961489037E-3</c:v>
                </c:pt>
                <c:pt idx="114">
                  <c:v>6.5304859044363964E-3</c:v>
                </c:pt>
                <c:pt idx="115">
                  <c:v>6.590538367722408E-3</c:v>
                </c:pt>
                <c:pt idx="116">
                  <c:v>6.6506513860069396E-3</c:v>
                </c:pt>
                <c:pt idx="117">
                  <c:v>6.7108249592899901E-3</c:v>
                </c:pt>
                <c:pt idx="118">
                  <c:v>6.7710590875715562E-3</c:v>
                </c:pt>
                <c:pt idx="119">
                  <c:v>6.8313537708516439E-3</c:v>
                </c:pt>
                <c:pt idx="120">
                  <c:v>6.891709009130248E-3</c:v>
                </c:pt>
                <c:pt idx="121">
                  <c:v>6.9521248024073728E-3</c:v>
                </c:pt>
                <c:pt idx="122">
                  <c:v>7.0126011506830132E-3</c:v>
                </c:pt>
                <c:pt idx="123">
                  <c:v>7.0731380539571734E-3</c:v>
                </c:pt>
                <c:pt idx="124">
                  <c:v>7.1337355122298536E-3</c:v>
                </c:pt>
                <c:pt idx="125">
                  <c:v>7.1943935255010492E-3</c:v>
                </c:pt>
                <c:pt idx="126">
                  <c:v>7.2551120937707674E-3</c:v>
                </c:pt>
                <c:pt idx="127">
                  <c:v>7.3158912170390002E-3</c:v>
                </c:pt>
                <c:pt idx="128">
                  <c:v>7.3767308953057546E-3</c:v>
                </c:pt>
                <c:pt idx="129">
                  <c:v>7.4376311285710255E-3</c:v>
                </c:pt>
                <c:pt idx="130">
                  <c:v>7.4985919168348153E-3</c:v>
                </c:pt>
                <c:pt idx="131">
                  <c:v>7.5596132600971241E-3</c:v>
                </c:pt>
                <c:pt idx="132">
                  <c:v>7.6206951583579511E-3</c:v>
                </c:pt>
                <c:pt idx="133">
                  <c:v>7.6818376116172971E-3</c:v>
                </c:pt>
                <c:pt idx="134">
                  <c:v>7.7430406198751621E-3</c:v>
                </c:pt>
                <c:pt idx="135">
                  <c:v>7.8043041831315435E-3</c:v>
                </c:pt>
                <c:pt idx="136">
                  <c:v>7.8656283013864448E-3</c:v>
                </c:pt>
                <c:pt idx="137">
                  <c:v>7.927012974639866E-3</c:v>
                </c:pt>
                <c:pt idx="138">
                  <c:v>7.9884582028918027E-3</c:v>
                </c:pt>
                <c:pt idx="139">
                  <c:v>8.0499639861422601E-3</c:v>
                </c:pt>
                <c:pt idx="140">
                  <c:v>8.1115303243912348E-3</c:v>
                </c:pt>
                <c:pt idx="141">
                  <c:v>8.1731572176387303E-3</c:v>
                </c:pt>
                <c:pt idx="142">
                  <c:v>8.2348446658847413E-3</c:v>
                </c:pt>
                <c:pt idx="143">
                  <c:v>8.2965926691292713E-3</c:v>
                </c:pt>
                <c:pt idx="144">
                  <c:v>8.358401227372322E-3</c:v>
                </c:pt>
                <c:pt idx="145">
                  <c:v>8.4202703406138901E-3</c:v>
                </c:pt>
                <c:pt idx="146">
                  <c:v>8.4822000088539753E-3</c:v>
                </c:pt>
                <c:pt idx="147">
                  <c:v>8.5441902320925796E-3</c:v>
                </c:pt>
                <c:pt idx="148">
                  <c:v>8.6062410103297047E-3</c:v>
                </c:pt>
                <c:pt idx="149">
                  <c:v>8.668352343565347E-3</c:v>
                </c:pt>
                <c:pt idx="150">
                  <c:v>8.7305242317995049E-3</c:v>
                </c:pt>
              </c:numCache>
            </c:numRef>
          </c:yVal>
          <c:smooth val="1"/>
          <c:extLst>
            <c:ext xmlns:c16="http://schemas.microsoft.com/office/drawing/2014/chart" uri="{C3380CC4-5D6E-409C-BE32-E72D297353CC}">
              <c16:uniqueId val="{00000001-EBB2-49C9-A014-1F538461E4EA}"/>
            </c:ext>
          </c:extLst>
        </c:ser>
        <c:ser>
          <c:idx val="2"/>
          <c:order val="2"/>
          <c:tx>
            <c:v>Diode</c:v>
          </c:tx>
          <c:spPr>
            <a:ln>
              <a:solidFill>
                <a:schemeClr val="bg2">
                  <a:lumMod val="50000"/>
                </a:schemeClr>
              </a:solidFill>
              <a:prstDash val="sysDash"/>
            </a:ln>
          </c:spPr>
          <c:marker>
            <c:symbol val="none"/>
          </c:marker>
          <c:xVal>
            <c:numRef>
              <c:f>Eff_vs_IOUT!$S$7:$S$157</c:f>
              <c:numCache>
                <c:formatCode>General</c:formatCode>
                <c:ptCount val="151"/>
                <c:pt idx="0">
                  <c:v>0</c:v>
                </c:pt>
                <c:pt idx="1">
                  <c:v>2.24E-4</c:v>
                </c:pt>
                <c:pt idx="2">
                  <c:v>4.4799999999999999E-4</c:v>
                </c:pt>
                <c:pt idx="3">
                  <c:v>6.7199999999999996E-4</c:v>
                </c:pt>
                <c:pt idx="4">
                  <c:v>8.9599999999999999E-4</c:v>
                </c:pt>
                <c:pt idx="5">
                  <c:v>1.1199999999999999E-3</c:v>
                </c:pt>
                <c:pt idx="6">
                  <c:v>1.3439999999999999E-3</c:v>
                </c:pt>
                <c:pt idx="7">
                  <c:v>1.5679999999999999E-3</c:v>
                </c:pt>
                <c:pt idx="8">
                  <c:v>1.792E-3</c:v>
                </c:pt>
                <c:pt idx="9">
                  <c:v>2.016E-3</c:v>
                </c:pt>
                <c:pt idx="10">
                  <c:v>2.2399999999999998E-3</c:v>
                </c:pt>
                <c:pt idx="11">
                  <c:v>2.464E-3</c:v>
                </c:pt>
                <c:pt idx="12">
                  <c:v>2.6879999999999999E-3</c:v>
                </c:pt>
                <c:pt idx="13">
                  <c:v>2.9120000000000001E-3</c:v>
                </c:pt>
                <c:pt idx="14">
                  <c:v>3.1359999999999999E-3</c:v>
                </c:pt>
                <c:pt idx="15">
                  <c:v>3.3600000000000001E-3</c:v>
                </c:pt>
                <c:pt idx="16">
                  <c:v>3.5839999999999999E-3</c:v>
                </c:pt>
                <c:pt idx="17">
                  <c:v>3.8079999999999998E-3</c:v>
                </c:pt>
                <c:pt idx="18">
                  <c:v>4.032E-3</c:v>
                </c:pt>
                <c:pt idx="19">
                  <c:v>4.2560000000000002E-3</c:v>
                </c:pt>
                <c:pt idx="20">
                  <c:v>4.4799999999999996E-3</c:v>
                </c:pt>
                <c:pt idx="21">
                  <c:v>4.7039999999999998E-3</c:v>
                </c:pt>
                <c:pt idx="22">
                  <c:v>4.9280000000000001E-3</c:v>
                </c:pt>
                <c:pt idx="23">
                  <c:v>5.1520000000000003E-3</c:v>
                </c:pt>
                <c:pt idx="24">
                  <c:v>5.3759999999999997E-3</c:v>
                </c:pt>
                <c:pt idx="25">
                  <c:v>5.5999999999999999E-3</c:v>
                </c:pt>
                <c:pt idx="26">
                  <c:v>5.8240000000000002E-3</c:v>
                </c:pt>
                <c:pt idx="27">
                  <c:v>6.0479999999999996E-3</c:v>
                </c:pt>
                <c:pt idx="28">
                  <c:v>6.2719999999999998E-3</c:v>
                </c:pt>
                <c:pt idx="29">
                  <c:v>6.496E-3</c:v>
                </c:pt>
                <c:pt idx="30">
                  <c:v>6.7200000000000003E-3</c:v>
                </c:pt>
                <c:pt idx="31">
                  <c:v>6.9439999999999997E-3</c:v>
                </c:pt>
                <c:pt idx="32">
                  <c:v>7.1679999999999999E-3</c:v>
                </c:pt>
                <c:pt idx="33">
                  <c:v>7.3920000000000001E-3</c:v>
                </c:pt>
                <c:pt idx="34">
                  <c:v>7.6159999999999995E-3</c:v>
                </c:pt>
                <c:pt idx="35">
                  <c:v>7.8399999999999997E-3</c:v>
                </c:pt>
                <c:pt idx="36">
                  <c:v>8.064E-3</c:v>
                </c:pt>
                <c:pt idx="37">
                  <c:v>8.2880000000000002E-3</c:v>
                </c:pt>
                <c:pt idx="38">
                  <c:v>8.5120000000000005E-3</c:v>
                </c:pt>
                <c:pt idx="39">
                  <c:v>8.7360000000000007E-3</c:v>
                </c:pt>
                <c:pt idx="40">
                  <c:v>8.9599999999999992E-3</c:v>
                </c:pt>
                <c:pt idx="41">
                  <c:v>9.1839999999999995E-3</c:v>
                </c:pt>
                <c:pt idx="42">
                  <c:v>9.4079999999999997E-3</c:v>
                </c:pt>
                <c:pt idx="43">
                  <c:v>9.6319999999999999E-3</c:v>
                </c:pt>
                <c:pt idx="44">
                  <c:v>9.8560000000000002E-3</c:v>
                </c:pt>
                <c:pt idx="45">
                  <c:v>1.008E-2</c:v>
                </c:pt>
                <c:pt idx="46">
                  <c:v>1.0304000000000001E-2</c:v>
                </c:pt>
                <c:pt idx="47">
                  <c:v>1.0527999999999999E-2</c:v>
                </c:pt>
                <c:pt idx="48">
                  <c:v>1.0751999999999999E-2</c:v>
                </c:pt>
                <c:pt idx="49">
                  <c:v>1.0976E-2</c:v>
                </c:pt>
                <c:pt idx="50">
                  <c:v>1.12E-2</c:v>
                </c:pt>
                <c:pt idx="51">
                  <c:v>1.1424E-2</c:v>
                </c:pt>
                <c:pt idx="52">
                  <c:v>1.1648E-2</c:v>
                </c:pt>
                <c:pt idx="53">
                  <c:v>1.1872000000000001E-2</c:v>
                </c:pt>
                <c:pt idx="54">
                  <c:v>1.2095999999999999E-2</c:v>
                </c:pt>
                <c:pt idx="55">
                  <c:v>1.2319999999999999E-2</c:v>
                </c:pt>
                <c:pt idx="56">
                  <c:v>1.2544E-2</c:v>
                </c:pt>
                <c:pt idx="57">
                  <c:v>1.2768E-2</c:v>
                </c:pt>
                <c:pt idx="58">
                  <c:v>1.2992E-2</c:v>
                </c:pt>
                <c:pt idx="59">
                  <c:v>1.3216E-2</c:v>
                </c:pt>
                <c:pt idx="60">
                  <c:v>1.3440000000000001E-2</c:v>
                </c:pt>
                <c:pt idx="61">
                  <c:v>1.3663999999999999E-2</c:v>
                </c:pt>
                <c:pt idx="62">
                  <c:v>1.3887999999999999E-2</c:v>
                </c:pt>
                <c:pt idx="63">
                  <c:v>1.4112E-2</c:v>
                </c:pt>
                <c:pt idx="64">
                  <c:v>1.4336E-2</c:v>
                </c:pt>
                <c:pt idx="65">
                  <c:v>1.456E-2</c:v>
                </c:pt>
                <c:pt idx="66">
                  <c:v>1.4784E-2</c:v>
                </c:pt>
                <c:pt idx="67">
                  <c:v>1.5008000000000001E-2</c:v>
                </c:pt>
                <c:pt idx="68">
                  <c:v>1.5231999999999999E-2</c:v>
                </c:pt>
                <c:pt idx="69">
                  <c:v>1.5455999999999999E-2</c:v>
                </c:pt>
                <c:pt idx="70">
                  <c:v>1.5679999999999999E-2</c:v>
                </c:pt>
                <c:pt idx="71">
                  <c:v>1.5904000000000001E-2</c:v>
                </c:pt>
                <c:pt idx="72">
                  <c:v>1.6128E-2</c:v>
                </c:pt>
                <c:pt idx="73">
                  <c:v>1.6351999999999998E-2</c:v>
                </c:pt>
                <c:pt idx="74">
                  <c:v>1.6576E-2</c:v>
                </c:pt>
                <c:pt idx="75">
                  <c:v>1.6799999999999999E-2</c:v>
                </c:pt>
                <c:pt idx="76">
                  <c:v>1.7024000000000001E-2</c:v>
                </c:pt>
                <c:pt idx="77">
                  <c:v>1.7247999999999999E-2</c:v>
                </c:pt>
                <c:pt idx="78">
                  <c:v>1.7472000000000001E-2</c:v>
                </c:pt>
                <c:pt idx="79">
                  <c:v>1.7696E-2</c:v>
                </c:pt>
                <c:pt idx="80">
                  <c:v>1.7919999999999998E-2</c:v>
                </c:pt>
                <c:pt idx="81">
                  <c:v>1.8144E-2</c:v>
                </c:pt>
                <c:pt idx="82">
                  <c:v>1.8367999999999999E-2</c:v>
                </c:pt>
                <c:pt idx="83">
                  <c:v>1.8592000000000001E-2</c:v>
                </c:pt>
                <c:pt idx="84">
                  <c:v>1.8815999999999999E-2</c:v>
                </c:pt>
                <c:pt idx="85">
                  <c:v>1.9040000000000001E-2</c:v>
                </c:pt>
                <c:pt idx="86">
                  <c:v>1.9264E-2</c:v>
                </c:pt>
                <c:pt idx="87">
                  <c:v>1.9487999999999998E-2</c:v>
                </c:pt>
                <c:pt idx="88">
                  <c:v>1.9712E-2</c:v>
                </c:pt>
                <c:pt idx="89">
                  <c:v>1.9935999999999999E-2</c:v>
                </c:pt>
                <c:pt idx="90">
                  <c:v>2.0160000000000001E-2</c:v>
                </c:pt>
                <c:pt idx="91">
                  <c:v>2.0383999999999999E-2</c:v>
                </c:pt>
                <c:pt idx="92">
                  <c:v>2.0608000000000001E-2</c:v>
                </c:pt>
                <c:pt idx="93">
                  <c:v>2.0832E-2</c:v>
                </c:pt>
                <c:pt idx="94">
                  <c:v>2.1055999999999998E-2</c:v>
                </c:pt>
                <c:pt idx="95">
                  <c:v>2.128E-2</c:v>
                </c:pt>
                <c:pt idx="96">
                  <c:v>2.1503999999999999E-2</c:v>
                </c:pt>
                <c:pt idx="97">
                  <c:v>2.1728000000000001E-2</c:v>
                </c:pt>
                <c:pt idx="98">
                  <c:v>2.1951999999999999E-2</c:v>
                </c:pt>
                <c:pt idx="99">
                  <c:v>2.2176000000000001E-2</c:v>
                </c:pt>
                <c:pt idx="100">
                  <c:v>2.24E-2</c:v>
                </c:pt>
                <c:pt idx="101">
                  <c:v>2.2623999999999998E-2</c:v>
                </c:pt>
                <c:pt idx="102">
                  <c:v>2.2848E-2</c:v>
                </c:pt>
                <c:pt idx="103">
                  <c:v>2.3071999999999999E-2</c:v>
                </c:pt>
                <c:pt idx="104">
                  <c:v>2.3296000000000001E-2</c:v>
                </c:pt>
                <c:pt idx="105">
                  <c:v>2.3519999999999999E-2</c:v>
                </c:pt>
                <c:pt idx="106">
                  <c:v>2.3744000000000001E-2</c:v>
                </c:pt>
                <c:pt idx="107">
                  <c:v>2.3968E-2</c:v>
                </c:pt>
                <c:pt idx="108">
                  <c:v>2.4191999999999998E-2</c:v>
                </c:pt>
                <c:pt idx="109">
                  <c:v>2.4416E-2</c:v>
                </c:pt>
                <c:pt idx="110">
                  <c:v>2.4639999999999999E-2</c:v>
                </c:pt>
                <c:pt idx="111">
                  <c:v>2.4864000000000001E-2</c:v>
                </c:pt>
                <c:pt idx="112">
                  <c:v>2.5087999999999999E-2</c:v>
                </c:pt>
                <c:pt idx="113">
                  <c:v>2.5312000000000001E-2</c:v>
                </c:pt>
                <c:pt idx="114">
                  <c:v>2.5536E-2</c:v>
                </c:pt>
                <c:pt idx="115">
                  <c:v>2.5759999999999998E-2</c:v>
                </c:pt>
                <c:pt idx="116">
                  <c:v>2.5984E-2</c:v>
                </c:pt>
                <c:pt idx="117">
                  <c:v>2.6207999999999999E-2</c:v>
                </c:pt>
                <c:pt idx="118">
                  <c:v>2.6432000000000001E-2</c:v>
                </c:pt>
                <c:pt idx="119">
                  <c:v>2.6655999999999999E-2</c:v>
                </c:pt>
                <c:pt idx="120">
                  <c:v>2.6880000000000001E-2</c:v>
                </c:pt>
                <c:pt idx="121">
                  <c:v>2.7104E-2</c:v>
                </c:pt>
                <c:pt idx="122">
                  <c:v>2.7327999999999998E-2</c:v>
                </c:pt>
                <c:pt idx="123">
                  <c:v>2.7552E-2</c:v>
                </c:pt>
                <c:pt idx="124">
                  <c:v>2.7775999999999999E-2</c:v>
                </c:pt>
                <c:pt idx="125">
                  <c:v>2.8000000000000001E-2</c:v>
                </c:pt>
                <c:pt idx="126">
                  <c:v>2.8223999999999999E-2</c:v>
                </c:pt>
                <c:pt idx="127">
                  <c:v>2.8448000000000001E-2</c:v>
                </c:pt>
                <c:pt idx="128">
                  <c:v>2.8672E-2</c:v>
                </c:pt>
                <c:pt idx="129">
                  <c:v>2.8895999999999998E-2</c:v>
                </c:pt>
                <c:pt idx="130">
                  <c:v>2.912E-2</c:v>
                </c:pt>
                <c:pt idx="131">
                  <c:v>2.9343999999999999E-2</c:v>
                </c:pt>
                <c:pt idx="132">
                  <c:v>2.9568000000000001E-2</c:v>
                </c:pt>
                <c:pt idx="133">
                  <c:v>2.9791999999999999E-2</c:v>
                </c:pt>
                <c:pt idx="134">
                  <c:v>3.0016000000000001E-2</c:v>
                </c:pt>
                <c:pt idx="135">
                  <c:v>3.024E-2</c:v>
                </c:pt>
                <c:pt idx="136">
                  <c:v>3.0463999999999998E-2</c:v>
                </c:pt>
                <c:pt idx="137">
                  <c:v>3.0688E-2</c:v>
                </c:pt>
                <c:pt idx="138">
                  <c:v>3.0911999999999999E-2</c:v>
                </c:pt>
                <c:pt idx="139">
                  <c:v>3.1136E-2</c:v>
                </c:pt>
                <c:pt idx="140">
                  <c:v>3.1359999999999999E-2</c:v>
                </c:pt>
                <c:pt idx="141">
                  <c:v>3.1584000000000001E-2</c:v>
                </c:pt>
                <c:pt idx="142">
                  <c:v>3.1808000000000003E-2</c:v>
                </c:pt>
                <c:pt idx="143">
                  <c:v>3.2031999999999998E-2</c:v>
                </c:pt>
                <c:pt idx="144">
                  <c:v>3.2256E-2</c:v>
                </c:pt>
                <c:pt idx="145">
                  <c:v>3.2480000000000002E-2</c:v>
                </c:pt>
                <c:pt idx="146">
                  <c:v>3.2703999999999997E-2</c:v>
                </c:pt>
                <c:pt idx="147">
                  <c:v>3.2927999999999999E-2</c:v>
                </c:pt>
                <c:pt idx="148">
                  <c:v>3.3152000000000001E-2</c:v>
                </c:pt>
                <c:pt idx="149">
                  <c:v>3.3376000000000003E-2</c:v>
                </c:pt>
                <c:pt idx="150">
                  <c:v>3.3599999999999998E-2</c:v>
                </c:pt>
              </c:numCache>
            </c:numRef>
          </c:xVal>
          <c:yVal>
            <c:numRef>
              <c:f>Eff_vs_IOUT!$AN$7:$AN$157</c:f>
              <c:numCache>
                <c:formatCode>General</c:formatCode>
                <c:ptCount val="151"/>
                <c:pt idx="0">
                  <c:v>9.9132400000000009E-2</c:v>
                </c:pt>
                <c:pt idx="1">
                  <c:v>9.9338480000000007E-2</c:v>
                </c:pt>
                <c:pt idx="2">
                  <c:v>9.9544560000000004E-2</c:v>
                </c:pt>
                <c:pt idx="3">
                  <c:v>9.9750640000000015E-2</c:v>
                </c:pt>
                <c:pt idx="4">
                  <c:v>9.9956720000000013E-2</c:v>
                </c:pt>
                <c:pt idx="5">
                  <c:v>0.10016280000000001</c:v>
                </c:pt>
                <c:pt idx="6">
                  <c:v>0.10036888000000001</c:v>
                </c:pt>
                <c:pt idx="7">
                  <c:v>0.10057496</c:v>
                </c:pt>
                <c:pt idx="8">
                  <c:v>0.10078104000000002</c:v>
                </c:pt>
                <c:pt idx="9">
                  <c:v>0.10098712000000001</c:v>
                </c:pt>
                <c:pt idx="10">
                  <c:v>0.10119320000000001</c:v>
                </c:pt>
                <c:pt idx="11">
                  <c:v>0.10139928000000001</c:v>
                </c:pt>
                <c:pt idx="12">
                  <c:v>0.10160536000000001</c:v>
                </c:pt>
                <c:pt idx="13">
                  <c:v>0.10181144</c:v>
                </c:pt>
                <c:pt idx="14">
                  <c:v>0.10201752000000001</c:v>
                </c:pt>
                <c:pt idx="15">
                  <c:v>0.10222360000000001</c:v>
                </c:pt>
                <c:pt idx="16">
                  <c:v>0.10242968000000001</c:v>
                </c:pt>
                <c:pt idx="17">
                  <c:v>0.10263576000000001</c:v>
                </c:pt>
                <c:pt idx="18">
                  <c:v>0.10284184</c:v>
                </c:pt>
                <c:pt idx="19">
                  <c:v>0.10304792000000002</c:v>
                </c:pt>
                <c:pt idx="20">
                  <c:v>0.10325400000000001</c:v>
                </c:pt>
                <c:pt idx="21">
                  <c:v>0.10346008000000001</c:v>
                </c:pt>
                <c:pt idx="22">
                  <c:v>0.10366616000000001</c:v>
                </c:pt>
                <c:pt idx="23">
                  <c:v>0.10387224</c:v>
                </c:pt>
                <c:pt idx="24">
                  <c:v>0.10407832000000002</c:v>
                </c:pt>
                <c:pt idx="25">
                  <c:v>0.10428440000000001</c:v>
                </c:pt>
                <c:pt idx="26">
                  <c:v>0.10449048000000001</c:v>
                </c:pt>
                <c:pt idx="27">
                  <c:v>0.10469656000000001</c:v>
                </c:pt>
                <c:pt idx="28">
                  <c:v>0.10490264000000001</c:v>
                </c:pt>
                <c:pt idx="29">
                  <c:v>0.10510872000000002</c:v>
                </c:pt>
                <c:pt idx="30">
                  <c:v>0.10531480000000001</c:v>
                </c:pt>
                <c:pt idx="31">
                  <c:v>0.10552088000000001</c:v>
                </c:pt>
                <c:pt idx="32">
                  <c:v>0.10572696000000001</c:v>
                </c:pt>
                <c:pt idx="33">
                  <c:v>0.10593304000000001</c:v>
                </c:pt>
                <c:pt idx="34">
                  <c:v>0.10613912</c:v>
                </c:pt>
                <c:pt idx="35">
                  <c:v>0.10634520000000001</c:v>
                </c:pt>
                <c:pt idx="36">
                  <c:v>0.10655128000000001</c:v>
                </c:pt>
                <c:pt idx="37">
                  <c:v>0.10675736000000001</c:v>
                </c:pt>
                <c:pt idx="38">
                  <c:v>0.10696344000000001</c:v>
                </c:pt>
                <c:pt idx="39">
                  <c:v>0.10716952000000002</c:v>
                </c:pt>
                <c:pt idx="40">
                  <c:v>0.10737560000000002</c:v>
                </c:pt>
                <c:pt idx="41">
                  <c:v>0.10758168000000001</c:v>
                </c:pt>
                <c:pt idx="42">
                  <c:v>0.10778776000000001</c:v>
                </c:pt>
                <c:pt idx="43">
                  <c:v>0.10799384000000001</c:v>
                </c:pt>
                <c:pt idx="44">
                  <c:v>0.10819992</c:v>
                </c:pt>
                <c:pt idx="45">
                  <c:v>0.10840600000000002</c:v>
                </c:pt>
                <c:pt idx="46">
                  <c:v>0.10861208000000001</c:v>
                </c:pt>
                <c:pt idx="47">
                  <c:v>0.10881816000000001</c:v>
                </c:pt>
                <c:pt idx="48">
                  <c:v>0.10902424000000001</c:v>
                </c:pt>
                <c:pt idx="49">
                  <c:v>0.10923032000000001</c:v>
                </c:pt>
                <c:pt idx="50">
                  <c:v>0.10943640000000002</c:v>
                </c:pt>
                <c:pt idx="51">
                  <c:v>0.10964248000000001</c:v>
                </c:pt>
                <c:pt idx="52">
                  <c:v>0.10984856000000001</c:v>
                </c:pt>
                <c:pt idx="53">
                  <c:v>0.11005464000000001</c:v>
                </c:pt>
                <c:pt idx="54">
                  <c:v>0.11026072000000001</c:v>
                </c:pt>
                <c:pt idx="55">
                  <c:v>0.1104668</c:v>
                </c:pt>
                <c:pt idx="56">
                  <c:v>0.11067288000000002</c:v>
                </c:pt>
                <c:pt idx="57">
                  <c:v>0.11087896000000001</c:v>
                </c:pt>
                <c:pt idx="58">
                  <c:v>0.11108504000000001</c:v>
                </c:pt>
                <c:pt idx="59">
                  <c:v>0.11129112000000001</c:v>
                </c:pt>
                <c:pt idx="60">
                  <c:v>0.1114972</c:v>
                </c:pt>
                <c:pt idx="61">
                  <c:v>0.11170328000000002</c:v>
                </c:pt>
                <c:pt idx="62">
                  <c:v>0.11190936000000001</c:v>
                </c:pt>
                <c:pt idx="63">
                  <c:v>0.11211544000000001</c:v>
                </c:pt>
                <c:pt idx="64">
                  <c:v>0.11232152000000001</c:v>
                </c:pt>
                <c:pt idx="65">
                  <c:v>0.11252760000000001</c:v>
                </c:pt>
                <c:pt idx="66">
                  <c:v>0.11273368</c:v>
                </c:pt>
                <c:pt idx="67">
                  <c:v>0.11293976000000001</c:v>
                </c:pt>
                <c:pt idx="68">
                  <c:v>0.11314584000000001</c:v>
                </c:pt>
                <c:pt idx="69">
                  <c:v>0.11335192000000001</c:v>
                </c:pt>
                <c:pt idx="70">
                  <c:v>0.11355800000000001</c:v>
                </c:pt>
                <c:pt idx="71">
                  <c:v>0.11376408000000002</c:v>
                </c:pt>
                <c:pt idx="72">
                  <c:v>0.11397016000000001</c:v>
                </c:pt>
                <c:pt idx="73">
                  <c:v>0.11417624000000001</c:v>
                </c:pt>
                <c:pt idx="74">
                  <c:v>0.11438232000000001</c:v>
                </c:pt>
                <c:pt idx="75">
                  <c:v>0.11458840000000001</c:v>
                </c:pt>
                <c:pt idx="76">
                  <c:v>0.11479448</c:v>
                </c:pt>
                <c:pt idx="77">
                  <c:v>0.11500056</c:v>
                </c:pt>
                <c:pt idx="78">
                  <c:v>0.11520664000000001</c:v>
                </c:pt>
                <c:pt idx="79">
                  <c:v>0.11541272000000001</c:v>
                </c:pt>
                <c:pt idx="80">
                  <c:v>0.11561880000000001</c:v>
                </c:pt>
                <c:pt idx="81">
                  <c:v>0.11582488000000002</c:v>
                </c:pt>
                <c:pt idx="82">
                  <c:v>0.11603096000000002</c:v>
                </c:pt>
                <c:pt idx="83">
                  <c:v>0.11623704000000001</c:v>
                </c:pt>
                <c:pt idx="84">
                  <c:v>0.11644312000000001</c:v>
                </c:pt>
                <c:pt idx="85">
                  <c:v>0.11664920000000001</c:v>
                </c:pt>
                <c:pt idx="86">
                  <c:v>0.11685528000000001</c:v>
                </c:pt>
                <c:pt idx="87">
                  <c:v>0.11706136</c:v>
                </c:pt>
                <c:pt idx="88">
                  <c:v>0.11726744000000001</c:v>
                </c:pt>
                <c:pt idx="89">
                  <c:v>0.11747352000000001</c:v>
                </c:pt>
                <c:pt idx="90">
                  <c:v>0.11767960000000001</c:v>
                </c:pt>
                <c:pt idx="91">
                  <c:v>0.11788568000000001</c:v>
                </c:pt>
                <c:pt idx="92">
                  <c:v>0.11809176000000002</c:v>
                </c:pt>
                <c:pt idx="93">
                  <c:v>0.11829784000000002</c:v>
                </c:pt>
                <c:pt idx="94">
                  <c:v>0.11850392000000001</c:v>
                </c:pt>
                <c:pt idx="95">
                  <c:v>0.11871000000000001</c:v>
                </c:pt>
                <c:pt idx="96">
                  <c:v>0.11891608000000001</c:v>
                </c:pt>
                <c:pt idx="97">
                  <c:v>0.11912216</c:v>
                </c:pt>
                <c:pt idx="98">
                  <c:v>0.11932824</c:v>
                </c:pt>
                <c:pt idx="99">
                  <c:v>0.11953432000000001</c:v>
                </c:pt>
                <c:pt idx="100">
                  <c:v>0.11974040000000001</c:v>
                </c:pt>
                <c:pt idx="101">
                  <c:v>0.11994648000000001</c:v>
                </c:pt>
                <c:pt idx="102">
                  <c:v>0.12015256000000001</c:v>
                </c:pt>
                <c:pt idx="103">
                  <c:v>0.12035864000000002</c:v>
                </c:pt>
                <c:pt idx="104">
                  <c:v>0.12056472000000001</c:v>
                </c:pt>
                <c:pt idx="105">
                  <c:v>0.12077080000000001</c:v>
                </c:pt>
                <c:pt idx="106">
                  <c:v>0.12097688000000001</c:v>
                </c:pt>
                <c:pt idx="107">
                  <c:v>0.12118296000000001</c:v>
                </c:pt>
                <c:pt idx="108">
                  <c:v>0.12138904</c:v>
                </c:pt>
                <c:pt idx="109">
                  <c:v>0.12159512000000001</c:v>
                </c:pt>
                <c:pt idx="110">
                  <c:v>0.12180120000000001</c:v>
                </c:pt>
                <c:pt idx="111">
                  <c:v>0.12200728000000001</c:v>
                </c:pt>
                <c:pt idx="112">
                  <c:v>0.12221336000000001</c:v>
                </c:pt>
                <c:pt idx="113">
                  <c:v>0.12241944000000002</c:v>
                </c:pt>
                <c:pt idx="114">
                  <c:v>0.12262552000000002</c:v>
                </c:pt>
                <c:pt idx="115">
                  <c:v>0.12283160000000001</c:v>
                </c:pt>
                <c:pt idx="116">
                  <c:v>0.12303768000000001</c:v>
                </c:pt>
                <c:pt idx="117">
                  <c:v>0.12324376000000001</c:v>
                </c:pt>
                <c:pt idx="118">
                  <c:v>0.12344984000000001</c:v>
                </c:pt>
                <c:pt idx="119">
                  <c:v>0.12365592</c:v>
                </c:pt>
                <c:pt idx="120">
                  <c:v>0.12386200000000001</c:v>
                </c:pt>
                <c:pt idx="121">
                  <c:v>0.12406808000000001</c:v>
                </c:pt>
                <c:pt idx="122">
                  <c:v>0.12427416000000001</c:v>
                </c:pt>
                <c:pt idx="123">
                  <c:v>0.12448024000000001</c:v>
                </c:pt>
                <c:pt idx="124">
                  <c:v>0.12468632000000002</c:v>
                </c:pt>
                <c:pt idx="125">
                  <c:v>0.12489240000000001</c:v>
                </c:pt>
                <c:pt idx="126">
                  <c:v>0.12509848000000001</c:v>
                </c:pt>
                <c:pt idx="127">
                  <c:v>0.12530456000000001</c:v>
                </c:pt>
                <c:pt idx="128">
                  <c:v>0.12551064000000001</c:v>
                </c:pt>
                <c:pt idx="129">
                  <c:v>0.12571672</c:v>
                </c:pt>
                <c:pt idx="130">
                  <c:v>0.1259228</c:v>
                </c:pt>
                <c:pt idx="131">
                  <c:v>0.12612888</c:v>
                </c:pt>
                <c:pt idx="132">
                  <c:v>0.12633496</c:v>
                </c:pt>
                <c:pt idx="133">
                  <c:v>0.12654104000000002</c:v>
                </c:pt>
                <c:pt idx="134">
                  <c:v>0.12674712000000002</c:v>
                </c:pt>
                <c:pt idx="135">
                  <c:v>0.12695320000000002</c:v>
                </c:pt>
                <c:pt idx="136">
                  <c:v>0.12715928000000001</c:v>
                </c:pt>
                <c:pt idx="137">
                  <c:v>0.12736536000000001</c:v>
                </c:pt>
                <c:pt idx="138">
                  <c:v>0.12757144000000001</c:v>
                </c:pt>
                <c:pt idx="139">
                  <c:v>0.12777752000000001</c:v>
                </c:pt>
                <c:pt idx="140">
                  <c:v>0.1279836</c:v>
                </c:pt>
                <c:pt idx="141">
                  <c:v>0.12818968</c:v>
                </c:pt>
                <c:pt idx="142">
                  <c:v>0.12839576000000003</c:v>
                </c:pt>
                <c:pt idx="143">
                  <c:v>0.12860184000000002</c:v>
                </c:pt>
                <c:pt idx="144">
                  <c:v>0.12880792000000002</c:v>
                </c:pt>
                <c:pt idx="145">
                  <c:v>0.12901400000000002</c:v>
                </c:pt>
                <c:pt idx="146">
                  <c:v>0.12922008000000001</c:v>
                </c:pt>
                <c:pt idx="147">
                  <c:v>0.12942616000000001</c:v>
                </c:pt>
                <c:pt idx="148">
                  <c:v>0.12963224000000001</c:v>
                </c:pt>
                <c:pt idx="149">
                  <c:v>0.12983832000000001</c:v>
                </c:pt>
                <c:pt idx="150">
                  <c:v>0.1300444</c:v>
                </c:pt>
              </c:numCache>
            </c:numRef>
          </c:yVal>
          <c:smooth val="1"/>
          <c:extLst>
            <c:ext xmlns:c16="http://schemas.microsoft.com/office/drawing/2014/chart" uri="{C3380CC4-5D6E-409C-BE32-E72D297353CC}">
              <c16:uniqueId val="{00000002-EBB2-49C9-A014-1F538461E4EA}"/>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2.24E-4</c:v>
                </c:pt>
                <c:pt idx="2">
                  <c:v>4.4799999999999999E-4</c:v>
                </c:pt>
                <c:pt idx="3">
                  <c:v>6.7199999999999996E-4</c:v>
                </c:pt>
                <c:pt idx="4">
                  <c:v>8.9599999999999999E-4</c:v>
                </c:pt>
                <c:pt idx="5">
                  <c:v>1.1199999999999999E-3</c:v>
                </c:pt>
                <c:pt idx="6">
                  <c:v>1.3439999999999999E-3</c:v>
                </c:pt>
                <c:pt idx="7">
                  <c:v>1.5679999999999999E-3</c:v>
                </c:pt>
                <c:pt idx="8">
                  <c:v>1.792E-3</c:v>
                </c:pt>
                <c:pt idx="9">
                  <c:v>2.016E-3</c:v>
                </c:pt>
                <c:pt idx="10">
                  <c:v>2.2399999999999998E-3</c:v>
                </c:pt>
                <c:pt idx="11">
                  <c:v>2.464E-3</c:v>
                </c:pt>
                <c:pt idx="12">
                  <c:v>2.6879999999999999E-3</c:v>
                </c:pt>
                <c:pt idx="13">
                  <c:v>2.9120000000000001E-3</c:v>
                </c:pt>
                <c:pt idx="14">
                  <c:v>3.1359999999999999E-3</c:v>
                </c:pt>
                <c:pt idx="15">
                  <c:v>3.3600000000000001E-3</c:v>
                </c:pt>
                <c:pt idx="16">
                  <c:v>3.5839999999999999E-3</c:v>
                </c:pt>
                <c:pt idx="17">
                  <c:v>3.8079999999999998E-3</c:v>
                </c:pt>
                <c:pt idx="18">
                  <c:v>4.032E-3</c:v>
                </c:pt>
                <c:pt idx="19">
                  <c:v>4.2560000000000002E-3</c:v>
                </c:pt>
                <c:pt idx="20">
                  <c:v>4.4799999999999996E-3</c:v>
                </c:pt>
                <c:pt idx="21">
                  <c:v>4.7039999999999998E-3</c:v>
                </c:pt>
                <c:pt idx="22">
                  <c:v>4.9280000000000001E-3</c:v>
                </c:pt>
                <c:pt idx="23">
                  <c:v>5.1520000000000003E-3</c:v>
                </c:pt>
                <c:pt idx="24">
                  <c:v>5.3759999999999997E-3</c:v>
                </c:pt>
                <c:pt idx="25">
                  <c:v>5.5999999999999999E-3</c:v>
                </c:pt>
                <c:pt idx="26">
                  <c:v>5.8240000000000002E-3</c:v>
                </c:pt>
                <c:pt idx="27">
                  <c:v>6.0479999999999996E-3</c:v>
                </c:pt>
                <c:pt idx="28">
                  <c:v>6.2719999999999998E-3</c:v>
                </c:pt>
                <c:pt idx="29">
                  <c:v>6.496E-3</c:v>
                </c:pt>
                <c:pt idx="30">
                  <c:v>6.7200000000000003E-3</c:v>
                </c:pt>
                <c:pt idx="31">
                  <c:v>6.9439999999999997E-3</c:v>
                </c:pt>
                <c:pt idx="32">
                  <c:v>7.1679999999999999E-3</c:v>
                </c:pt>
                <c:pt idx="33">
                  <c:v>7.3920000000000001E-3</c:v>
                </c:pt>
                <c:pt idx="34">
                  <c:v>7.6159999999999995E-3</c:v>
                </c:pt>
                <c:pt idx="35">
                  <c:v>7.8399999999999997E-3</c:v>
                </c:pt>
                <c:pt idx="36">
                  <c:v>8.064E-3</c:v>
                </c:pt>
                <c:pt idx="37">
                  <c:v>8.2880000000000002E-3</c:v>
                </c:pt>
                <c:pt idx="38">
                  <c:v>8.5120000000000005E-3</c:v>
                </c:pt>
                <c:pt idx="39">
                  <c:v>8.7360000000000007E-3</c:v>
                </c:pt>
                <c:pt idx="40">
                  <c:v>8.9599999999999992E-3</c:v>
                </c:pt>
                <c:pt idx="41">
                  <c:v>9.1839999999999995E-3</c:v>
                </c:pt>
                <c:pt idx="42">
                  <c:v>9.4079999999999997E-3</c:v>
                </c:pt>
                <c:pt idx="43">
                  <c:v>9.6319999999999999E-3</c:v>
                </c:pt>
                <c:pt idx="44">
                  <c:v>9.8560000000000002E-3</c:v>
                </c:pt>
                <c:pt idx="45">
                  <c:v>1.008E-2</c:v>
                </c:pt>
                <c:pt idx="46">
                  <c:v>1.0304000000000001E-2</c:v>
                </c:pt>
                <c:pt idx="47">
                  <c:v>1.0527999999999999E-2</c:v>
                </c:pt>
                <c:pt idx="48">
                  <c:v>1.0751999999999999E-2</c:v>
                </c:pt>
                <c:pt idx="49">
                  <c:v>1.0976E-2</c:v>
                </c:pt>
                <c:pt idx="50">
                  <c:v>1.12E-2</c:v>
                </c:pt>
                <c:pt idx="51">
                  <c:v>1.1424E-2</c:v>
                </c:pt>
                <c:pt idx="52">
                  <c:v>1.1648E-2</c:v>
                </c:pt>
                <c:pt idx="53">
                  <c:v>1.1872000000000001E-2</c:v>
                </c:pt>
                <c:pt idx="54">
                  <c:v>1.2095999999999999E-2</c:v>
                </c:pt>
                <c:pt idx="55">
                  <c:v>1.2319999999999999E-2</c:v>
                </c:pt>
                <c:pt idx="56">
                  <c:v>1.2544E-2</c:v>
                </c:pt>
                <c:pt idx="57">
                  <c:v>1.2768E-2</c:v>
                </c:pt>
                <c:pt idx="58">
                  <c:v>1.2992E-2</c:v>
                </c:pt>
                <c:pt idx="59">
                  <c:v>1.3216E-2</c:v>
                </c:pt>
                <c:pt idx="60">
                  <c:v>1.3440000000000001E-2</c:v>
                </c:pt>
                <c:pt idx="61">
                  <c:v>1.3663999999999999E-2</c:v>
                </c:pt>
                <c:pt idx="62">
                  <c:v>1.3887999999999999E-2</c:v>
                </c:pt>
                <c:pt idx="63">
                  <c:v>1.4112E-2</c:v>
                </c:pt>
                <c:pt idx="64">
                  <c:v>1.4336E-2</c:v>
                </c:pt>
                <c:pt idx="65">
                  <c:v>1.456E-2</c:v>
                </c:pt>
                <c:pt idx="66">
                  <c:v>1.4784E-2</c:v>
                </c:pt>
                <c:pt idx="67">
                  <c:v>1.5008000000000001E-2</c:v>
                </c:pt>
                <c:pt idx="68">
                  <c:v>1.5231999999999999E-2</c:v>
                </c:pt>
                <c:pt idx="69">
                  <c:v>1.5455999999999999E-2</c:v>
                </c:pt>
                <c:pt idx="70">
                  <c:v>1.5679999999999999E-2</c:v>
                </c:pt>
                <c:pt idx="71">
                  <c:v>1.5904000000000001E-2</c:v>
                </c:pt>
                <c:pt idx="72">
                  <c:v>1.6128E-2</c:v>
                </c:pt>
                <c:pt idx="73">
                  <c:v>1.6351999999999998E-2</c:v>
                </c:pt>
                <c:pt idx="74">
                  <c:v>1.6576E-2</c:v>
                </c:pt>
                <c:pt idx="75">
                  <c:v>1.6799999999999999E-2</c:v>
                </c:pt>
                <c:pt idx="76">
                  <c:v>1.7024000000000001E-2</c:v>
                </c:pt>
                <c:pt idx="77">
                  <c:v>1.7247999999999999E-2</c:v>
                </c:pt>
                <c:pt idx="78">
                  <c:v>1.7472000000000001E-2</c:v>
                </c:pt>
                <c:pt idx="79">
                  <c:v>1.7696E-2</c:v>
                </c:pt>
                <c:pt idx="80">
                  <c:v>1.7919999999999998E-2</c:v>
                </c:pt>
                <c:pt idx="81">
                  <c:v>1.8144E-2</c:v>
                </c:pt>
                <c:pt idx="82">
                  <c:v>1.8367999999999999E-2</c:v>
                </c:pt>
                <c:pt idx="83">
                  <c:v>1.8592000000000001E-2</c:v>
                </c:pt>
                <c:pt idx="84">
                  <c:v>1.8815999999999999E-2</c:v>
                </c:pt>
                <c:pt idx="85">
                  <c:v>1.9040000000000001E-2</c:v>
                </c:pt>
                <c:pt idx="86">
                  <c:v>1.9264E-2</c:v>
                </c:pt>
                <c:pt idx="87">
                  <c:v>1.9487999999999998E-2</c:v>
                </c:pt>
                <c:pt idx="88">
                  <c:v>1.9712E-2</c:v>
                </c:pt>
                <c:pt idx="89">
                  <c:v>1.9935999999999999E-2</c:v>
                </c:pt>
                <c:pt idx="90">
                  <c:v>2.0160000000000001E-2</c:v>
                </c:pt>
                <c:pt idx="91">
                  <c:v>2.0383999999999999E-2</c:v>
                </c:pt>
                <c:pt idx="92">
                  <c:v>2.0608000000000001E-2</c:v>
                </c:pt>
                <c:pt idx="93">
                  <c:v>2.0832E-2</c:v>
                </c:pt>
                <c:pt idx="94">
                  <c:v>2.1055999999999998E-2</c:v>
                </c:pt>
                <c:pt idx="95">
                  <c:v>2.128E-2</c:v>
                </c:pt>
                <c:pt idx="96">
                  <c:v>2.1503999999999999E-2</c:v>
                </c:pt>
                <c:pt idx="97">
                  <c:v>2.1728000000000001E-2</c:v>
                </c:pt>
                <c:pt idx="98">
                  <c:v>2.1951999999999999E-2</c:v>
                </c:pt>
                <c:pt idx="99">
                  <c:v>2.2176000000000001E-2</c:v>
                </c:pt>
                <c:pt idx="100">
                  <c:v>2.24E-2</c:v>
                </c:pt>
                <c:pt idx="101">
                  <c:v>2.2623999999999998E-2</c:v>
                </c:pt>
                <c:pt idx="102">
                  <c:v>2.2848E-2</c:v>
                </c:pt>
                <c:pt idx="103">
                  <c:v>2.3071999999999999E-2</c:v>
                </c:pt>
                <c:pt idx="104">
                  <c:v>2.3296000000000001E-2</c:v>
                </c:pt>
                <c:pt idx="105">
                  <c:v>2.3519999999999999E-2</c:v>
                </c:pt>
                <c:pt idx="106">
                  <c:v>2.3744000000000001E-2</c:v>
                </c:pt>
                <c:pt idx="107">
                  <c:v>2.3968E-2</c:v>
                </c:pt>
                <c:pt idx="108">
                  <c:v>2.4191999999999998E-2</c:v>
                </c:pt>
                <c:pt idx="109">
                  <c:v>2.4416E-2</c:v>
                </c:pt>
                <c:pt idx="110">
                  <c:v>2.4639999999999999E-2</c:v>
                </c:pt>
                <c:pt idx="111">
                  <c:v>2.4864000000000001E-2</c:v>
                </c:pt>
                <c:pt idx="112">
                  <c:v>2.5087999999999999E-2</c:v>
                </c:pt>
                <c:pt idx="113">
                  <c:v>2.5312000000000001E-2</c:v>
                </c:pt>
                <c:pt idx="114">
                  <c:v>2.5536E-2</c:v>
                </c:pt>
                <c:pt idx="115">
                  <c:v>2.5759999999999998E-2</c:v>
                </c:pt>
                <c:pt idx="116">
                  <c:v>2.5984E-2</c:v>
                </c:pt>
                <c:pt idx="117">
                  <c:v>2.6207999999999999E-2</c:v>
                </c:pt>
                <c:pt idx="118">
                  <c:v>2.6432000000000001E-2</c:v>
                </c:pt>
                <c:pt idx="119">
                  <c:v>2.6655999999999999E-2</c:v>
                </c:pt>
                <c:pt idx="120">
                  <c:v>2.6880000000000001E-2</c:v>
                </c:pt>
                <c:pt idx="121">
                  <c:v>2.7104E-2</c:v>
                </c:pt>
                <c:pt idx="122">
                  <c:v>2.7327999999999998E-2</c:v>
                </c:pt>
                <c:pt idx="123">
                  <c:v>2.7552E-2</c:v>
                </c:pt>
                <c:pt idx="124">
                  <c:v>2.7775999999999999E-2</c:v>
                </c:pt>
                <c:pt idx="125">
                  <c:v>2.8000000000000001E-2</c:v>
                </c:pt>
                <c:pt idx="126">
                  <c:v>2.8223999999999999E-2</c:v>
                </c:pt>
                <c:pt idx="127">
                  <c:v>2.8448000000000001E-2</c:v>
                </c:pt>
                <c:pt idx="128">
                  <c:v>2.8672E-2</c:v>
                </c:pt>
                <c:pt idx="129">
                  <c:v>2.8895999999999998E-2</c:v>
                </c:pt>
                <c:pt idx="130">
                  <c:v>2.912E-2</c:v>
                </c:pt>
                <c:pt idx="131">
                  <c:v>2.9343999999999999E-2</c:v>
                </c:pt>
                <c:pt idx="132">
                  <c:v>2.9568000000000001E-2</c:v>
                </c:pt>
                <c:pt idx="133">
                  <c:v>2.9791999999999999E-2</c:v>
                </c:pt>
                <c:pt idx="134">
                  <c:v>3.0016000000000001E-2</c:v>
                </c:pt>
                <c:pt idx="135">
                  <c:v>3.024E-2</c:v>
                </c:pt>
                <c:pt idx="136">
                  <c:v>3.0463999999999998E-2</c:v>
                </c:pt>
                <c:pt idx="137">
                  <c:v>3.0688E-2</c:v>
                </c:pt>
                <c:pt idx="138">
                  <c:v>3.0911999999999999E-2</c:v>
                </c:pt>
                <c:pt idx="139">
                  <c:v>3.1136E-2</c:v>
                </c:pt>
                <c:pt idx="140">
                  <c:v>3.1359999999999999E-2</c:v>
                </c:pt>
                <c:pt idx="141">
                  <c:v>3.1584000000000001E-2</c:v>
                </c:pt>
                <c:pt idx="142">
                  <c:v>3.1808000000000003E-2</c:v>
                </c:pt>
                <c:pt idx="143">
                  <c:v>3.2031999999999998E-2</c:v>
                </c:pt>
                <c:pt idx="144">
                  <c:v>3.2256E-2</c:v>
                </c:pt>
                <c:pt idx="145">
                  <c:v>3.2480000000000002E-2</c:v>
                </c:pt>
                <c:pt idx="146">
                  <c:v>3.2703999999999997E-2</c:v>
                </c:pt>
                <c:pt idx="147">
                  <c:v>3.2927999999999999E-2</c:v>
                </c:pt>
                <c:pt idx="148">
                  <c:v>3.3152000000000001E-2</c:v>
                </c:pt>
                <c:pt idx="149">
                  <c:v>3.3376000000000003E-2</c:v>
                </c:pt>
                <c:pt idx="150">
                  <c:v>3.3599999999999998E-2</c:v>
                </c:pt>
              </c:numCache>
            </c:numRef>
          </c:xVal>
          <c:yVal>
            <c:numRef>
              <c:f>Eff_vs_IOUT!$AO$7:$AO$157</c:f>
              <c:numCache>
                <c:formatCode>General</c:formatCode>
                <c:ptCount val="151"/>
                <c:pt idx="0">
                  <c:v>0</c:v>
                </c:pt>
                <c:pt idx="1">
                  <c:v>2.6668605571442618E-6</c:v>
                </c:pt>
                <c:pt idx="2">
                  <c:v>7.5430207377425664E-6</c:v>
                </c:pt>
                <c:pt idx="3">
                  <c:v>1.3857413945025907E-5</c:v>
                </c:pt>
                <c:pt idx="4">
                  <c:v>2.1334884457154098E-5</c:v>
                </c:pt>
                <c:pt idx="5">
                  <c:v>2.9816407461437651E-5</c:v>
                </c:pt>
                <c:pt idx="6">
                  <c:v>3.9194685480947393E-5</c:v>
                </c:pt>
                <c:pt idx="7">
                  <c:v>4.9390948708436124E-5</c:v>
                </c:pt>
                <c:pt idx="8">
                  <c:v>6.0344165901940525E-5</c:v>
                </c:pt>
                <c:pt idx="9">
                  <c:v>7.2005235042895113E-5</c:v>
                </c:pt>
                <c:pt idx="10">
                  <c:v>8.4333535626414919E-5</c:v>
                </c:pt>
                <c:pt idx="11">
                  <c:v>9.7294734198702384E-5</c:v>
                </c:pt>
                <c:pt idx="12">
                  <c:v>1.108593115602073E-4</c:v>
                </c:pt>
                <c:pt idx="13">
                  <c:v>1.2500153228284927E-4</c:v>
                </c:pt>
                <c:pt idx="14">
                  <c:v>1.3969869904388859E-4</c:v>
                </c:pt>
                <c:pt idx="15">
                  <c:v>1.5493059786715732E-4</c:v>
                </c:pt>
                <c:pt idx="16">
                  <c:v>1.7067907565723275E-4</c:v>
                </c:pt>
                <c:pt idx="17">
                  <c:v>1.8692771202028898E-4</c:v>
                </c:pt>
                <c:pt idx="18">
                  <c:v>2.0366155991904928E-4</c:v>
                </c:pt>
                <c:pt idx="19">
                  <c:v>2.2086693763702183E-4</c:v>
                </c:pt>
                <c:pt idx="20">
                  <c:v>2.3853125969150124E-4</c:v>
                </c:pt>
                <c:pt idx="21">
                  <c:v>2.566428977911194E-4</c:v>
                </c:pt>
                <c:pt idx="22">
                  <c:v>2.7519106530258061E-4</c:v>
                </c:pt>
                <c:pt idx="23">
                  <c:v>2.941657203493309E-4</c:v>
                </c:pt>
                <c:pt idx="24">
                  <c:v>3.1355748384757931E-4</c:v>
                </c:pt>
                <c:pt idx="25">
                  <c:v>3.3335756964303278E-4</c:v>
                </c:pt>
                <c:pt idx="26">
                  <c:v>3.5355772454364747E-4</c:v>
                </c:pt>
                <c:pt idx="27">
                  <c:v>3.7415017651569975E-4</c:v>
                </c:pt>
                <c:pt idx="28">
                  <c:v>3.9512758966748915E-4</c:v>
                </c:pt>
                <c:pt idx="29">
                  <c:v>4.164830249181835E-4</c:v>
                </c:pt>
                <c:pt idx="30">
                  <c:v>4.3820990546061231E-4</c:v>
                </c:pt>
                <c:pt idx="31">
                  <c:v>4.6030198629185004E-4</c:v>
                </c:pt>
                <c:pt idx="32">
                  <c:v>4.8275332721552425E-4</c:v>
                </c:pt>
                <c:pt idx="33">
                  <c:v>5.055582688231852E-4</c:v>
                </c:pt>
                <c:pt idx="34">
                  <c:v>5.2871141104493004E-4</c:v>
                </c:pt>
                <c:pt idx="35">
                  <c:v>5.5220759392634298E-4</c:v>
                </c:pt>
                <c:pt idx="36">
                  <c:v>5.760418803431609E-4</c:v>
                </c:pt>
                <c:pt idx="37">
                  <c:v>6.0020954040951194E-4</c:v>
                </c:pt>
                <c:pt idx="38">
                  <c:v>6.2470603737217777E-4</c:v>
                </c:pt>
                <c:pt idx="39">
                  <c:v>6.4952701481356878E-4</c:v>
                </c:pt>
                <c:pt idx="40">
                  <c:v>6.7466828501131935E-4</c:v>
                </c:pt>
                <c:pt idx="41">
                  <c:v>7.0012581832346781E-4</c:v>
                </c:pt>
                <c:pt idx="42">
                  <c:v>7.2589573348586607E-4</c:v>
                </c:pt>
                <c:pt idx="43">
                  <c:v>7.5197428872344932E-4</c:v>
                </c:pt>
                <c:pt idx="44">
                  <c:v>7.7835787358961908E-4</c:v>
                </c:pt>
                <c:pt idx="45">
                  <c:v>8.0504300145881665E-4</c:v>
                </c:pt>
                <c:pt idx="46">
                  <c:v>8.3202630260654966E-4</c:v>
                </c:pt>
                <c:pt idx="47">
                  <c:v>8.5930451781906472E-4</c:v>
                </c:pt>
                <c:pt idx="48">
                  <c:v>8.8687449248165805E-4</c:v>
                </c:pt>
                <c:pt idx="49">
                  <c:v>9.147331711004818E-4</c:v>
                </c:pt>
                <c:pt idx="50">
                  <c:v>9.4287759221782117E-4</c:v>
                </c:pt>
                <c:pt idx="51">
                  <c:v>9.7130488368523228E-4</c:v>
                </c:pt>
                <c:pt idx="52">
                  <c:v>1.0000122582627944E-3</c:v>
                </c:pt>
                <c:pt idx="53">
                  <c:v>1.0289970095160987E-3</c:v>
                </c:pt>
                <c:pt idx="54">
                  <c:v>1.0582565079855794E-3</c:v>
                </c:pt>
                <c:pt idx="55">
                  <c:v>1.0877881976053606E-3</c:v>
                </c:pt>
                <c:pt idx="56">
                  <c:v>1.1175895923511089E-3</c:v>
                </c:pt>
                <c:pt idx="57">
                  <c:v>1.1476582730984058E-3</c:v>
                </c:pt>
                <c:pt idx="58">
                  <c:v>1.1779918846749335E-3</c:v>
                </c:pt>
                <c:pt idx="59">
                  <c:v>1.2085881330913624E-3</c:v>
                </c:pt>
                <c:pt idx="60">
                  <c:v>1.239444782937259E-3</c:v>
                </c:pt>
                <c:pt idx="61">
                  <c:v>1.270559654929577E-3</c:v>
                </c:pt>
                <c:pt idx="62">
                  <c:v>1.3019306236024173E-3</c:v>
                </c:pt>
                <c:pt idx="63">
                  <c:v>1.3335556151277755E-3</c:v>
                </c:pt>
                <c:pt idx="64">
                  <c:v>1.3654326052578622E-3</c:v>
                </c:pt>
                <c:pt idx="65">
                  <c:v>1.3975596173804274E-3</c:v>
                </c:pt>
                <c:pt idx="66">
                  <c:v>1.4299347206792232E-3</c:v>
                </c:pt>
                <c:pt idx="67">
                  <c:v>1.462556028392412E-3</c:v>
                </c:pt>
                <c:pt idx="68">
                  <c:v>1.4954216961623119E-3</c:v>
                </c:pt>
                <c:pt idx="69">
                  <c:v>1.5285299204704167E-3</c:v>
                </c:pt>
                <c:pt idx="70">
                  <c:v>1.5618789371520975E-3</c:v>
                </c:pt>
                <c:pt idx="71">
                  <c:v>1.595467019985861E-3</c:v>
                </c:pt>
                <c:pt idx="72">
                  <c:v>1.6292924793523944E-3</c:v>
                </c:pt>
                <c:pt idx="73">
                  <c:v>1.6633536609590514E-3</c:v>
                </c:pt>
                <c:pt idx="74">
                  <c:v>1.6976489446257086E-3</c:v>
                </c:pt>
                <c:pt idx="75">
                  <c:v>1.7321767431282384E-3</c:v>
                </c:pt>
                <c:pt idx="76">
                  <c:v>1.7669355010961748E-3</c:v>
                </c:pt>
                <c:pt idx="77">
                  <c:v>1.8019236939612834E-3</c:v>
                </c:pt>
                <c:pt idx="78">
                  <c:v>1.8371398269541178E-3</c:v>
                </c:pt>
                <c:pt idx="79">
                  <c:v>1.8725824341457335E-3</c:v>
                </c:pt>
                <c:pt idx="80">
                  <c:v>1.9082500775320097E-3</c:v>
                </c:pt>
                <c:pt idx="81">
                  <c:v>1.9441413461581676E-3</c:v>
                </c:pt>
                <c:pt idx="82">
                  <c:v>1.9802548552812198E-3</c:v>
                </c:pt>
                <c:pt idx="83">
                  <c:v>2.0165892455683123E-3</c:v>
                </c:pt>
                <c:pt idx="84">
                  <c:v>2.0531431823289548E-3</c:v>
                </c:pt>
                <c:pt idx="85">
                  <c:v>2.0899153547793538E-3</c:v>
                </c:pt>
                <c:pt idx="86">
                  <c:v>2.1269044753371262E-3</c:v>
                </c:pt>
                <c:pt idx="87">
                  <c:v>2.1641092789448052E-3</c:v>
                </c:pt>
                <c:pt idx="88">
                  <c:v>2.2015285224206453E-3</c:v>
                </c:pt>
                <c:pt idx="89">
                  <c:v>2.2391609838353188E-3</c:v>
                </c:pt>
                <c:pt idx="90">
                  <c:v>2.2770054619132051E-3</c:v>
                </c:pt>
                <c:pt idx="91">
                  <c:v>2.3150607754570183E-3</c:v>
                </c:pt>
                <c:pt idx="92">
                  <c:v>2.3533257627946468E-3</c:v>
                </c:pt>
                <c:pt idx="93">
                  <c:v>2.3917992812470708E-3</c:v>
                </c:pt>
                <c:pt idx="94">
                  <c:v>2.430480206616389E-3</c:v>
                </c:pt>
                <c:pt idx="95">
                  <c:v>2.4693674326929389E-3</c:v>
                </c:pt>
                <c:pt idx="96">
                  <c:v>2.5084598707806331E-3</c:v>
                </c:pt>
                <c:pt idx="97">
                  <c:v>2.5477564492396589E-3</c:v>
                </c:pt>
                <c:pt idx="98">
                  <c:v>2.5872561130456983E-3</c:v>
                </c:pt>
                <c:pt idx="99">
                  <c:v>2.626957823364964E-3</c:v>
                </c:pt>
                <c:pt idx="100">
                  <c:v>3.1364742670406194E-3</c:v>
                </c:pt>
                <c:pt idx="101">
                  <c:v>3.1861540821517299E-3</c:v>
                </c:pt>
                <c:pt idx="102">
                  <c:v>3.2363282237813603E-3</c:v>
                </c:pt>
                <c:pt idx="103">
                  <c:v>3.2869966919295101E-3</c:v>
                </c:pt>
                <c:pt idx="104">
                  <c:v>3.3381594865961768E-3</c:v>
                </c:pt>
                <c:pt idx="105">
                  <c:v>3.3898166077813573E-3</c:v>
                </c:pt>
                <c:pt idx="106">
                  <c:v>3.4419680554850624E-3</c:v>
                </c:pt>
                <c:pt idx="107">
                  <c:v>3.4946138297072839E-3</c:v>
                </c:pt>
                <c:pt idx="108">
                  <c:v>3.5477539304480253E-3</c:v>
                </c:pt>
                <c:pt idx="109">
                  <c:v>3.6013883577072844E-3</c:v>
                </c:pt>
                <c:pt idx="110">
                  <c:v>3.6555171114850639E-3</c:v>
                </c:pt>
                <c:pt idx="111">
                  <c:v>3.7101401917813605E-3</c:v>
                </c:pt>
                <c:pt idx="112">
                  <c:v>3.765257598596175E-3</c:v>
                </c:pt>
                <c:pt idx="113">
                  <c:v>3.8208693319295075E-3</c:v>
                </c:pt>
                <c:pt idx="114">
                  <c:v>3.8769753917813612E-3</c:v>
                </c:pt>
                <c:pt idx="115">
                  <c:v>3.9335757781517305E-3</c:v>
                </c:pt>
                <c:pt idx="116">
                  <c:v>3.9906704910406179E-3</c:v>
                </c:pt>
                <c:pt idx="117">
                  <c:v>4.048259530448026E-3</c:v>
                </c:pt>
                <c:pt idx="118">
                  <c:v>4.1063428963739514E-3</c:v>
                </c:pt>
                <c:pt idx="119">
                  <c:v>4.1649205888183976E-3</c:v>
                </c:pt>
                <c:pt idx="120">
                  <c:v>4.2239926077813593E-3</c:v>
                </c:pt>
                <c:pt idx="121">
                  <c:v>4.2835589532628409E-3</c:v>
                </c:pt>
                <c:pt idx="122">
                  <c:v>4.3436196252628415E-3</c:v>
                </c:pt>
                <c:pt idx="123">
                  <c:v>4.4041746237813593E-3</c:v>
                </c:pt>
                <c:pt idx="124">
                  <c:v>4.465223948818397E-3</c:v>
                </c:pt>
                <c:pt idx="125">
                  <c:v>4.5267676003739521E-3</c:v>
                </c:pt>
                <c:pt idx="126">
                  <c:v>4.5888055784480252E-3</c:v>
                </c:pt>
                <c:pt idx="127">
                  <c:v>4.6513378830406165E-3</c:v>
                </c:pt>
                <c:pt idx="128">
                  <c:v>4.7143645141517285E-3</c:v>
                </c:pt>
                <c:pt idx="129">
                  <c:v>4.7778854717813578E-3</c:v>
                </c:pt>
                <c:pt idx="130">
                  <c:v>4.8419007559295088E-3</c:v>
                </c:pt>
                <c:pt idx="131">
                  <c:v>4.9064103665961744E-3</c:v>
                </c:pt>
                <c:pt idx="132">
                  <c:v>4.9714143037813607E-3</c:v>
                </c:pt>
                <c:pt idx="133">
                  <c:v>5.0369125674850617E-3</c:v>
                </c:pt>
                <c:pt idx="134">
                  <c:v>5.1029051577072887E-3</c:v>
                </c:pt>
                <c:pt idx="135">
                  <c:v>5.169392074448026E-3</c:v>
                </c:pt>
                <c:pt idx="136">
                  <c:v>5.236373317707284E-3</c:v>
                </c:pt>
                <c:pt idx="137">
                  <c:v>5.3038488874850645E-3</c:v>
                </c:pt>
                <c:pt idx="138">
                  <c:v>5.3718187837813571E-3</c:v>
                </c:pt>
                <c:pt idx="139">
                  <c:v>5.440283006596173E-3</c:v>
                </c:pt>
                <c:pt idx="140">
                  <c:v>5.5092415559295079E-3</c:v>
                </c:pt>
                <c:pt idx="141">
                  <c:v>5.5786944317813602E-3</c:v>
                </c:pt>
                <c:pt idx="142">
                  <c:v>5.6486416341517296E-3</c:v>
                </c:pt>
                <c:pt idx="143">
                  <c:v>5.7190831630406173E-3</c:v>
                </c:pt>
                <c:pt idx="144">
                  <c:v>5.7900190184480265E-3</c:v>
                </c:pt>
                <c:pt idx="145">
                  <c:v>5.861449200373953E-3</c:v>
                </c:pt>
                <c:pt idx="146">
                  <c:v>5.9333737088183959E-3</c:v>
                </c:pt>
                <c:pt idx="147">
                  <c:v>6.0057925437813579E-3</c:v>
                </c:pt>
                <c:pt idx="148">
                  <c:v>6.0787057052628388E-3</c:v>
                </c:pt>
                <c:pt idx="149">
                  <c:v>6.1521131932628396E-3</c:v>
                </c:pt>
                <c:pt idx="150">
                  <c:v>6.2260150077813612E-3</c:v>
                </c:pt>
              </c:numCache>
            </c:numRef>
          </c:yVal>
          <c:smooth val="1"/>
          <c:extLst>
            <c:ext xmlns:c16="http://schemas.microsoft.com/office/drawing/2014/chart" uri="{C3380CC4-5D6E-409C-BE32-E72D297353CC}">
              <c16:uniqueId val="{00000003-EBB2-49C9-A014-1F538461E4EA}"/>
            </c:ext>
          </c:extLst>
        </c:ser>
        <c:dLbls>
          <c:showLegendKey val="0"/>
          <c:showVal val="0"/>
          <c:showCatName val="0"/>
          <c:showSerName val="0"/>
          <c:showPercent val="0"/>
          <c:showBubbleSize val="0"/>
        </c:dLbls>
        <c:axId val="157162112"/>
        <c:axId val="157160192"/>
      </c:scatterChart>
      <c:valAx>
        <c:axId val="144893056"/>
        <c:scaling>
          <c:orientation val="minMax"/>
        </c:scaling>
        <c:delete val="0"/>
        <c:axPos val="b"/>
        <c:majorGridlines/>
        <c:numFmt formatCode="General" sourceLinked="1"/>
        <c:majorTickMark val="out"/>
        <c:minorTickMark val="none"/>
        <c:tickLblPos val="nextTo"/>
        <c:crossAx val="144894592"/>
        <c:crosses val="autoZero"/>
        <c:crossBetween val="midCat"/>
      </c:valAx>
      <c:valAx>
        <c:axId val="144894592"/>
        <c:scaling>
          <c:orientation val="minMax"/>
          <c:max val="100"/>
          <c:min val="7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144893056"/>
        <c:crosses val="autoZero"/>
        <c:crossBetween val="midCat"/>
      </c:valAx>
      <c:valAx>
        <c:axId val="157160192"/>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157162112"/>
        <c:crosses val="max"/>
        <c:crossBetween val="midCat"/>
      </c:valAx>
      <c:valAx>
        <c:axId val="157162112"/>
        <c:scaling>
          <c:orientation val="minMax"/>
        </c:scaling>
        <c:delete val="1"/>
        <c:axPos val="b"/>
        <c:title>
          <c:tx>
            <c:rich>
              <a:bodyPr/>
              <a:lstStyle/>
              <a:p>
                <a:pPr>
                  <a:defRPr/>
                </a:pPr>
                <a:r>
                  <a:rPr lang="en-US"/>
                  <a:t>Load</a:t>
                </a:r>
                <a:r>
                  <a:rPr lang="en-US" baseline="0"/>
                  <a:t> Current (A)</a:t>
                </a:r>
                <a:endParaRPr lang="en-US"/>
              </a:p>
            </c:rich>
          </c:tx>
          <c:overlay val="0"/>
        </c:title>
        <c:numFmt formatCode="General" sourceLinked="1"/>
        <c:majorTickMark val="out"/>
        <c:minorTickMark val="none"/>
        <c:tickLblPos val="nextTo"/>
        <c:crossAx val="157160192"/>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Efficiency</a:t>
            </a:r>
          </a:p>
        </c:rich>
      </c:tx>
      <c:overlay val="0"/>
    </c:title>
    <c:autoTitleDeleted val="0"/>
    <c:plotArea>
      <c:layout/>
      <c:scatterChart>
        <c:scatterStyle val="smoothMarker"/>
        <c:varyColors val="0"/>
        <c:ser>
          <c:idx val="0"/>
          <c:order val="0"/>
          <c:tx>
            <c:v>Eff</c:v>
          </c:tx>
          <c:marker>
            <c:symbol val="none"/>
          </c:marker>
          <c:xVal>
            <c:numRef>
              <c:f>Eff_vs_IOUT!$S$7:$S$157</c:f>
              <c:numCache>
                <c:formatCode>General</c:formatCode>
                <c:ptCount val="151"/>
                <c:pt idx="0">
                  <c:v>0</c:v>
                </c:pt>
                <c:pt idx="1">
                  <c:v>2.24E-4</c:v>
                </c:pt>
                <c:pt idx="2">
                  <c:v>4.4799999999999999E-4</c:v>
                </c:pt>
                <c:pt idx="3">
                  <c:v>6.7199999999999996E-4</c:v>
                </c:pt>
                <c:pt idx="4">
                  <c:v>8.9599999999999999E-4</c:v>
                </c:pt>
                <c:pt idx="5">
                  <c:v>1.1199999999999999E-3</c:v>
                </c:pt>
                <c:pt idx="6">
                  <c:v>1.3439999999999999E-3</c:v>
                </c:pt>
                <c:pt idx="7">
                  <c:v>1.5679999999999999E-3</c:v>
                </c:pt>
                <c:pt idx="8">
                  <c:v>1.792E-3</c:v>
                </c:pt>
                <c:pt idx="9">
                  <c:v>2.016E-3</c:v>
                </c:pt>
                <c:pt idx="10">
                  <c:v>2.2399999999999998E-3</c:v>
                </c:pt>
                <c:pt idx="11">
                  <c:v>2.464E-3</c:v>
                </c:pt>
                <c:pt idx="12">
                  <c:v>2.6879999999999999E-3</c:v>
                </c:pt>
                <c:pt idx="13">
                  <c:v>2.9120000000000001E-3</c:v>
                </c:pt>
                <c:pt idx="14">
                  <c:v>3.1359999999999999E-3</c:v>
                </c:pt>
                <c:pt idx="15">
                  <c:v>3.3600000000000001E-3</c:v>
                </c:pt>
                <c:pt idx="16">
                  <c:v>3.5839999999999999E-3</c:v>
                </c:pt>
                <c:pt idx="17">
                  <c:v>3.8079999999999998E-3</c:v>
                </c:pt>
                <c:pt idx="18">
                  <c:v>4.032E-3</c:v>
                </c:pt>
                <c:pt idx="19">
                  <c:v>4.2560000000000002E-3</c:v>
                </c:pt>
                <c:pt idx="20">
                  <c:v>4.4799999999999996E-3</c:v>
                </c:pt>
                <c:pt idx="21">
                  <c:v>4.7039999999999998E-3</c:v>
                </c:pt>
                <c:pt idx="22">
                  <c:v>4.9280000000000001E-3</c:v>
                </c:pt>
                <c:pt idx="23">
                  <c:v>5.1520000000000003E-3</c:v>
                </c:pt>
                <c:pt idx="24">
                  <c:v>5.3759999999999997E-3</c:v>
                </c:pt>
                <c:pt idx="25">
                  <c:v>5.5999999999999999E-3</c:v>
                </c:pt>
                <c:pt idx="26">
                  <c:v>5.8240000000000002E-3</c:v>
                </c:pt>
                <c:pt idx="27">
                  <c:v>6.0479999999999996E-3</c:v>
                </c:pt>
                <c:pt idx="28">
                  <c:v>6.2719999999999998E-3</c:v>
                </c:pt>
                <c:pt idx="29">
                  <c:v>6.496E-3</c:v>
                </c:pt>
                <c:pt idx="30">
                  <c:v>6.7200000000000003E-3</c:v>
                </c:pt>
                <c:pt idx="31">
                  <c:v>6.9439999999999997E-3</c:v>
                </c:pt>
                <c:pt idx="32">
                  <c:v>7.1679999999999999E-3</c:v>
                </c:pt>
                <c:pt idx="33">
                  <c:v>7.3920000000000001E-3</c:v>
                </c:pt>
                <c:pt idx="34">
                  <c:v>7.6159999999999995E-3</c:v>
                </c:pt>
                <c:pt idx="35">
                  <c:v>7.8399999999999997E-3</c:v>
                </c:pt>
                <c:pt idx="36">
                  <c:v>8.064E-3</c:v>
                </c:pt>
                <c:pt idx="37">
                  <c:v>8.2880000000000002E-3</c:v>
                </c:pt>
                <c:pt idx="38">
                  <c:v>8.5120000000000005E-3</c:v>
                </c:pt>
                <c:pt idx="39">
                  <c:v>8.7360000000000007E-3</c:v>
                </c:pt>
                <c:pt idx="40">
                  <c:v>8.9599999999999992E-3</c:v>
                </c:pt>
                <c:pt idx="41">
                  <c:v>9.1839999999999995E-3</c:v>
                </c:pt>
                <c:pt idx="42">
                  <c:v>9.4079999999999997E-3</c:v>
                </c:pt>
                <c:pt idx="43">
                  <c:v>9.6319999999999999E-3</c:v>
                </c:pt>
                <c:pt idx="44">
                  <c:v>9.8560000000000002E-3</c:v>
                </c:pt>
                <c:pt idx="45">
                  <c:v>1.008E-2</c:v>
                </c:pt>
                <c:pt idx="46">
                  <c:v>1.0304000000000001E-2</c:v>
                </c:pt>
                <c:pt idx="47">
                  <c:v>1.0527999999999999E-2</c:v>
                </c:pt>
                <c:pt idx="48">
                  <c:v>1.0751999999999999E-2</c:v>
                </c:pt>
                <c:pt idx="49">
                  <c:v>1.0976E-2</c:v>
                </c:pt>
                <c:pt idx="50">
                  <c:v>1.12E-2</c:v>
                </c:pt>
                <c:pt idx="51">
                  <c:v>1.1424E-2</c:v>
                </c:pt>
                <c:pt idx="52">
                  <c:v>1.1648E-2</c:v>
                </c:pt>
                <c:pt idx="53">
                  <c:v>1.1872000000000001E-2</c:v>
                </c:pt>
                <c:pt idx="54">
                  <c:v>1.2095999999999999E-2</c:v>
                </c:pt>
                <c:pt idx="55">
                  <c:v>1.2319999999999999E-2</c:v>
                </c:pt>
                <c:pt idx="56">
                  <c:v>1.2544E-2</c:v>
                </c:pt>
                <c:pt idx="57">
                  <c:v>1.2768E-2</c:v>
                </c:pt>
                <c:pt idx="58">
                  <c:v>1.2992E-2</c:v>
                </c:pt>
                <c:pt idx="59">
                  <c:v>1.3216E-2</c:v>
                </c:pt>
                <c:pt idx="60">
                  <c:v>1.3440000000000001E-2</c:v>
                </c:pt>
                <c:pt idx="61">
                  <c:v>1.3663999999999999E-2</c:v>
                </c:pt>
                <c:pt idx="62">
                  <c:v>1.3887999999999999E-2</c:v>
                </c:pt>
                <c:pt idx="63">
                  <c:v>1.4112E-2</c:v>
                </c:pt>
                <c:pt idx="64">
                  <c:v>1.4336E-2</c:v>
                </c:pt>
                <c:pt idx="65">
                  <c:v>1.456E-2</c:v>
                </c:pt>
                <c:pt idx="66">
                  <c:v>1.4784E-2</c:v>
                </c:pt>
                <c:pt idx="67">
                  <c:v>1.5008000000000001E-2</c:v>
                </c:pt>
                <c:pt idx="68">
                  <c:v>1.5231999999999999E-2</c:v>
                </c:pt>
                <c:pt idx="69">
                  <c:v>1.5455999999999999E-2</c:v>
                </c:pt>
                <c:pt idx="70">
                  <c:v>1.5679999999999999E-2</c:v>
                </c:pt>
                <c:pt idx="71">
                  <c:v>1.5904000000000001E-2</c:v>
                </c:pt>
                <c:pt idx="72">
                  <c:v>1.6128E-2</c:v>
                </c:pt>
                <c:pt idx="73">
                  <c:v>1.6351999999999998E-2</c:v>
                </c:pt>
                <c:pt idx="74">
                  <c:v>1.6576E-2</c:v>
                </c:pt>
                <c:pt idx="75">
                  <c:v>1.6799999999999999E-2</c:v>
                </c:pt>
                <c:pt idx="76">
                  <c:v>1.7024000000000001E-2</c:v>
                </c:pt>
                <c:pt idx="77">
                  <c:v>1.7247999999999999E-2</c:v>
                </c:pt>
                <c:pt idx="78">
                  <c:v>1.7472000000000001E-2</c:v>
                </c:pt>
                <c:pt idx="79">
                  <c:v>1.7696E-2</c:v>
                </c:pt>
                <c:pt idx="80">
                  <c:v>1.7919999999999998E-2</c:v>
                </c:pt>
                <c:pt idx="81">
                  <c:v>1.8144E-2</c:v>
                </c:pt>
                <c:pt idx="82">
                  <c:v>1.8367999999999999E-2</c:v>
                </c:pt>
                <c:pt idx="83">
                  <c:v>1.8592000000000001E-2</c:v>
                </c:pt>
                <c:pt idx="84">
                  <c:v>1.8815999999999999E-2</c:v>
                </c:pt>
                <c:pt idx="85">
                  <c:v>1.9040000000000001E-2</c:v>
                </c:pt>
                <c:pt idx="86">
                  <c:v>1.9264E-2</c:v>
                </c:pt>
                <c:pt idx="87">
                  <c:v>1.9487999999999998E-2</c:v>
                </c:pt>
                <c:pt idx="88">
                  <c:v>1.9712E-2</c:v>
                </c:pt>
                <c:pt idx="89">
                  <c:v>1.9935999999999999E-2</c:v>
                </c:pt>
                <c:pt idx="90">
                  <c:v>2.0160000000000001E-2</c:v>
                </c:pt>
                <c:pt idx="91">
                  <c:v>2.0383999999999999E-2</c:v>
                </c:pt>
                <c:pt idx="92">
                  <c:v>2.0608000000000001E-2</c:v>
                </c:pt>
                <c:pt idx="93">
                  <c:v>2.0832E-2</c:v>
                </c:pt>
                <c:pt idx="94">
                  <c:v>2.1055999999999998E-2</c:v>
                </c:pt>
                <c:pt idx="95">
                  <c:v>2.128E-2</c:v>
                </c:pt>
                <c:pt idx="96">
                  <c:v>2.1503999999999999E-2</c:v>
                </c:pt>
                <c:pt idx="97">
                  <c:v>2.1728000000000001E-2</c:v>
                </c:pt>
                <c:pt idx="98">
                  <c:v>2.1951999999999999E-2</c:v>
                </c:pt>
                <c:pt idx="99">
                  <c:v>2.2176000000000001E-2</c:v>
                </c:pt>
                <c:pt idx="100">
                  <c:v>2.24E-2</c:v>
                </c:pt>
                <c:pt idx="101">
                  <c:v>2.2623999999999998E-2</c:v>
                </c:pt>
                <c:pt idx="102">
                  <c:v>2.2848E-2</c:v>
                </c:pt>
                <c:pt idx="103">
                  <c:v>2.3071999999999999E-2</c:v>
                </c:pt>
                <c:pt idx="104">
                  <c:v>2.3296000000000001E-2</c:v>
                </c:pt>
                <c:pt idx="105">
                  <c:v>2.3519999999999999E-2</c:v>
                </c:pt>
                <c:pt idx="106">
                  <c:v>2.3744000000000001E-2</c:v>
                </c:pt>
                <c:pt idx="107">
                  <c:v>2.3968E-2</c:v>
                </c:pt>
                <c:pt idx="108">
                  <c:v>2.4191999999999998E-2</c:v>
                </c:pt>
                <c:pt idx="109">
                  <c:v>2.4416E-2</c:v>
                </c:pt>
                <c:pt idx="110">
                  <c:v>2.4639999999999999E-2</c:v>
                </c:pt>
                <c:pt idx="111">
                  <c:v>2.4864000000000001E-2</c:v>
                </c:pt>
                <c:pt idx="112">
                  <c:v>2.5087999999999999E-2</c:v>
                </c:pt>
                <c:pt idx="113">
                  <c:v>2.5312000000000001E-2</c:v>
                </c:pt>
                <c:pt idx="114">
                  <c:v>2.5536E-2</c:v>
                </c:pt>
                <c:pt idx="115">
                  <c:v>2.5759999999999998E-2</c:v>
                </c:pt>
                <c:pt idx="116">
                  <c:v>2.5984E-2</c:v>
                </c:pt>
                <c:pt idx="117">
                  <c:v>2.6207999999999999E-2</c:v>
                </c:pt>
                <c:pt idx="118">
                  <c:v>2.6432000000000001E-2</c:v>
                </c:pt>
                <c:pt idx="119">
                  <c:v>2.6655999999999999E-2</c:v>
                </c:pt>
                <c:pt idx="120">
                  <c:v>2.6880000000000001E-2</c:v>
                </c:pt>
                <c:pt idx="121">
                  <c:v>2.7104E-2</c:v>
                </c:pt>
                <c:pt idx="122">
                  <c:v>2.7327999999999998E-2</c:v>
                </c:pt>
                <c:pt idx="123">
                  <c:v>2.7552E-2</c:v>
                </c:pt>
                <c:pt idx="124">
                  <c:v>2.7775999999999999E-2</c:v>
                </c:pt>
                <c:pt idx="125">
                  <c:v>2.8000000000000001E-2</c:v>
                </c:pt>
                <c:pt idx="126">
                  <c:v>2.8223999999999999E-2</c:v>
                </c:pt>
                <c:pt idx="127">
                  <c:v>2.8448000000000001E-2</c:v>
                </c:pt>
                <c:pt idx="128">
                  <c:v>2.8672E-2</c:v>
                </c:pt>
                <c:pt idx="129">
                  <c:v>2.8895999999999998E-2</c:v>
                </c:pt>
                <c:pt idx="130">
                  <c:v>2.912E-2</c:v>
                </c:pt>
                <c:pt idx="131">
                  <c:v>2.9343999999999999E-2</c:v>
                </c:pt>
                <c:pt idx="132">
                  <c:v>2.9568000000000001E-2</c:v>
                </c:pt>
                <c:pt idx="133">
                  <c:v>2.9791999999999999E-2</c:v>
                </c:pt>
                <c:pt idx="134">
                  <c:v>3.0016000000000001E-2</c:v>
                </c:pt>
                <c:pt idx="135">
                  <c:v>3.024E-2</c:v>
                </c:pt>
                <c:pt idx="136">
                  <c:v>3.0463999999999998E-2</c:v>
                </c:pt>
                <c:pt idx="137">
                  <c:v>3.0688E-2</c:v>
                </c:pt>
                <c:pt idx="138">
                  <c:v>3.0911999999999999E-2</c:v>
                </c:pt>
                <c:pt idx="139">
                  <c:v>3.1136E-2</c:v>
                </c:pt>
                <c:pt idx="140">
                  <c:v>3.1359999999999999E-2</c:v>
                </c:pt>
                <c:pt idx="141">
                  <c:v>3.1584000000000001E-2</c:v>
                </c:pt>
                <c:pt idx="142">
                  <c:v>3.1808000000000003E-2</c:v>
                </c:pt>
                <c:pt idx="143">
                  <c:v>3.2031999999999998E-2</c:v>
                </c:pt>
                <c:pt idx="144">
                  <c:v>3.2256E-2</c:v>
                </c:pt>
                <c:pt idx="145">
                  <c:v>3.2480000000000002E-2</c:v>
                </c:pt>
                <c:pt idx="146">
                  <c:v>3.2703999999999997E-2</c:v>
                </c:pt>
                <c:pt idx="147">
                  <c:v>3.2927999999999999E-2</c:v>
                </c:pt>
                <c:pt idx="148">
                  <c:v>3.3152000000000001E-2</c:v>
                </c:pt>
                <c:pt idx="149">
                  <c:v>3.3376000000000003E-2</c:v>
                </c:pt>
                <c:pt idx="150">
                  <c:v>3.3599999999999998E-2</c:v>
                </c:pt>
              </c:numCache>
            </c:numRef>
          </c:xVal>
          <c:yVal>
            <c:numRef>
              <c:f>Eff_vs_IOUT!$AT$7:$AT$157</c:f>
              <c:numCache>
                <c:formatCode>General</c:formatCode>
                <c:ptCount val="151"/>
                <c:pt idx="0">
                  <c:v>0</c:v>
                </c:pt>
                <c:pt idx="1">
                  <c:v>29.976821262079952</c:v>
                </c:pt>
                <c:pt idx="2">
                  <c:v>46.042301488702684</c:v>
                </c:pt>
                <c:pt idx="3">
                  <c:v>56.048959864124171</c:v>
                </c:pt>
                <c:pt idx="4">
                  <c:v>62.876571250807544</c:v>
                </c:pt>
                <c:pt idx="5">
                  <c:v>67.829967134641493</c:v>
                </c:pt>
                <c:pt idx="6">
                  <c:v>71.586064019322919</c:v>
                </c:pt>
                <c:pt idx="7">
                  <c:v>74.530957153195203</c:v>
                </c:pt>
                <c:pt idx="8">
                  <c:v>76.900927363570176</c:v>
                </c:pt>
                <c:pt idx="9">
                  <c:v>78.84866611020027</c:v>
                </c:pt>
                <c:pt idx="10">
                  <c:v>80.477228153584406</c:v>
                </c:pt>
                <c:pt idx="11">
                  <c:v>81.858680290350193</c:v>
                </c:pt>
                <c:pt idx="12">
                  <c:v>83.044931077311205</c:v>
                </c:pt>
                <c:pt idx="13">
                  <c:v>84.074316165704246</c:v>
                </c:pt>
                <c:pt idx="14">
                  <c:v>84.975760793853169</c:v>
                </c:pt>
                <c:pt idx="15">
                  <c:v>85.771499222833768</c:v>
                </c:pt>
                <c:pt idx="16">
                  <c:v>86.478902835491382</c:v>
                </c:pt>
                <c:pt idx="17">
                  <c:v>87.111740047919483</c:v>
                </c:pt>
                <c:pt idx="18">
                  <c:v>87.681063892424575</c:v>
                </c:pt>
                <c:pt idx="19">
                  <c:v>88.195849598877416</c:v>
                </c:pt>
                <c:pt idx="20">
                  <c:v>88.663460632743011</c:v>
                </c:pt>
                <c:pt idx="21">
                  <c:v>89.089994717751438</c:v>
                </c:pt>
                <c:pt idx="22">
                  <c:v>89.480544411551719</c:v>
                </c:pt>
                <c:pt idx="23">
                  <c:v>89.839395874282673</c:v>
                </c:pt>
                <c:pt idx="24">
                  <c:v>90.17018228034182</c:v>
                </c:pt>
                <c:pt idx="25">
                  <c:v>90.476003503648272</c:v>
                </c:pt>
                <c:pt idx="26">
                  <c:v>90.75952041926854</c:v>
                </c:pt>
                <c:pt idx="27">
                  <c:v>91.02302988647206</c:v>
                </c:pt>
                <c:pt idx="28">
                  <c:v>91.268524876969096</c:v>
                </c:pt>
                <c:pt idx="29">
                  <c:v>91.497743071165544</c:v>
                </c:pt>
                <c:pt idx="30">
                  <c:v>91.712206422231063</c:v>
                </c:pt>
                <c:pt idx="31">
                  <c:v>91.913253587173841</c:v>
                </c:pt>
                <c:pt idx="32">
                  <c:v>92.102066681101775</c:v>
                </c:pt>
                <c:pt idx="33">
                  <c:v>92.279693480787984</c:v>
                </c:pt>
                <c:pt idx="34">
                  <c:v>92.447065955433658</c:v>
                </c:pt>
                <c:pt idx="35">
                  <c:v>92.605015814193365</c:v>
                </c:pt>
                <c:pt idx="36">
                  <c:v>92.754287615958887</c:v>
                </c:pt>
                <c:pt idx="37">
                  <c:v>92.895549875825452</c:v>
                </c:pt>
                <c:pt idx="38">
                  <c:v>93.029404516400447</c:v>
                </c:pt>
                <c:pt idx="39">
                  <c:v>93.156394944652448</c:v>
                </c:pt>
                <c:pt idx="40">
                  <c:v>93.277012981892511</c:v>
                </c:pt>
                <c:pt idx="41">
                  <c:v>93.391704832414561</c:v>
                </c:pt>
                <c:pt idx="42">
                  <c:v>93.500876242804125</c:v>
                </c:pt>
                <c:pt idx="43">
                  <c:v>93.604896977067725</c:v>
                </c:pt>
                <c:pt idx="44">
                  <c:v>93.704104711101294</c:v>
                </c:pt>
                <c:pt idx="45">
                  <c:v>93.798808432498248</c:v>
                </c:pt>
                <c:pt idx="46">
                  <c:v>93.889291417447097</c:v>
                </c:pt>
                <c:pt idx="47">
                  <c:v>93.975813844817722</c:v>
                </c:pt>
                <c:pt idx="48">
                  <c:v>94.058615097972947</c:v>
                </c:pt>
                <c:pt idx="49">
                  <c:v>94.137915796955369</c:v>
                </c:pt>
                <c:pt idx="50">
                  <c:v>94.213919597172222</c:v>
                </c:pt>
                <c:pt idx="51">
                  <c:v>94.286814785274728</c:v>
                </c:pt>
                <c:pt idx="52">
                  <c:v>94.356775698403951</c:v>
                </c:pt>
                <c:pt idx="53">
                  <c:v>94.423963989185708</c:v>
                </c:pt>
                <c:pt idx="54">
                  <c:v>94.488529755674222</c:v>
                </c:pt>
                <c:pt idx="55">
                  <c:v>94.550612552761976</c:v>
                </c:pt>
                <c:pt idx="56">
                  <c:v>94.610342299304733</c:v>
                </c:pt>
                <c:pt idx="57">
                  <c:v>94.667840093286799</c:v>
                </c:pt>
                <c:pt idx="58">
                  <c:v>94.723218945715033</c:v>
                </c:pt>
                <c:pt idx="59">
                  <c:v>94.776584442534443</c:v>
                </c:pt>
                <c:pt idx="60">
                  <c:v>94.828035342663028</c:v>
                </c:pt>
                <c:pt idx="61">
                  <c:v>94.877664119220185</c:v>
                </c:pt>
                <c:pt idx="62">
                  <c:v>94.925557450141028</c:v>
                </c:pt>
                <c:pt idx="63">
                  <c:v>94.971796663610448</c:v>
                </c:pt>
                <c:pt idx="64">
                  <c:v>95.016458143093956</c:v>
                </c:pt>
                <c:pt idx="65">
                  <c:v>95.059613696173813</c:v>
                </c:pt>
                <c:pt idx="66">
                  <c:v>95.101330890906127</c:v>
                </c:pt>
                <c:pt idx="67">
                  <c:v>95.141673362984406</c:v>
                </c:pt>
                <c:pt idx="68">
                  <c:v>95.180701096621391</c:v>
                </c:pt>
                <c:pt idx="69">
                  <c:v>95.218470681733535</c:v>
                </c:pt>
                <c:pt idx="70">
                  <c:v>95.255035549726415</c:v>
                </c:pt>
                <c:pt idx="71">
                  <c:v>95.290446189928105</c:v>
                </c:pt>
                <c:pt idx="72">
                  <c:v>95.324750348497048</c:v>
                </c:pt>
                <c:pt idx="73">
                  <c:v>95.35799321143638</c:v>
                </c:pt>
                <c:pt idx="74">
                  <c:v>95.390217573175519</c:v>
                </c:pt>
                <c:pt idx="75">
                  <c:v>95.42146399202872</c:v>
                </c:pt>
                <c:pt idx="76">
                  <c:v>95.451770933705603</c:v>
                </c:pt>
                <c:pt idx="77">
                  <c:v>95.481174903930636</c:v>
                </c:pt>
                <c:pt idx="78">
                  <c:v>95.509710571122952</c:v>
                </c:pt>
                <c:pt idx="79">
                  <c:v>95.537410879993786</c:v>
                </c:pt>
                <c:pt idx="80">
                  <c:v>95.56430715683581</c:v>
                </c:pt>
                <c:pt idx="81">
                  <c:v>95.590429207203911</c:v>
                </c:pt>
                <c:pt idx="82">
                  <c:v>95.615805406620652</c:v>
                </c:pt>
                <c:pt idx="83">
                  <c:v>95.640462784879944</c:v>
                </c:pt>
                <c:pt idx="84">
                  <c:v>95.664427104469397</c:v>
                </c:pt>
                <c:pt idx="85">
                  <c:v>95.687722933584027</c:v>
                </c:pt>
                <c:pt idx="86">
                  <c:v>95.710373714161236</c:v>
                </c:pt>
                <c:pt idx="87">
                  <c:v>95.732401825327614</c:v>
                </c:pt>
                <c:pt idx="88">
                  <c:v>95.753828642615147</c:v>
                </c:pt>
                <c:pt idx="89">
                  <c:v>95.774674593270788</c:v>
                </c:pt>
                <c:pt idx="90">
                  <c:v>95.794959207957376</c:v>
                </c:pt>
                <c:pt idx="91">
                  <c:v>95.814701169116731</c:v>
                </c:pt>
                <c:pt idx="92">
                  <c:v>95.833918356243487</c:v>
                </c:pt>
                <c:pt idx="93">
                  <c:v>95.852627888297377</c:v>
                </c:pt>
                <c:pt idx="94">
                  <c:v>95.870846163462062</c:v>
                </c:pt>
                <c:pt idx="95">
                  <c:v>95.888588896442414</c:v>
                </c:pt>
                <c:pt idx="96">
                  <c:v>95.905871153475644</c:v>
                </c:pt>
                <c:pt idx="97">
                  <c:v>95.922707385217976</c:v>
                </c:pt>
                <c:pt idx="98">
                  <c:v>95.939111457655756</c:v>
                </c:pt>
                <c:pt idx="99">
                  <c:v>95.955096681177423</c:v>
                </c:pt>
                <c:pt idx="100">
                  <c:v>95.867222119001937</c:v>
                </c:pt>
                <c:pt idx="101">
                  <c:v>95.880814742756769</c:v>
                </c:pt>
                <c:pt idx="102">
                  <c:v>95.893941282780901</c:v>
                </c:pt>
                <c:pt idx="103">
                  <c:v>95.906615045699127</c:v>
                </c:pt>
                <c:pt idx="104">
                  <c:v>95.918848838883576</c:v>
                </c:pt>
                <c:pt idx="105">
                  <c:v>95.9306549936491</c:v>
                </c:pt>
                <c:pt idx="106">
                  <c:v>95.942045387167582</c:v>
                </c:pt>
                <c:pt idx="107">
                  <c:v>95.953031463182441</c:v>
                </c:pt>
                <c:pt idx="108">
                  <c:v>95.963624251599882</c:v>
                </c:pt>
                <c:pt idx="109">
                  <c:v>95.973834387026812</c:v>
                </c:pt>
                <c:pt idx="110">
                  <c:v>95.983672126321224</c:v>
                </c:pt>
                <c:pt idx="111">
                  <c:v>95.993147365215734</c:v>
                </c:pt>
                <c:pt idx="112">
                  <c:v>96.002269654070972</c:v>
                </c:pt>
                <c:pt idx="113">
                  <c:v>96.01104821281136</c:v>
                </c:pt>
                <c:pt idx="114">
                  <c:v>96.019491945092483</c:v>
                </c:pt>
                <c:pt idx="115">
                  <c:v>96.02760945174586</c:v>
                </c:pt>
                <c:pt idx="116">
                  <c:v>96.035409043543495</c:v>
                </c:pt>
                <c:pt idx="117">
                  <c:v>96.04289875332222</c:v>
                </c:pt>
                <c:pt idx="118">
                  <c:v>96.050086347504916</c:v>
                </c:pt>
                <c:pt idx="119">
                  <c:v>96.056979337053463</c:v>
                </c:pt>
                <c:pt idx="120">
                  <c:v>96.063584987885548</c:v>
                </c:pt>
                <c:pt idx="121">
                  <c:v>96.069910330785959</c:v>
                </c:pt>
                <c:pt idx="122">
                  <c:v>96.075962170840796</c:v>
                </c:pt>
                <c:pt idx="123">
                  <c:v>96.081747096420827</c:v>
                </c:pt>
                <c:pt idx="124">
                  <c:v>96.087271487739429</c:v>
                </c:pt>
                <c:pt idx="125">
                  <c:v>96.092541525007917</c:v>
                </c:pt>
                <c:pt idx="126">
                  <c:v>96.097563196210643</c:v>
                </c:pt>
                <c:pt idx="127">
                  <c:v>96.102342304520079</c:v>
                </c:pt>
                <c:pt idx="128">
                  <c:v>96.106884475371302</c:v>
                </c:pt>
                <c:pt idx="129">
                  <c:v>96.111195163213964</c:v>
                </c:pt>
                <c:pt idx="130">
                  <c:v>96.115279657958865</c:v>
                </c:pt>
                <c:pt idx="131">
                  <c:v>96.119143091134944</c:v>
                </c:pt>
                <c:pt idx="132">
                  <c:v>96.122790441771954</c:v>
                </c:pt>
                <c:pt idx="133">
                  <c:v>96.126226542022764</c:v>
                </c:pt>
                <c:pt idx="134">
                  <c:v>96.129456082538795</c:v>
                </c:pt>
                <c:pt idx="135">
                  <c:v>96.132483617611214</c:v>
                </c:pt>
                <c:pt idx="136">
                  <c:v>96.135313570089366</c:v>
                </c:pt>
                <c:pt idx="137">
                  <c:v>96.13795023608796</c:v>
                </c:pt>
                <c:pt idx="138">
                  <c:v>96.14039778949352</c:v>
                </c:pt>
                <c:pt idx="139">
                  <c:v>96.142660286279607</c:v>
                </c:pt>
                <c:pt idx="140">
                  <c:v>96.14474166864089</c:v>
                </c:pt>
                <c:pt idx="141">
                  <c:v>96.14664576895413</c:v>
                </c:pt>
                <c:pt idx="142">
                  <c:v>96.148376313575113</c:v>
                </c:pt>
                <c:pt idx="143">
                  <c:v>96.149936926478958</c:v>
                </c:pt>
                <c:pt idx="144">
                  <c:v>96.151331132751523</c:v>
                </c:pt>
                <c:pt idx="145">
                  <c:v>96.152562361939005</c:v>
                </c:pt>
                <c:pt idx="146">
                  <c:v>96.153633951262023</c:v>
                </c:pt>
                <c:pt idx="147">
                  <c:v>96.154549148701136</c:v>
                </c:pt>
                <c:pt idx="148">
                  <c:v>96.155311115959265</c:v>
                </c:pt>
                <c:pt idx="149">
                  <c:v>96.155922931306861</c:v>
                </c:pt>
                <c:pt idx="150">
                  <c:v>96.156387592315397</c:v>
                </c:pt>
              </c:numCache>
            </c:numRef>
          </c:yVal>
          <c:smooth val="0"/>
          <c:extLst>
            <c:ext xmlns:c16="http://schemas.microsoft.com/office/drawing/2014/chart" uri="{C3380CC4-5D6E-409C-BE32-E72D297353CC}">
              <c16:uniqueId val="{00000000-8AEF-4CD2-9E91-5056CF00EB36}"/>
            </c:ext>
          </c:extLst>
        </c:ser>
        <c:dLbls>
          <c:showLegendKey val="0"/>
          <c:showVal val="0"/>
          <c:showCatName val="0"/>
          <c:showSerName val="0"/>
          <c:showPercent val="0"/>
          <c:showBubbleSize val="0"/>
        </c:dLbls>
        <c:axId val="145036800"/>
        <c:axId val="145038336"/>
      </c:scatterChart>
      <c:scatterChart>
        <c:scatterStyle val="smoothMarker"/>
        <c:varyColors val="0"/>
        <c:ser>
          <c:idx val="1"/>
          <c:order val="1"/>
          <c:tx>
            <c:v>MOSFET</c:v>
          </c:tx>
          <c:marker>
            <c:symbol val="none"/>
          </c:marker>
          <c:xVal>
            <c:numRef>
              <c:f>Eff_vs_IOUT!$S$7:$S$157</c:f>
              <c:numCache>
                <c:formatCode>General</c:formatCode>
                <c:ptCount val="151"/>
                <c:pt idx="0">
                  <c:v>0</c:v>
                </c:pt>
                <c:pt idx="1">
                  <c:v>2.24E-4</c:v>
                </c:pt>
                <c:pt idx="2">
                  <c:v>4.4799999999999999E-4</c:v>
                </c:pt>
                <c:pt idx="3">
                  <c:v>6.7199999999999996E-4</c:v>
                </c:pt>
                <c:pt idx="4">
                  <c:v>8.9599999999999999E-4</c:v>
                </c:pt>
                <c:pt idx="5">
                  <c:v>1.1199999999999999E-3</c:v>
                </c:pt>
                <c:pt idx="6">
                  <c:v>1.3439999999999999E-3</c:v>
                </c:pt>
                <c:pt idx="7">
                  <c:v>1.5679999999999999E-3</c:v>
                </c:pt>
                <c:pt idx="8">
                  <c:v>1.792E-3</c:v>
                </c:pt>
                <c:pt idx="9">
                  <c:v>2.016E-3</c:v>
                </c:pt>
                <c:pt idx="10">
                  <c:v>2.2399999999999998E-3</c:v>
                </c:pt>
                <c:pt idx="11">
                  <c:v>2.464E-3</c:v>
                </c:pt>
                <c:pt idx="12">
                  <c:v>2.6879999999999999E-3</c:v>
                </c:pt>
                <c:pt idx="13">
                  <c:v>2.9120000000000001E-3</c:v>
                </c:pt>
                <c:pt idx="14">
                  <c:v>3.1359999999999999E-3</c:v>
                </c:pt>
                <c:pt idx="15">
                  <c:v>3.3600000000000001E-3</c:v>
                </c:pt>
                <c:pt idx="16">
                  <c:v>3.5839999999999999E-3</c:v>
                </c:pt>
                <c:pt idx="17">
                  <c:v>3.8079999999999998E-3</c:v>
                </c:pt>
                <c:pt idx="18">
                  <c:v>4.032E-3</c:v>
                </c:pt>
                <c:pt idx="19">
                  <c:v>4.2560000000000002E-3</c:v>
                </c:pt>
                <c:pt idx="20">
                  <c:v>4.4799999999999996E-3</c:v>
                </c:pt>
                <c:pt idx="21">
                  <c:v>4.7039999999999998E-3</c:v>
                </c:pt>
                <c:pt idx="22">
                  <c:v>4.9280000000000001E-3</c:v>
                </c:pt>
                <c:pt idx="23">
                  <c:v>5.1520000000000003E-3</c:v>
                </c:pt>
                <c:pt idx="24">
                  <c:v>5.3759999999999997E-3</c:v>
                </c:pt>
                <c:pt idx="25">
                  <c:v>5.5999999999999999E-3</c:v>
                </c:pt>
                <c:pt idx="26">
                  <c:v>5.8240000000000002E-3</c:v>
                </c:pt>
                <c:pt idx="27">
                  <c:v>6.0479999999999996E-3</c:v>
                </c:pt>
                <c:pt idx="28">
                  <c:v>6.2719999999999998E-3</c:v>
                </c:pt>
                <c:pt idx="29">
                  <c:v>6.496E-3</c:v>
                </c:pt>
                <c:pt idx="30">
                  <c:v>6.7200000000000003E-3</c:v>
                </c:pt>
                <c:pt idx="31">
                  <c:v>6.9439999999999997E-3</c:v>
                </c:pt>
                <c:pt idx="32">
                  <c:v>7.1679999999999999E-3</c:v>
                </c:pt>
                <c:pt idx="33">
                  <c:v>7.3920000000000001E-3</c:v>
                </c:pt>
                <c:pt idx="34">
                  <c:v>7.6159999999999995E-3</c:v>
                </c:pt>
                <c:pt idx="35">
                  <c:v>7.8399999999999997E-3</c:v>
                </c:pt>
                <c:pt idx="36">
                  <c:v>8.064E-3</c:v>
                </c:pt>
                <c:pt idx="37">
                  <c:v>8.2880000000000002E-3</c:v>
                </c:pt>
                <c:pt idx="38">
                  <c:v>8.5120000000000005E-3</c:v>
                </c:pt>
                <c:pt idx="39">
                  <c:v>8.7360000000000007E-3</c:v>
                </c:pt>
                <c:pt idx="40">
                  <c:v>8.9599999999999992E-3</c:v>
                </c:pt>
                <c:pt idx="41">
                  <c:v>9.1839999999999995E-3</c:v>
                </c:pt>
                <c:pt idx="42">
                  <c:v>9.4079999999999997E-3</c:v>
                </c:pt>
                <c:pt idx="43">
                  <c:v>9.6319999999999999E-3</c:v>
                </c:pt>
                <c:pt idx="44">
                  <c:v>9.8560000000000002E-3</c:v>
                </c:pt>
                <c:pt idx="45">
                  <c:v>1.008E-2</c:v>
                </c:pt>
                <c:pt idx="46">
                  <c:v>1.0304000000000001E-2</c:v>
                </c:pt>
                <c:pt idx="47">
                  <c:v>1.0527999999999999E-2</c:v>
                </c:pt>
                <c:pt idx="48">
                  <c:v>1.0751999999999999E-2</c:v>
                </c:pt>
                <c:pt idx="49">
                  <c:v>1.0976E-2</c:v>
                </c:pt>
                <c:pt idx="50">
                  <c:v>1.12E-2</c:v>
                </c:pt>
                <c:pt idx="51">
                  <c:v>1.1424E-2</c:v>
                </c:pt>
                <c:pt idx="52">
                  <c:v>1.1648E-2</c:v>
                </c:pt>
                <c:pt idx="53">
                  <c:v>1.1872000000000001E-2</c:v>
                </c:pt>
                <c:pt idx="54">
                  <c:v>1.2095999999999999E-2</c:v>
                </c:pt>
                <c:pt idx="55">
                  <c:v>1.2319999999999999E-2</c:v>
                </c:pt>
                <c:pt idx="56">
                  <c:v>1.2544E-2</c:v>
                </c:pt>
                <c:pt idx="57">
                  <c:v>1.2768E-2</c:v>
                </c:pt>
                <c:pt idx="58">
                  <c:v>1.2992E-2</c:v>
                </c:pt>
                <c:pt idx="59">
                  <c:v>1.3216E-2</c:v>
                </c:pt>
                <c:pt idx="60">
                  <c:v>1.3440000000000001E-2</c:v>
                </c:pt>
                <c:pt idx="61">
                  <c:v>1.3663999999999999E-2</c:v>
                </c:pt>
                <c:pt idx="62">
                  <c:v>1.3887999999999999E-2</c:v>
                </c:pt>
                <c:pt idx="63">
                  <c:v>1.4112E-2</c:v>
                </c:pt>
                <c:pt idx="64">
                  <c:v>1.4336E-2</c:v>
                </c:pt>
                <c:pt idx="65">
                  <c:v>1.456E-2</c:v>
                </c:pt>
                <c:pt idx="66">
                  <c:v>1.4784E-2</c:v>
                </c:pt>
                <c:pt idx="67">
                  <c:v>1.5008000000000001E-2</c:v>
                </c:pt>
                <c:pt idx="68">
                  <c:v>1.5231999999999999E-2</c:v>
                </c:pt>
                <c:pt idx="69">
                  <c:v>1.5455999999999999E-2</c:v>
                </c:pt>
                <c:pt idx="70">
                  <c:v>1.5679999999999999E-2</c:v>
                </c:pt>
                <c:pt idx="71">
                  <c:v>1.5904000000000001E-2</c:v>
                </c:pt>
                <c:pt idx="72">
                  <c:v>1.6128E-2</c:v>
                </c:pt>
                <c:pt idx="73">
                  <c:v>1.6351999999999998E-2</c:v>
                </c:pt>
                <c:pt idx="74">
                  <c:v>1.6576E-2</c:v>
                </c:pt>
                <c:pt idx="75">
                  <c:v>1.6799999999999999E-2</c:v>
                </c:pt>
                <c:pt idx="76">
                  <c:v>1.7024000000000001E-2</c:v>
                </c:pt>
                <c:pt idx="77">
                  <c:v>1.7247999999999999E-2</c:v>
                </c:pt>
                <c:pt idx="78">
                  <c:v>1.7472000000000001E-2</c:v>
                </c:pt>
                <c:pt idx="79">
                  <c:v>1.7696E-2</c:v>
                </c:pt>
                <c:pt idx="80">
                  <c:v>1.7919999999999998E-2</c:v>
                </c:pt>
                <c:pt idx="81">
                  <c:v>1.8144E-2</c:v>
                </c:pt>
                <c:pt idx="82">
                  <c:v>1.8367999999999999E-2</c:v>
                </c:pt>
                <c:pt idx="83">
                  <c:v>1.8592000000000001E-2</c:v>
                </c:pt>
                <c:pt idx="84">
                  <c:v>1.8815999999999999E-2</c:v>
                </c:pt>
                <c:pt idx="85">
                  <c:v>1.9040000000000001E-2</c:v>
                </c:pt>
                <c:pt idx="86">
                  <c:v>1.9264E-2</c:v>
                </c:pt>
                <c:pt idx="87">
                  <c:v>1.9487999999999998E-2</c:v>
                </c:pt>
                <c:pt idx="88">
                  <c:v>1.9712E-2</c:v>
                </c:pt>
                <c:pt idx="89">
                  <c:v>1.9935999999999999E-2</c:v>
                </c:pt>
                <c:pt idx="90">
                  <c:v>2.0160000000000001E-2</c:v>
                </c:pt>
                <c:pt idx="91">
                  <c:v>2.0383999999999999E-2</c:v>
                </c:pt>
                <c:pt idx="92">
                  <c:v>2.0608000000000001E-2</c:v>
                </c:pt>
                <c:pt idx="93">
                  <c:v>2.0832E-2</c:v>
                </c:pt>
                <c:pt idx="94">
                  <c:v>2.1055999999999998E-2</c:v>
                </c:pt>
                <c:pt idx="95">
                  <c:v>2.128E-2</c:v>
                </c:pt>
                <c:pt idx="96">
                  <c:v>2.1503999999999999E-2</c:v>
                </c:pt>
                <c:pt idx="97">
                  <c:v>2.1728000000000001E-2</c:v>
                </c:pt>
                <c:pt idx="98">
                  <c:v>2.1951999999999999E-2</c:v>
                </c:pt>
                <c:pt idx="99">
                  <c:v>2.2176000000000001E-2</c:v>
                </c:pt>
                <c:pt idx="100">
                  <c:v>2.24E-2</c:v>
                </c:pt>
                <c:pt idx="101">
                  <c:v>2.2623999999999998E-2</c:v>
                </c:pt>
                <c:pt idx="102">
                  <c:v>2.2848E-2</c:v>
                </c:pt>
                <c:pt idx="103">
                  <c:v>2.3071999999999999E-2</c:v>
                </c:pt>
                <c:pt idx="104">
                  <c:v>2.3296000000000001E-2</c:v>
                </c:pt>
                <c:pt idx="105">
                  <c:v>2.3519999999999999E-2</c:v>
                </c:pt>
                <c:pt idx="106">
                  <c:v>2.3744000000000001E-2</c:v>
                </c:pt>
                <c:pt idx="107">
                  <c:v>2.3968E-2</c:v>
                </c:pt>
                <c:pt idx="108">
                  <c:v>2.4191999999999998E-2</c:v>
                </c:pt>
                <c:pt idx="109">
                  <c:v>2.4416E-2</c:v>
                </c:pt>
                <c:pt idx="110">
                  <c:v>2.4639999999999999E-2</c:v>
                </c:pt>
                <c:pt idx="111">
                  <c:v>2.4864000000000001E-2</c:v>
                </c:pt>
                <c:pt idx="112">
                  <c:v>2.5087999999999999E-2</c:v>
                </c:pt>
                <c:pt idx="113">
                  <c:v>2.5312000000000001E-2</c:v>
                </c:pt>
                <c:pt idx="114">
                  <c:v>2.5536E-2</c:v>
                </c:pt>
                <c:pt idx="115">
                  <c:v>2.5759999999999998E-2</c:v>
                </c:pt>
                <c:pt idx="116">
                  <c:v>2.5984E-2</c:v>
                </c:pt>
                <c:pt idx="117">
                  <c:v>2.6207999999999999E-2</c:v>
                </c:pt>
                <c:pt idx="118">
                  <c:v>2.6432000000000001E-2</c:v>
                </c:pt>
                <c:pt idx="119">
                  <c:v>2.6655999999999999E-2</c:v>
                </c:pt>
                <c:pt idx="120">
                  <c:v>2.6880000000000001E-2</c:v>
                </c:pt>
                <c:pt idx="121">
                  <c:v>2.7104E-2</c:v>
                </c:pt>
                <c:pt idx="122">
                  <c:v>2.7327999999999998E-2</c:v>
                </c:pt>
                <c:pt idx="123">
                  <c:v>2.7552E-2</c:v>
                </c:pt>
                <c:pt idx="124">
                  <c:v>2.7775999999999999E-2</c:v>
                </c:pt>
                <c:pt idx="125">
                  <c:v>2.8000000000000001E-2</c:v>
                </c:pt>
                <c:pt idx="126">
                  <c:v>2.8223999999999999E-2</c:v>
                </c:pt>
                <c:pt idx="127">
                  <c:v>2.8448000000000001E-2</c:v>
                </c:pt>
                <c:pt idx="128">
                  <c:v>2.8672E-2</c:v>
                </c:pt>
                <c:pt idx="129">
                  <c:v>2.8895999999999998E-2</c:v>
                </c:pt>
                <c:pt idx="130">
                  <c:v>2.912E-2</c:v>
                </c:pt>
                <c:pt idx="131">
                  <c:v>2.9343999999999999E-2</c:v>
                </c:pt>
                <c:pt idx="132">
                  <c:v>2.9568000000000001E-2</c:v>
                </c:pt>
                <c:pt idx="133">
                  <c:v>2.9791999999999999E-2</c:v>
                </c:pt>
                <c:pt idx="134">
                  <c:v>3.0016000000000001E-2</c:v>
                </c:pt>
                <c:pt idx="135">
                  <c:v>3.024E-2</c:v>
                </c:pt>
                <c:pt idx="136">
                  <c:v>3.0463999999999998E-2</c:v>
                </c:pt>
                <c:pt idx="137">
                  <c:v>3.0688E-2</c:v>
                </c:pt>
                <c:pt idx="138">
                  <c:v>3.0911999999999999E-2</c:v>
                </c:pt>
                <c:pt idx="139">
                  <c:v>3.1136E-2</c:v>
                </c:pt>
                <c:pt idx="140">
                  <c:v>3.1359999999999999E-2</c:v>
                </c:pt>
                <c:pt idx="141">
                  <c:v>3.1584000000000001E-2</c:v>
                </c:pt>
                <c:pt idx="142">
                  <c:v>3.1808000000000003E-2</c:v>
                </c:pt>
                <c:pt idx="143">
                  <c:v>3.2031999999999998E-2</c:v>
                </c:pt>
                <c:pt idx="144">
                  <c:v>3.2256E-2</c:v>
                </c:pt>
                <c:pt idx="145">
                  <c:v>3.2480000000000002E-2</c:v>
                </c:pt>
                <c:pt idx="146">
                  <c:v>3.2703999999999997E-2</c:v>
                </c:pt>
                <c:pt idx="147">
                  <c:v>3.2927999999999999E-2</c:v>
                </c:pt>
                <c:pt idx="148">
                  <c:v>3.3152000000000001E-2</c:v>
                </c:pt>
                <c:pt idx="149">
                  <c:v>3.3376000000000003E-2</c:v>
                </c:pt>
                <c:pt idx="150">
                  <c:v>3.3599999999999998E-2</c:v>
                </c:pt>
              </c:numCache>
            </c:numRef>
          </c:xVal>
          <c:yVal>
            <c:numRef>
              <c:f>Eff_vs_IOUT!$AI$7:$AI$157</c:f>
              <c:numCache>
                <c:formatCode>General</c:formatCode>
                <c:ptCount val="151"/>
                <c:pt idx="0">
                  <c:v>0</c:v>
                </c:pt>
                <c:pt idx="1">
                  <c:v>5.3445606373892105E-5</c:v>
                </c:pt>
                <c:pt idx="2">
                  <c:v>1.0716185195165733E-4</c:v>
                </c:pt>
                <c:pt idx="3">
                  <c:v>1.6105428107519144E-4</c:v>
                </c:pt>
                <c:pt idx="4">
                  <c:v>2.1508918716856912E-4</c:v>
                </c:pt>
                <c:pt idx="5">
                  <c:v>2.6924708969223575E-4</c:v>
                </c:pt>
                <c:pt idx="6">
                  <c:v>3.235148447052676E-4</c:v>
                </c:pt>
                <c:pt idx="7">
                  <c:v>3.7788280290627701E-4</c:v>
                </c:pt>
                <c:pt idx="8">
                  <c:v>4.3234348796812323E-4</c:v>
                </c:pt>
                <c:pt idx="9">
                  <c:v>4.8689088489353206E-4</c:v>
                </c:pt>
                <c:pt idx="10">
                  <c:v>5.4152001767065507E-4</c:v>
                </c:pt>
                <c:pt idx="11">
                  <c:v>5.962266804514023E-4</c:v>
                </c:pt>
                <c:pt idx="12">
                  <c:v>6.5100725713382844E-4</c:v>
                </c:pt>
                <c:pt idx="13">
                  <c:v>7.0585859512799416E-4</c:v>
                </c:pt>
                <c:pt idx="14">
                  <c:v>7.6077791401186351E-4</c:v>
                </c:pt>
                <c:pt idx="15">
                  <c:v>8.1576273757335573E-4</c:v>
                </c:pt>
                <c:pt idx="16">
                  <c:v>8.7081084205828201E-4</c:v>
                </c:pt>
                <c:pt idx="17">
                  <c:v>9.2592021596839811E-4</c:v>
                </c:pt>
                <c:pt idx="18">
                  <c:v>9.8108902829163822E-4</c:v>
                </c:pt>
                <c:pt idx="19">
                  <c:v>1.036315603017732E-3</c:v>
                </c:pt>
                <c:pt idx="20">
                  <c:v>1.0915983984250473E-3</c:v>
                </c:pt>
                <c:pt idx="21">
                  <c:v>1.1469359900478926E-3</c:v>
                </c:pt>
                <c:pt idx="22">
                  <c:v>1.2023270565236887E-3</c:v>
                </c:pt>
                <c:pt idx="23">
                  <c:v>1.2577703677225576E-3</c:v>
                </c:pt>
                <c:pt idx="24">
                  <c:v>1.3132647747067345E-3</c:v>
                </c:pt>
                <c:pt idx="25">
                  <c:v>1.3688092011723198E-3</c:v>
                </c:pt>
                <c:pt idx="26">
                  <c:v>1.424402636103287E-3</c:v>
                </c:pt>
                <c:pt idx="27">
                  <c:v>1.4800441274255053E-3</c:v>
                </c:pt>
                <c:pt idx="28">
                  <c:v>1.5357327764922418E-3</c:v>
                </c:pt>
                <c:pt idx="29">
                  <c:v>1.5914677332660935E-3</c:v>
                </c:pt>
                <c:pt idx="30">
                  <c:v>1.6472481920881828E-3</c:v>
                </c:pt>
                <c:pt idx="31">
                  <c:v>1.7030733879456516E-3</c:v>
                </c:pt>
                <c:pt idx="32">
                  <c:v>1.7589425931644437E-3</c:v>
                </c:pt>
                <c:pt idx="33">
                  <c:v>1.8148551144670237E-3</c:v>
                </c:pt>
                <c:pt idx="34">
                  <c:v>1.8708102903448294E-3</c:v>
                </c:pt>
                <c:pt idx="35">
                  <c:v>1.9268074887034442E-3</c:v>
                </c:pt>
                <c:pt idx="36">
                  <c:v>1.9828461047451469E-3</c:v>
                </c:pt>
                <c:pt idx="37">
                  <c:v>2.0389255590589168E-3</c:v>
                </c:pt>
                <c:pt idx="38">
                  <c:v>2.0950452958924857E-3</c:v>
                </c:pt>
                <c:pt idx="39">
                  <c:v>2.1512047815846979E-3</c:v>
                </c:pt>
                <c:pt idx="40">
                  <c:v>2.2074035031395636E-3</c:v>
                </c:pt>
                <c:pt idx="41">
                  <c:v>2.2636409669259442E-3</c:v>
                </c:pt>
                <c:pt idx="42">
                  <c:v>2.3199166974889798E-3</c:v>
                </c:pt>
                <c:pt idx="43">
                  <c:v>2.3762302364612256E-3</c:v>
                </c:pt>
                <c:pt idx="44">
                  <c:v>2.4325811415629736E-3</c:v>
                </c:pt>
                <c:pt idx="45">
                  <c:v>2.4889689856825918E-3</c:v>
                </c:pt>
                <c:pt idx="46">
                  <c:v>2.5453933560288314E-3</c:v>
                </c:pt>
                <c:pt idx="47">
                  <c:v>2.6018538533480059E-3</c:v>
                </c:pt>
                <c:pt idx="48">
                  <c:v>2.6583500911998154E-3</c:v>
                </c:pt>
                <c:pt idx="49">
                  <c:v>2.7148816952862636E-3</c:v>
                </c:pt>
                <c:pt idx="50">
                  <c:v>2.77144830282878E-3</c:v>
                </c:pt>
                <c:pt idx="51">
                  <c:v>2.8280495619891792E-3</c:v>
                </c:pt>
                <c:pt idx="52">
                  <c:v>2.8846851313305728E-3</c:v>
                </c:pt>
                <c:pt idx="53">
                  <c:v>2.9413546793147444E-3</c:v>
                </c:pt>
                <c:pt idx="54">
                  <c:v>2.9980578838328976E-3</c:v>
                </c:pt>
                <c:pt idx="55">
                  <c:v>3.0547944317669625E-3</c:v>
                </c:pt>
                <c:pt idx="56">
                  <c:v>3.1115640185789594E-3</c:v>
                </c:pt>
                <c:pt idx="57">
                  <c:v>3.1683663479261446E-3</c:v>
                </c:pt>
                <c:pt idx="58">
                  <c:v>3.2252011312999115E-3</c:v>
                </c:pt>
                <c:pt idx="59">
                  <c:v>3.2820680876865654E-3</c:v>
                </c:pt>
                <c:pt idx="60">
                  <c:v>3.3389669432483298E-3</c:v>
                </c:pt>
                <c:pt idx="61">
                  <c:v>3.3958974310230308E-3</c:v>
                </c:pt>
                <c:pt idx="62">
                  <c:v>3.4528592906410958E-3</c:v>
                </c:pt>
                <c:pt idx="63">
                  <c:v>3.5098522680585948E-3</c:v>
                </c:pt>
                <c:pt idx="64">
                  <c:v>3.5668761153051722E-3</c:v>
                </c:pt>
                <c:pt idx="65">
                  <c:v>3.6239305902458275E-3</c:v>
                </c:pt>
                <c:pt idx="66">
                  <c:v>3.681015456355572E-3</c:v>
                </c:pt>
                <c:pt idx="67">
                  <c:v>3.7381304825060803E-3</c:v>
                </c:pt>
                <c:pt idx="68">
                  <c:v>3.795275442763534E-3</c:v>
                </c:pt>
                <c:pt idx="69">
                  <c:v>3.8524501161969192E-3</c:v>
                </c:pt>
                <c:pt idx="70">
                  <c:v>3.9096542866960664E-3</c:v>
                </c:pt>
                <c:pt idx="71">
                  <c:v>3.9668877427988447E-3</c:v>
                </c:pt>
                <c:pt idx="72">
                  <c:v>4.0241502775268875E-3</c:v>
                </c:pt>
                <c:pt idx="73">
                  <c:v>4.0814416882293449E-3</c:v>
                </c:pt>
                <c:pt idx="74">
                  <c:v>4.1387617764341526E-3</c:v>
                </c:pt>
                <c:pt idx="75">
                  <c:v>4.1961103477063536E-3</c:v>
                </c:pt>
                <c:pt idx="76">
                  <c:v>4.2534872115130686E-3</c:v>
                </c:pt>
                <c:pt idx="77">
                  <c:v>4.3108921810946855E-3</c:v>
                </c:pt>
                <c:pt idx="78">
                  <c:v>4.3683250733419507E-3</c:v>
                </c:pt>
                <c:pt idx="79">
                  <c:v>4.4257857086785644E-3</c:v>
                </c:pt>
                <c:pt idx="80">
                  <c:v>4.4832739109490248E-3</c:v>
                </c:pt>
                <c:pt idx="81">
                  <c:v>4.5407895073113717E-3</c:v>
                </c:pt>
                <c:pt idx="82">
                  <c:v>4.5983323281345882E-3</c:v>
                </c:pt>
                <c:pt idx="83">
                  <c:v>4.6559022069003987E-3</c:v>
                </c:pt>
                <c:pt idx="84">
                  <c:v>4.7134989801092195E-3</c:v>
                </c:pt>
                <c:pt idx="85">
                  <c:v>4.7711224871900349E-3</c:v>
                </c:pt>
                <c:pt idx="86">
                  <c:v>4.8287725704140045E-3</c:v>
                </c:pt>
                <c:pt idx="87">
                  <c:v>4.8864490748115851E-3</c:v>
                </c:pt>
                <c:pt idx="88">
                  <c:v>4.9441518480930194E-3</c:v>
                </c:pt>
                <c:pt idx="89">
                  <c:v>5.001880740571959E-3</c:v>
                </c:pt>
                <c:pt idx="90">
                  <c:v>5.0596356050921412E-3</c:v>
                </c:pt>
                <c:pt idx="91">
                  <c:v>5.1174162969568997E-3</c:v>
                </c:pt>
                <c:pt idx="92">
                  <c:v>5.1752226738614017E-3</c:v>
                </c:pt>
                <c:pt idx="93">
                  <c:v>5.2330545958274664E-3</c:v>
                </c:pt>
                <c:pt idx="94">
                  <c:v>5.290911925140849E-3</c:v>
                </c:pt>
                <c:pt idx="95">
                  <c:v>5.348794526290869E-3</c:v>
                </c:pt>
                <c:pt idx="96">
                  <c:v>5.4067022659122516E-3</c:v>
                </c:pt>
                <c:pt idx="97">
                  <c:v>5.4646350127291257E-3</c:v>
                </c:pt>
                <c:pt idx="98">
                  <c:v>5.5225926375010075E-3</c:v>
                </c:pt>
                <c:pt idx="99">
                  <c:v>5.5805750129707598E-3</c:v>
                </c:pt>
                <c:pt idx="100">
                  <c:v>5.6961096932766691E-3</c:v>
                </c:pt>
                <c:pt idx="101">
                  <c:v>5.7553143865834225E-3</c:v>
                </c:pt>
                <c:pt idx="102">
                  <c:v>5.8145796348886931E-3</c:v>
                </c:pt>
                <c:pt idx="103">
                  <c:v>5.8739054381924836E-3</c:v>
                </c:pt>
                <c:pt idx="104">
                  <c:v>5.9332917964947923E-3</c:v>
                </c:pt>
                <c:pt idx="105">
                  <c:v>5.992738709795619E-3</c:v>
                </c:pt>
                <c:pt idx="106">
                  <c:v>6.0522461780949648E-3</c:v>
                </c:pt>
                <c:pt idx="107">
                  <c:v>6.1118142013928279E-3</c:v>
                </c:pt>
                <c:pt idx="108">
                  <c:v>6.1714427796892117E-3</c:v>
                </c:pt>
                <c:pt idx="109">
                  <c:v>6.2311319129841128E-3</c:v>
                </c:pt>
                <c:pt idx="110">
                  <c:v>6.290881601277532E-3</c:v>
                </c:pt>
                <c:pt idx="111">
                  <c:v>6.350691844569472E-3</c:v>
                </c:pt>
                <c:pt idx="112">
                  <c:v>6.4105626428599292E-3</c:v>
                </c:pt>
                <c:pt idx="113">
                  <c:v>6.4704939961489037E-3</c:v>
                </c:pt>
                <c:pt idx="114">
                  <c:v>6.5304859044363964E-3</c:v>
                </c:pt>
                <c:pt idx="115">
                  <c:v>6.590538367722408E-3</c:v>
                </c:pt>
                <c:pt idx="116">
                  <c:v>6.6506513860069396E-3</c:v>
                </c:pt>
                <c:pt idx="117">
                  <c:v>6.7108249592899901E-3</c:v>
                </c:pt>
                <c:pt idx="118">
                  <c:v>6.7710590875715562E-3</c:v>
                </c:pt>
                <c:pt idx="119">
                  <c:v>6.8313537708516439E-3</c:v>
                </c:pt>
                <c:pt idx="120">
                  <c:v>6.891709009130248E-3</c:v>
                </c:pt>
                <c:pt idx="121">
                  <c:v>6.9521248024073728E-3</c:v>
                </c:pt>
                <c:pt idx="122">
                  <c:v>7.0126011506830132E-3</c:v>
                </c:pt>
                <c:pt idx="123">
                  <c:v>7.0731380539571734E-3</c:v>
                </c:pt>
                <c:pt idx="124">
                  <c:v>7.1337355122298536E-3</c:v>
                </c:pt>
                <c:pt idx="125">
                  <c:v>7.1943935255010492E-3</c:v>
                </c:pt>
                <c:pt idx="126">
                  <c:v>7.2551120937707674E-3</c:v>
                </c:pt>
                <c:pt idx="127">
                  <c:v>7.3158912170390002E-3</c:v>
                </c:pt>
                <c:pt idx="128">
                  <c:v>7.3767308953057546E-3</c:v>
                </c:pt>
                <c:pt idx="129">
                  <c:v>7.4376311285710255E-3</c:v>
                </c:pt>
                <c:pt idx="130">
                  <c:v>7.4985919168348153E-3</c:v>
                </c:pt>
                <c:pt idx="131">
                  <c:v>7.5596132600971241E-3</c:v>
                </c:pt>
                <c:pt idx="132">
                  <c:v>7.6206951583579511E-3</c:v>
                </c:pt>
                <c:pt idx="133">
                  <c:v>7.6818376116172971E-3</c:v>
                </c:pt>
                <c:pt idx="134">
                  <c:v>7.7430406198751621E-3</c:v>
                </c:pt>
                <c:pt idx="135">
                  <c:v>7.8043041831315435E-3</c:v>
                </c:pt>
                <c:pt idx="136">
                  <c:v>7.8656283013864448E-3</c:v>
                </c:pt>
                <c:pt idx="137">
                  <c:v>7.927012974639866E-3</c:v>
                </c:pt>
                <c:pt idx="138">
                  <c:v>7.9884582028918027E-3</c:v>
                </c:pt>
                <c:pt idx="139">
                  <c:v>8.0499639861422601E-3</c:v>
                </c:pt>
                <c:pt idx="140">
                  <c:v>8.1115303243912348E-3</c:v>
                </c:pt>
                <c:pt idx="141">
                  <c:v>8.1731572176387303E-3</c:v>
                </c:pt>
                <c:pt idx="142">
                  <c:v>8.2348446658847413E-3</c:v>
                </c:pt>
                <c:pt idx="143">
                  <c:v>8.2965926691292713E-3</c:v>
                </c:pt>
                <c:pt idx="144">
                  <c:v>8.358401227372322E-3</c:v>
                </c:pt>
                <c:pt idx="145">
                  <c:v>8.4202703406138901E-3</c:v>
                </c:pt>
                <c:pt idx="146">
                  <c:v>8.4822000088539753E-3</c:v>
                </c:pt>
                <c:pt idx="147">
                  <c:v>8.5441902320925796E-3</c:v>
                </c:pt>
                <c:pt idx="148">
                  <c:v>8.6062410103297047E-3</c:v>
                </c:pt>
                <c:pt idx="149">
                  <c:v>8.668352343565347E-3</c:v>
                </c:pt>
                <c:pt idx="150">
                  <c:v>8.7305242317995049E-3</c:v>
                </c:pt>
              </c:numCache>
            </c:numRef>
          </c:yVal>
          <c:smooth val="1"/>
          <c:extLst>
            <c:ext xmlns:c16="http://schemas.microsoft.com/office/drawing/2014/chart" uri="{C3380CC4-5D6E-409C-BE32-E72D297353CC}">
              <c16:uniqueId val="{00000001-8AEF-4CD2-9E91-5056CF00EB36}"/>
            </c:ext>
          </c:extLst>
        </c:ser>
        <c:ser>
          <c:idx val="2"/>
          <c:order val="2"/>
          <c:tx>
            <c:v>Diode</c:v>
          </c:tx>
          <c:marker>
            <c:symbol val="none"/>
          </c:marker>
          <c:xVal>
            <c:numRef>
              <c:f>Eff_vs_IOUT!$S$7:$S$157</c:f>
              <c:numCache>
                <c:formatCode>General</c:formatCode>
                <c:ptCount val="151"/>
                <c:pt idx="0">
                  <c:v>0</c:v>
                </c:pt>
                <c:pt idx="1">
                  <c:v>2.24E-4</c:v>
                </c:pt>
                <c:pt idx="2">
                  <c:v>4.4799999999999999E-4</c:v>
                </c:pt>
                <c:pt idx="3">
                  <c:v>6.7199999999999996E-4</c:v>
                </c:pt>
                <c:pt idx="4">
                  <c:v>8.9599999999999999E-4</c:v>
                </c:pt>
                <c:pt idx="5">
                  <c:v>1.1199999999999999E-3</c:v>
                </c:pt>
                <c:pt idx="6">
                  <c:v>1.3439999999999999E-3</c:v>
                </c:pt>
                <c:pt idx="7">
                  <c:v>1.5679999999999999E-3</c:v>
                </c:pt>
                <c:pt idx="8">
                  <c:v>1.792E-3</c:v>
                </c:pt>
                <c:pt idx="9">
                  <c:v>2.016E-3</c:v>
                </c:pt>
                <c:pt idx="10">
                  <c:v>2.2399999999999998E-3</c:v>
                </c:pt>
                <c:pt idx="11">
                  <c:v>2.464E-3</c:v>
                </c:pt>
                <c:pt idx="12">
                  <c:v>2.6879999999999999E-3</c:v>
                </c:pt>
                <c:pt idx="13">
                  <c:v>2.9120000000000001E-3</c:v>
                </c:pt>
                <c:pt idx="14">
                  <c:v>3.1359999999999999E-3</c:v>
                </c:pt>
                <c:pt idx="15">
                  <c:v>3.3600000000000001E-3</c:v>
                </c:pt>
                <c:pt idx="16">
                  <c:v>3.5839999999999999E-3</c:v>
                </c:pt>
                <c:pt idx="17">
                  <c:v>3.8079999999999998E-3</c:v>
                </c:pt>
                <c:pt idx="18">
                  <c:v>4.032E-3</c:v>
                </c:pt>
                <c:pt idx="19">
                  <c:v>4.2560000000000002E-3</c:v>
                </c:pt>
                <c:pt idx="20">
                  <c:v>4.4799999999999996E-3</c:v>
                </c:pt>
                <c:pt idx="21">
                  <c:v>4.7039999999999998E-3</c:v>
                </c:pt>
                <c:pt idx="22">
                  <c:v>4.9280000000000001E-3</c:v>
                </c:pt>
                <c:pt idx="23">
                  <c:v>5.1520000000000003E-3</c:v>
                </c:pt>
                <c:pt idx="24">
                  <c:v>5.3759999999999997E-3</c:v>
                </c:pt>
                <c:pt idx="25">
                  <c:v>5.5999999999999999E-3</c:v>
                </c:pt>
                <c:pt idx="26">
                  <c:v>5.8240000000000002E-3</c:v>
                </c:pt>
                <c:pt idx="27">
                  <c:v>6.0479999999999996E-3</c:v>
                </c:pt>
                <c:pt idx="28">
                  <c:v>6.2719999999999998E-3</c:v>
                </c:pt>
                <c:pt idx="29">
                  <c:v>6.496E-3</c:v>
                </c:pt>
                <c:pt idx="30">
                  <c:v>6.7200000000000003E-3</c:v>
                </c:pt>
                <c:pt idx="31">
                  <c:v>6.9439999999999997E-3</c:v>
                </c:pt>
                <c:pt idx="32">
                  <c:v>7.1679999999999999E-3</c:v>
                </c:pt>
                <c:pt idx="33">
                  <c:v>7.3920000000000001E-3</c:v>
                </c:pt>
                <c:pt idx="34">
                  <c:v>7.6159999999999995E-3</c:v>
                </c:pt>
                <c:pt idx="35">
                  <c:v>7.8399999999999997E-3</c:v>
                </c:pt>
                <c:pt idx="36">
                  <c:v>8.064E-3</c:v>
                </c:pt>
                <c:pt idx="37">
                  <c:v>8.2880000000000002E-3</c:v>
                </c:pt>
                <c:pt idx="38">
                  <c:v>8.5120000000000005E-3</c:v>
                </c:pt>
                <c:pt idx="39">
                  <c:v>8.7360000000000007E-3</c:v>
                </c:pt>
                <c:pt idx="40">
                  <c:v>8.9599999999999992E-3</c:v>
                </c:pt>
                <c:pt idx="41">
                  <c:v>9.1839999999999995E-3</c:v>
                </c:pt>
                <c:pt idx="42">
                  <c:v>9.4079999999999997E-3</c:v>
                </c:pt>
                <c:pt idx="43">
                  <c:v>9.6319999999999999E-3</c:v>
                </c:pt>
                <c:pt idx="44">
                  <c:v>9.8560000000000002E-3</c:v>
                </c:pt>
                <c:pt idx="45">
                  <c:v>1.008E-2</c:v>
                </c:pt>
                <c:pt idx="46">
                  <c:v>1.0304000000000001E-2</c:v>
                </c:pt>
                <c:pt idx="47">
                  <c:v>1.0527999999999999E-2</c:v>
                </c:pt>
                <c:pt idx="48">
                  <c:v>1.0751999999999999E-2</c:v>
                </c:pt>
                <c:pt idx="49">
                  <c:v>1.0976E-2</c:v>
                </c:pt>
                <c:pt idx="50">
                  <c:v>1.12E-2</c:v>
                </c:pt>
                <c:pt idx="51">
                  <c:v>1.1424E-2</c:v>
                </c:pt>
                <c:pt idx="52">
                  <c:v>1.1648E-2</c:v>
                </c:pt>
                <c:pt idx="53">
                  <c:v>1.1872000000000001E-2</c:v>
                </c:pt>
                <c:pt idx="54">
                  <c:v>1.2095999999999999E-2</c:v>
                </c:pt>
                <c:pt idx="55">
                  <c:v>1.2319999999999999E-2</c:v>
                </c:pt>
                <c:pt idx="56">
                  <c:v>1.2544E-2</c:v>
                </c:pt>
                <c:pt idx="57">
                  <c:v>1.2768E-2</c:v>
                </c:pt>
                <c:pt idx="58">
                  <c:v>1.2992E-2</c:v>
                </c:pt>
                <c:pt idx="59">
                  <c:v>1.3216E-2</c:v>
                </c:pt>
                <c:pt idx="60">
                  <c:v>1.3440000000000001E-2</c:v>
                </c:pt>
                <c:pt idx="61">
                  <c:v>1.3663999999999999E-2</c:v>
                </c:pt>
                <c:pt idx="62">
                  <c:v>1.3887999999999999E-2</c:v>
                </c:pt>
                <c:pt idx="63">
                  <c:v>1.4112E-2</c:v>
                </c:pt>
                <c:pt idx="64">
                  <c:v>1.4336E-2</c:v>
                </c:pt>
                <c:pt idx="65">
                  <c:v>1.456E-2</c:v>
                </c:pt>
                <c:pt idx="66">
                  <c:v>1.4784E-2</c:v>
                </c:pt>
                <c:pt idx="67">
                  <c:v>1.5008000000000001E-2</c:v>
                </c:pt>
                <c:pt idx="68">
                  <c:v>1.5231999999999999E-2</c:v>
                </c:pt>
                <c:pt idx="69">
                  <c:v>1.5455999999999999E-2</c:v>
                </c:pt>
                <c:pt idx="70">
                  <c:v>1.5679999999999999E-2</c:v>
                </c:pt>
                <c:pt idx="71">
                  <c:v>1.5904000000000001E-2</c:v>
                </c:pt>
                <c:pt idx="72">
                  <c:v>1.6128E-2</c:v>
                </c:pt>
                <c:pt idx="73">
                  <c:v>1.6351999999999998E-2</c:v>
                </c:pt>
                <c:pt idx="74">
                  <c:v>1.6576E-2</c:v>
                </c:pt>
                <c:pt idx="75">
                  <c:v>1.6799999999999999E-2</c:v>
                </c:pt>
                <c:pt idx="76">
                  <c:v>1.7024000000000001E-2</c:v>
                </c:pt>
                <c:pt idx="77">
                  <c:v>1.7247999999999999E-2</c:v>
                </c:pt>
                <c:pt idx="78">
                  <c:v>1.7472000000000001E-2</c:v>
                </c:pt>
                <c:pt idx="79">
                  <c:v>1.7696E-2</c:v>
                </c:pt>
                <c:pt idx="80">
                  <c:v>1.7919999999999998E-2</c:v>
                </c:pt>
                <c:pt idx="81">
                  <c:v>1.8144E-2</c:v>
                </c:pt>
                <c:pt idx="82">
                  <c:v>1.8367999999999999E-2</c:v>
                </c:pt>
                <c:pt idx="83">
                  <c:v>1.8592000000000001E-2</c:v>
                </c:pt>
                <c:pt idx="84">
                  <c:v>1.8815999999999999E-2</c:v>
                </c:pt>
                <c:pt idx="85">
                  <c:v>1.9040000000000001E-2</c:v>
                </c:pt>
                <c:pt idx="86">
                  <c:v>1.9264E-2</c:v>
                </c:pt>
                <c:pt idx="87">
                  <c:v>1.9487999999999998E-2</c:v>
                </c:pt>
                <c:pt idx="88">
                  <c:v>1.9712E-2</c:v>
                </c:pt>
                <c:pt idx="89">
                  <c:v>1.9935999999999999E-2</c:v>
                </c:pt>
                <c:pt idx="90">
                  <c:v>2.0160000000000001E-2</c:v>
                </c:pt>
                <c:pt idx="91">
                  <c:v>2.0383999999999999E-2</c:v>
                </c:pt>
                <c:pt idx="92">
                  <c:v>2.0608000000000001E-2</c:v>
                </c:pt>
                <c:pt idx="93">
                  <c:v>2.0832E-2</c:v>
                </c:pt>
                <c:pt idx="94">
                  <c:v>2.1055999999999998E-2</c:v>
                </c:pt>
                <c:pt idx="95">
                  <c:v>2.128E-2</c:v>
                </c:pt>
                <c:pt idx="96">
                  <c:v>2.1503999999999999E-2</c:v>
                </c:pt>
                <c:pt idx="97">
                  <c:v>2.1728000000000001E-2</c:v>
                </c:pt>
                <c:pt idx="98">
                  <c:v>2.1951999999999999E-2</c:v>
                </c:pt>
                <c:pt idx="99">
                  <c:v>2.2176000000000001E-2</c:v>
                </c:pt>
                <c:pt idx="100">
                  <c:v>2.24E-2</c:v>
                </c:pt>
                <c:pt idx="101">
                  <c:v>2.2623999999999998E-2</c:v>
                </c:pt>
                <c:pt idx="102">
                  <c:v>2.2848E-2</c:v>
                </c:pt>
                <c:pt idx="103">
                  <c:v>2.3071999999999999E-2</c:v>
                </c:pt>
                <c:pt idx="104">
                  <c:v>2.3296000000000001E-2</c:v>
                </c:pt>
                <c:pt idx="105">
                  <c:v>2.3519999999999999E-2</c:v>
                </c:pt>
                <c:pt idx="106">
                  <c:v>2.3744000000000001E-2</c:v>
                </c:pt>
                <c:pt idx="107">
                  <c:v>2.3968E-2</c:v>
                </c:pt>
                <c:pt idx="108">
                  <c:v>2.4191999999999998E-2</c:v>
                </c:pt>
                <c:pt idx="109">
                  <c:v>2.4416E-2</c:v>
                </c:pt>
                <c:pt idx="110">
                  <c:v>2.4639999999999999E-2</c:v>
                </c:pt>
                <c:pt idx="111">
                  <c:v>2.4864000000000001E-2</c:v>
                </c:pt>
                <c:pt idx="112">
                  <c:v>2.5087999999999999E-2</c:v>
                </c:pt>
                <c:pt idx="113">
                  <c:v>2.5312000000000001E-2</c:v>
                </c:pt>
                <c:pt idx="114">
                  <c:v>2.5536E-2</c:v>
                </c:pt>
                <c:pt idx="115">
                  <c:v>2.5759999999999998E-2</c:v>
                </c:pt>
                <c:pt idx="116">
                  <c:v>2.5984E-2</c:v>
                </c:pt>
                <c:pt idx="117">
                  <c:v>2.6207999999999999E-2</c:v>
                </c:pt>
                <c:pt idx="118">
                  <c:v>2.6432000000000001E-2</c:v>
                </c:pt>
                <c:pt idx="119">
                  <c:v>2.6655999999999999E-2</c:v>
                </c:pt>
                <c:pt idx="120">
                  <c:v>2.6880000000000001E-2</c:v>
                </c:pt>
                <c:pt idx="121">
                  <c:v>2.7104E-2</c:v>
                </c:pt>
                <c:pt idx="122">
                  <c:v>2.7327999999999998E-2</c:v>
                </c:pt>
                <c:pt idx="123">
                  <c:v>2.7552E-2</c:v>
                </c:pt>
                <c:pt idx="124">
                  <c:v>2.7775999999999999E-2</c:v>
                </c:pt>
                <c:pt idx="125">
                  <c:v>2.8000000000000001E-2</c:v>
                </c:pt>
                <c:pt idx="126">
                  <c:v>2.8223999999999999E-2</c:v>
                </c:pt>
                <c:pt idx="127">
                  <c:v>2.8448000000000001E-2</c:v>
                </c:pt>
                <c:pt idx="128">
                  <c:v>2.8672E-2</c:v>
                </c:pt>
                <c:pt idx="129">
                  <c:v>2.8895999999999998E-2</c:v>
                </c:pt>
                <c:pt idx="130">
                  <c:v>2.912E-2</c:v>
                </c:pt>
                <c:pt idx="131">
                  <c:v>2.9343999999999999E-2</c:v>
                </c:pt>
                <c:pt idx="132">
                  <c:v>2.9568000000000001E-2</c:v>
                </c:pt>
                <c:pt idx="133">
                  <c:v>2.9791999999999999E-2</c:v>
                </c:pt>
                <c:pt idx="134">
                  <c:v>3.0016000000000001E-2</c:v>
                </c:pt>
                <c:pt idx="135">
                  <c:v>3.024E-2</c:v>
                </c:pt>
                <c:pt idx="136">
                  <c:v>3.0463999999999998E-2</c:v>
                </c:pt>
                <c:pt idx="137">
                  <c:v>3.0688E-2</c:v>
                </c:pt>
                <c:pt idx="138">
                  <c:v>3.0911999999999999E-2</c:v>
                </c:pt>
                <c:pt idx="139">
                  <c:v>3.1136E-2</c:v>
                </c:pt>
                <c:pt idx="140">
                  <c:v>3.1359999999999999E-2</c:v>
                </c:pt>
                <c:pt idx="141">
                  <c:v>3.1584000000000001E-2</c:v>
                </c:pt>
                <c:pt idx="142">
                  <c:v>3.1808000000000003E-2</c:v>
                </c:pt>
                <c:pt idx="143">
                  <c:v>3.2031999999999998E-2</c:v>
                </c:pt>
                <c:pt idx="144">
                  <c:v>3.2256E-2</c:v>
                </c:pt>
                <c:pt idx="145">
                  <c:v>3.2480000000000002E-2</c:v>
                </c:pt>
                <c:pt idx="146">
                  <c:v>3.2703999999999997E-2</c:v>
                </c:pt>
                <c:pt idx="147">
                  <c:v>3.2927999999999999E-2</c:v>
                </c:pt>
                <c:pt idx="148">
                  <c:v>3.3152000000000001E-2</c:v>
                </c:pt>
                <c:pt idx="149">
                  <c:v>3.3376000000000003E-2</c:v>
                </c:pt>
                <c:pt idx="150">
                  <c:v>3.3599999999999998E-2</c:v>
                </c:pt>
              </c:numCache>
            </c:numRef>
          </c:xVal>
          <c:yVal>
            <c:numRef>
              <c:f>Eff_vs_IOUT!$AN$7:$AN$157</c:f>
              <c:numCache>
                <c:formatCode>General</c:formatCode>
                <c:ptCount val="151"/>
                <c:pt idx="0">
                  <c:v>9.9132400000000009E-2</c:v>
                </c:pt>
                <c:pt idx="1">
                  <c:v>9.9338480000000007E-2</c:v>
                </c:pt>
                <c:pt idx="2">
                  <c:v>9.9544560000000004E-2</c:v>
                </c:pt>
                <c:pt idx="3">
                  <c:v>9.9750640000000015E-2</c:v>
                </c:pt>
                <c:pt idx="4">
                  <c:v>9.9956720000000013E-2</c:v>
                </c:pt>
                <c:pt idx="5">
                  <c:v>0.10016280000000001</c:v>
                </c:pt>
                <c:pt idx="6">
                  <c:v>0.10036888000000001</c:v>
                </c:pt>
                <c:pt idx="7">
                  <c:v>0.10057496</c:v>
                </c:pt>
                <c:pt idx="8">
                  <c:v>0.10078104000000002</c:v>
                </c:pt>
                <c:pt idx="9">
                  <c:v>0.10098712000000001</c:v>
                </c:pt>
                <c:pt idx="10">
                  <c:v>0.10119320000000001</c:v>
                </c:pt>
                <c:pt idx="11">
                  <c:v>0.10139928000000001</c:v>
                </c:pt>
                <c:pt idx="12">
                  <c:v>0.10160536000000001</c:v>
                </c:pt>
                <c:pt idx="13">
                  <c:v>0.10181144</c:v>
                </c:pt>
                <c:pt idx="14">
                  <c:v>0.10201752000000001</c:v>
                </c:pt>
                <c:pt idx="15">
                  <c:v>0.10222360000000001</c:v>
                </c:pt>
                <c:pt idx="16">
                  <c:v>0.10242968000000001</c:v>
                </c:pt>
                <c:pt idx="17">
                  <c:v>0.10263576000000001</c:v>
                </c:pt>
                <c:pt idx="18">
                  <c:v>0.10284184</c:v>
                </c:pt>
                <c:pt idx="19">
                  <c:v>0.10304792000000002</c:v>
                </c:pt>
                <c:pt idx="20">
                  <c:v>0.10325400000000001</c:v>
                </c:pt>
                <c:pt idx="21">
                  <c:v>0.10346008000000001</c:v>
                </c:pt>
                <c:pt idx="22">
                  <c:v>0.10366616000000001</c:v>
                </c:pt>
                <c:pt idx="23">
                  <c:v>0.10387224</c:v>
                </c:pt>
                <c:pt idx="24">
                  <c:v>0.10407832000000002</c:v>
                </c:pt>
                <c:pt idx="25">
                  <c:v>0.10428440000000001</c:v>
                </c:pt>
                <c:pt idx="26">
                  <c:v>0.10449048000000001</c:v>
                </c:pt>
                <c:pt idx="27">
                  <c:v>0.10469656000000001</c:v>
                </c:pt>
                <c:pt idx="28">
                  <c:v>0.10490264000000001</c:v>
                </c:pt>
                <c:pt idx="29">
                  <c:v>0.10510872000000002</c:v>
                </c:pt>
                <c:pt idx="30">
                  <c:v>0.10531480000000001</c:v>
                </c:pt>
                <c:pt idx="31">
                  <c:v>0.10552088000000001</c:v>
                </c:pt>
                <c:pt idx="32">
                  <c:v>0.10572696000000001</c:v>
                </c:pt>
                <c:pt idx="33">
                  <c:v>0.10593304000000001</c:v>
                </c:pt>
                <c:pt idx="34">
                  <c:v>0.10613912</c:v>
                </c:pt>
                <c:pt idx="35">
                  <c:v>0.10634520000000001</c:v>
                </c:pt>
                <c:pt idx="36">
                  <c:v>0.10655128000000001</c:v>
                </c:pt>
                <c:pt idx="37">
                  <c:v>0.10675736000000001</c:v>
                </c:pt>
                <c:pt idx="38">
                  <c:v>0.10696344000000001</c:v>
                </c:pt>
                <c:pt idx="39">
                  <c:v>0.10716952000000002</c:v>
                </c:pt>
                <c:pt idx="40">
                  <c:v>0.10737560000000002</c:v>
                </c:pt>
                <c:pt idx="41">
                  <c:v>0.10758168000000001</c:v>
                </c:pt>
                <c:pt idx="42">
                  <c:v>0.10778776000000001</c:v>
                </c:pt>
                <c:pt idx="43">
                  <c:v>0.10799384000000001</c:v>
                </c:pt>
                <c:pt idx="44">
                  <c:v>0.10819992</c:v>
                </c:pt>
                <c:pt idx="45">
                  <c:v>0.10840600000000002</c:v>
                </c:pt>
                <c:pt idx="46">
                  <c:v>0.10861208000000001</c:v>
                </c:pt>
                <c:pt idx="47">
                  <c:v>0.10881816000000001</c:v>
                </c:pt>
                <c:pt idx="48">
                  <c:v>0.10902424000000001</c:v>
                </c:pt>
                <c:pt idx="49">
                  <c:v>0.10923032000000001</c:v>
                </c:pt>
                <c:pt idx="50">
                  <c:v>0.10943640000000002</c:v>
                </c:pt>
                <c:pt idx="51">
                  <c:v>0.10964248000000001</c:v>
                </c:pt>
                <c:pt idx="52">
                  <c:v>0.10984856000000001</c:v>
                </c:pt>
                <c:pt idx="53">
                  <c:v>0.11005464000000001</c:v>
                </c:pt>
                <c:pt idx="54">
                  <c:v>0.11026072000000001</c:v>
                </c:pt>
                <c:pt idx="55">
                  <c:v>0.1104668</c:v>
                </c:pt>
                <c:pt idx="56">
                  <c:v>0.11067288000000002</c:v>
                </c:pt>
                <c:pt idx="57">
                  <c:v>0.11087896000000001</c:v>
                </c:pt>
                <c:pt idx="58">
                  <c:v>0.11108504000000001</c:v>
                </c:pt>
                <c:pt idx="59">
                  <c:v>0.11129112000000001</c:v>
                </c:pt>
                <c:pt idx="60">
                  <c:v>0.1114972</c:v>
                </c:pt>
                <c:pt idx="61">
                  <c:v>0.11170328000000002</c:v>
                </c:pt>
                <c:pt idx="62">
                  <c:v>0.11190936000000001</c:v>
                </c:pt>
                <c:pt idx="63">
                  <c:v>0.11211544000000001</c:v>
                </c:pt>
                <c:pt idx="64">
                  <c:v>0.11232152000000001</c:v>
                </c:pt>
                <c:pt idx="65">
                  <c:v>0.11252760000000001</c:v>
                </c:pt>
                <c:pt idx="66">
                  <c:v>0.11273368</c:v>
                </c:pt>
                <c:pt idx="67">
                  <c:v>0.11293976000000001</c:v>
                </c:pt>
                <c:pt idx="68">
                  <c:v>0.11314584000000001</c:v>
                </c:pt>
                <c:pt idx="69">
                  <c:v>0.11335192000000001</c:v>
                </c:pt>
                <c:pt idx="70">
                  <c:v>0.11355800000000001</c:v>
                </c:pt>
                <c:pt idx="71">
                  <c:v>0.11376408000000002</c:v>
                </c:pt>
                <c:pt idx="72">
                  <c:v>0.11397016000000001</c:v>
                </c:pt>
                <c:pt idx="73">
                  <c:v>0.11417624000000001</c:v>
                </c:pt>
                <c:pt idx="74">
                  <c:v>0.11438232000000001</c:v>
                </c:pt>
                <c:pt idx="75">
                  <c:v>0.11458840000000001</c:v>
                </c:pt>
                <c:pt idx="76">
                  <c:v>0.11479448</c:v>
                </c:pt>
                <c:pt idx="77">
                  <c:v>0.11500056</c:v>
                </c:pt>
                <c:pt idx="78">
                  <c:v>0.11520664000000001</c:v>
                </c:pt>
                <c:pt idx="79">
                  <c:v>0.11541272000000001</c:v>
                </c:pt>
                <c:pt idx="80">
                  <c:v>0.11561880000000001</c:v>
                </c:pt>
                <c:pt idx="81">
                  <c:v>0.11582488000000002</c:v>
                </c:pt>
                <c:pt idx="82">
                  <c:v>0.11603096000000002</c:v>
                </c:pt>
                <c:pt idx="83">
                  <c:v>0.11623704000000001</c:v>
                </c:pt>
                <c:pt idx="84">
                  <c:v>0.11644312000000001</c:v>
                </c:pt>
                <c:pt idx="85">
                  <c:v>0.11664920000000001</c:v>
                </c:pt>
                <c:pt idx="86">
                  <c:v>0.11685528000000001</c:v>
                </c:pt>
                <c:pt idx="87">
                  <c:v>0.11706136</c:v>
                </c:pt>
                <c:pt idx="88">
                  <c:v>0.11726744000000001</c:v>
                </c:pt>
                <c:pt idx="89">
                  <c:v>0.11747352000000001</c:v>
                </c:pt>
                <c:pt idx="90">
                  <c:v>0.11767960000000001</c:v>
                </c:pt>
                <c:pt idx="91">
                  <c:v>0.11788568000000001</c:v>
                </c:pt>
                <c:pt idx="92">
                  <c:v>0.11809176000000002</c:v>
                </c:pt>
                <c:pt idx="93">
                  <c:v>0.11829784000000002</c:v>
                </c:pt>
                <c:pt idx="94">
                  <c:v>0.11850392000000001</c:v>
                </c:pt>
                <c:pt idx="95">
                  <c:v>0.11871000000000001</c:v>
                </c:pt>
                <c:pt idx="96">
                  <c:v>0.11891608000000001</c:v>
                </c:pt>
                <c:pt idx="97">
                  <c:v>0.11912216</c:v>
                </c:pt>
                <c:pt idx="98">
                  <c:v>0.11932824</c:v>
                </c:pt>
                <c:pt idx="99">
                  <c:v>0.11953432000000001</c:v>
                </c:pt>
                <c:pt idx="100">
                  <c:v>0.11974040000000001</c:v>
                </c:pt>
                <c:pt idx="101">
                  <c:v>0.11994648000000001</c:v>
                </c:pt>
                <c:pt idx="102">
                  <c:v>0.12015256000000001</c:v>
                </c:pt>
                <c:pt idx="103">
                  <c:v>0.12035864000000002</c:v>
                </c:pt>
                <c:pt idx="104">
                  <c:v>0.12056472000000001</c:v>
                </c:pt>
                <c:pt idx="105">
                  <c:v>0.12077080000000001</c:v>
                </c:pt>
                <c:pt idx="106">
                  <c:v>0.12097688000000001</c:v>
                </c:pt>
                <c:pt idx="107">
                  <c:v>0.12118296000000001</c:v>
                </c:pt>
                <c:pt idx="108">
                  <c:v>0.12138904</c:v>
                </c:pt>
                <c:pt idx="109">
                  <c:v>0.12159512000000001</c:v>
                </c:pt>
                <c:pt idx="110">
                  <c:v>0.12180120000000001</c:v>
                </c:pt>
                <c:pt idx="111">
                  <c:v>0.12200728000000001</c:v>
                </c:pt>
                <c:pt idx="112">
                  <c:v>0.12221336000000001</c:v>
                </c:pt>
                <c:pt idx="113">
                  <c:v>0.12241944000000002</c:v>
                </c:pt>
                <c:pt idx="114">
                  <c:v>0.12262552000000002</c:v>
                </c:pt>
                <c:pt idx="115">
                  <c:v>0.12283160000000001</c:v>
                </c:pt>
                <c:pt idx="116">
                  <c:v>0.12303768000000001</c:v>
                </c:pt>
                <c:pt idx="117">
                  <c:v>0.12324376000000001</c:v>
                </c:pt>
                <c:pt idx="118">
                  <c:v>0.12344984000000001</c:v>
                </c:pt>
                <c:pt idx="119">
                  <c:v>0.12365592</c:v>
                </c:pt>
                <c:pt idx="120">
                  <c:v>0.12386200000000001</c:v>
                </c:pt>
                <c:pt idx="121">
                  <c:v>0.12406808000000001</c:v>
                </c:pt>
                <c:pt idx="122">
                  <c:v>0.12427416000000001</c:v>
                </c:pt>
                <c:pt idx="123">
                  <c:v>0.12448024000000001</c:v>
                </c:pt>
                <c:pt idx="124">
                  <c:v>0.12468632000000002</c:v>
                </c:pt>
                <c:pt idx="125">
                  <c:v>0.12489240000000001</c:v>
                </c:pt>
                <c:pt idx="126">
                  <c:v>0.12509848000000001</c:v>
                </c:pt>
                <c:pt idx="127">
                  <c:v>0.12530456000000001</c:v>
                </c:pt>
                <c:pt idx="128">
                  <c:v>0.12551064000000001</c:v>
                </c:pt>
                <c:pt idx="129">
                  <c:v>0.12571672</c:v>
                </c:pt>
                <c:pt idx="130">
                  <c:v>0.1259228</c:v>
                </c:pt>
                <c:pt idx="131">
                  <c:v>0.12612888</c:v>
                </c:pt>
                <c:pt idx="132">
                  <c:v>0.12633496</c:v>
                </c:pt>
                <c:pt idx="133">
                  <c:v>0.12654104000000002</c:v>
                </c:pt>
                <c:pt idx="134">
                  <c:v>0.12674712000000002</c:v>
                </c:pt>
                <c:pt idx="135">
                  <c:v>0.12695320000000002</c:v>
                </c:pt>
                <c:pt idx="136">
                  <c:v>0.12715928000000001</c:v>
                </c:pt>
                <c:pt idx="137">
                  <c:v>0.12736536000000001</c:v>
                </c:pt>
                <c:pt idx="138">
                  <c:v>0.12757144000000001</c:v>
                </c:pt>
                <c:pt idx="139">
                  <c:v>0.12777752000000001</c:v>
                </c:pt>
                <c:pt idx="140">
                  <c:v>0.1279836</c:v>
                </c:pt>
                <c:pt idx="141">
                  <c:v>0.12818968</c:v>
                </c:pt>
                <c:pt idx="142">
                  <c:v>0.12839576000000003</c:v>
                </c:pt>
                <c:pt idx="143">
                  <c:v>0.12860184000000002</c:v>
                </c:pt>
                <c:pt idx="144">
                  <c:v>0.12880792000000002</c:v>
                </c:pt>
                <c:pt idx="145">
                  <c:v>0.12901400000000002</c:v>
                </c:pt>
                <c:pt idx="146">
                  <c:v>0.12922008000000001</c:v>
                </c:pt>
                <c:pt idx="147">
                  <c:v>0.12942616000000001</c:v>
                </c:pt>
                <c:pt idx="148">
                  <c:v>0.12963224000000001</c:v>
                </c:pt>
                <c:pt idx="149">
                  <c:v>0.12983832000000001</c:v>
                </c:pt>
                <c:pt idx="150">
                  <c:v>0.1300444</c:v>
                </c:pt>
              </c:numCache>
            </c:numRef>
          </c:yVal>
          <c:smooth val="1"/>
          <c:extLst>
            <c:ext xmlns:c16="http://schemas.microsoft.com/office/drawing/2014/chart" uri="{C3380CC4-5D6E-409C-BE32-E72D297353CC}">
              <c16:uniqueId val="{00000002-8AEF-4CD2-9E91-5056CF00EB36}"/>
            </c:ext>
          </c:extLst>
        </c:ser>
        <c:ser>
          <c:idx val="3"/>
          <c:order val="3"/>
          <c:tx>
            <c:v>RCS</c:v>
          </c:tx>
          <c:marker>
            <c:symbol val="none"/>
          </c:marker>
          <c:xVal>
            <c:numRef>
              <c:f>Eff_vs_IOUT!$S$7:$S$157</c:f>
              <c:numCache>
                <c:formatCode>General</c:formatCode>
                <c:ptCount val="151"/>
                <c:pt idx="0">
                  <c:v>0</c:v>
                </c:pt>
                <c:pt idx="1">
                  <c:v>2.24E-4</c:v>
                </c:pt>
                <c:pt idx="2">
                  <c:v>4.4799999999999999E-4</c:v>
                </c:pt>
                <c:pt idx="3">
                  <c:v>6.7199999999999996E-4</c:v>
                </c:pt>
                <c:pt idx="4">
                  <c:v>8.9599999999999999E-4</c:v>
                </c:pt>
                <c:pt idx="5">
                  <c:v>1.1199999999999999E-3</c:v>
                </c:pt>
                <c:pt idx="6">
                  <c:v>1.3439999999999999E-3</c:v>
                </c:pt>
                <c:pt idx="7">
                  <c:v>1.5679999999999999E-3</c:v>
                </c:pt>
                <c:pt idx="8">
                  <c:v>1.792E-3</c:v>
                </c:pt>
                <c:pt idx="9">
                  <c:v>2.016E-3</c:v>
                </c:pt>
                <c:pt idx="10">
                  <c:v>2.2399999999999998E-3</c:v>
                </c:pt>
                <c:pt idx="11">
                  <c:v>2.464E-3</c:v>
                </c:pt>
                <c:pt idx="12">
                  <c:v>2.6879999999999999E-3</c:v>
                </c:pt>
                <c:pt idx="13">
                  <c:v>2.9120000000000001E-3</c:v>
                </c:pt>
                <c:pt idx="14">
                  <c:v>3.1359999999999999E-3</c:v>
                </c:pt>
                <c:pt idx="15">
                  <c:v>3.3600000000000001E-3</c:v>
                </c:pt>
                <c:pt idx="16">
                  <c:v>3.5839999999999999E-3</c:v>
                </c:pt>
                <c:pt idx="17">
                  <c:v>3.8079999999999998E-3</c:v>
                </c:pt>
                <c:pt idx="18">
                  <c:v>4.032E-3</c:v>
                </c:pt>
                <c:pt idx="19">
                  <c:v>4.2560000000000002E-3</c:v>
                </c:pt>
                <c:pt idx="20">
                  <c:v>4.4799999999999996E-3</c:v>
                </c:pt>
                <c:pt idx="21">
                  <c:v>4.7039999999999998E-3</c:v>
                </c:pt>
                <c:pt idx="22">
                  <c:v>4.9280000000000001E-3</c:v>
                </c:pt>
                <c:pt idx="23">
                  <c:v>5.1520000000000003E-3</c:v>
                </c:pt>
                <c:pt idx="24">
                  <c:v>5.3759999999999997E-3</c:v>
                </c:pt>
                <c:pt idx="25">
                  <c:v>5.5999999999999999E-3</c:v>
                </c:pt>
                <c:pt idx="26">
                  <c:v>5.8240000000000002E-3</c:v>
                </c:pt>
                <c:pt idx="27">
                  <c:v>6.0479999999999996E-3</c:v>
                </c:pt>
                <c:pt idx="28">
                  <c:v>6.2719999999999998E-3</c:v>
                </c:pt>
                <c:pt idx="29">
                  <c:v>6.496E-3</c:v>
                </c:pt>
                <c:pt idx="30">
                  <c:v>6.7200000000000003E-3</c:v>
                </c:pt>
                <c:pt idx="31">
                  <c:v>6.9439999999999997E-3</c:v>
                </c:pt>
                <c:pt idx="32">
                  <c:v>7.1679999999999999E-3</c:v>
                </c:pt>
                <c:pt idx="33">
                  <c:v>7.3920000000000001E-3</c:v>
                </c:pt>
                <c:pt idx="34">
                  <c:v>7.6159999999999995E-3</c:v>
                </c:pt>
                <c:pt idx="35">
                  <c:v>7.8399999999999997E-3</c:v>
                </c:pt>
                <c:pt idx="36">
                  <c:v>8.064E-3</c:v>
                </c:pt>
                <c:pt idx="37">
                  <c:v>8.2880000000000002E-3</c:v>
                </c:pt>
                <c:pt idx="38">
                  <c:v>8.5120000000000005E-3</c:v>
                </c:pt>
                <c:pt idx="39">
                  <c:v>8.7360000000000007E-3</c:v>
                </c:pt>
                <c:pt idx="40">
                  <c:v>8.9599999999999992E-3</c:v>
                </c:pt>
                <c:pt idx="41">
                  <c:v>9.1839999999999995E-3</c:v>
                </c:pt>
                <c:pt idx="42">
                  <c:v>9.4079999999999997E-3</c:v>
                </c:pt>
                <c:pt idx="43">
                  <c:v>9.6319999999999999E-3</c:v>
                </c:pt>
                <c:pt idx="44">
                  <c:v>9.8560000000000002E-3</c:v>
                </c:pt>
                <c:pt idx="45">
                  <c:v>1.008E-2</c:v>
                </c:pt>
                <c:pt idx="46">
                  <c:v>1.0304000000000001E-2</c:v>
                </c:pt>
                <c:pt idx="47">
                  <c:v>1.0527999999999999E-2</c:v>
                </c:pt>
                <c:pt idx="48">
                  <c:v>1.0751999999999999E-2</c:v>
                </c:pt>
                <c:pt idx="49">
                  <c:v>1.0976E-2</c:v>
                </c:pt>
                <c:pt idx="50">
                  <c:v>1.12E-2</c:v>
                </c:pt>
                <c:pt idx="51">
                  <c:v>1.1424E-2</c:v>
                </c:pt>
                <c:pt idx="52">
                  <c:v>1.1648E-2</c:v>
                </c:pt>
                <c:pt idx="53">
                  <c:v>1.1872000000000001E-2</c:v>
                </c:pt>
                <c:pt idx="54">
                  <c:v>1.2095999999999999E-2</c:v>
                </c:pt>
                <c:pt idx="55">
                  <c:v>1.2319999999999999E-2</c:v>
                </c:pt>
                <c:pt idx="56">
                  <c:v>1.2544E-2</c:v>
                </c:pt>
                <c:pt idx="57">
                  <c:v>1.2768E-2</c:v>
                </c:pt>
                <c:pt idx="58">
                  <c:v>1.2992E-2</c:v>
                </c:pt>
                <c:pt idx="59">
                  <c:v>1.3216E-2</c:v>
                </c:pt>
                <c:pt idx="60">
                  <c:v>1.3440000000000001E-2</c:v>
                </c:pt>
                <c:pt idx="61">
                  <c:v>1.3663999999999999E-2</c:v>
                </c:pt>
                <c:pt idx="62">
                  <c:v>1.3887999999999999E-2</c:v>
                </c:pt>
                <c:pt idx="63">
                  <c:v>1.4112E-2</c:v>
                </c:pt>
                <c:pt idx="64">
                  <c:v>1.4336E-2</c:v>
                </c:pt>
                <c:pt idx="65">
                  <c:v>1.456E-2</c:v>
                </c:pt>
                <c:pt idx="66">
                  <c:v>1.4784E-2</c:v>
                </c:pt>
                <c:pt idx="67">
                  <c:v>1.5008000000000001E-2</c:v>
                </c:pt>
                <c:pt idx="68">
                  <c:v>1.5231999999999999E-2</c:v>
                </c:pt>
                <c:pt idx="69">
                  <c:v>1.5455999999999999E-2</c:v>
                </c:pt>
                <c:pt idx="70">
                  <c:v>1.5679999999999999E-2</c:v>
                </c:pt>
                <c:pt idx="71">
                  <c:v>1.5904000000000001E-2</c:v>
                </c:pt>
                <c:pt idx="72">
                  <c:v>1.6128E-2</c:v>
                </c:pt>
                <c:pt idx="73">
                  <c:v>1.6351999999999998E-2</c:v>
                </c:pt>
                <c:pt idx="74">
                  <c:v>1.6576E-2</c:v>
                </c:pt>
                <c:pt idx="75">
                  <c:v>1.6799999999999999E-2</c:v>
                </c:pt>
                <c:pt idx="76">
                  <c:v>1.7024000000000001E-2</c:v>
                </c:pt>
                <c:pt idx="77">
                  <c:v>1.7247999999999999E-2</c:v>
                </c:pt>
                <c:pt idx="78">
                  <c:v>1.7472000000000001E-2</c:v>
                </c:pt>
                <c:pt idx="79">
                  <c:v>1.7696E-2</c:v>
                </c:pt>
                <c:pt idx="80">
                  <c:v>1.7919999999999998E-2</c:v>
                </c:pt>
                <c:pt idx="81">
                  <c:v>1.8144E-2</c:v>
                </c:pt>
                <c:pt idx="82">
                  <c:v>1.8367999999999999E-2</c:v>
                </c:pt>
                <c:pt idx="83">
                  <c:v>1.8592000000000001E-2</c:v>
                </c:pt>
                <c:pt idx="84">
                  <c:v>1.8815999999999999E-2</c:v>
                </c:pt>
                <c:pt idx="85">
                  <c:v>1.9040000000000001E-2</c:v>
                </c:pt>
                <c:pt idx="86">
                  <c:v>1.9264E-2</c:v>
                </c:pt>
                <c:pt idx="87">
                  <c:v>1.9487999999999998E-2</c:v>
                </c:pt>
                <c:pt idx="88">
                  <c:v>1.9712E-2</c:v>
                </c:pt>
                <c:pt idx="89">
                  <c:v>1.9935999999999999E-2</c:v>
                </c:pt>
                <c:pt idx="90">
                  <c:v>2.0160000000000001E-2</c:v>
                </c:pt>
                <c:pt idx="91">
                  <c:v>2.0383999999999999E-2</c:v>
                </c:pt>
                <c:pt idx="92">
                  <c:v>2.0608000000000001E-2</c:v>
                </c:pt>
                <c:pt idx="93">
                  <c:v>2.0832E-2</c:v>
                </c:pt>
                <c:pt idx="94">
                  <c:v>2.1055999999999998E-2</c:v>
                </c:pt>
                <c:pt idx="95">
                  <c:v>2.128E-2</c:v>
                </c:pt>
                <c:pt idx="96">
                  <c:v>2.1503999999999999E-2</c:v>
                </c:pt>
                <c:pt idx="97">
                  <c:v>2.1728000000000001E-2</c:v>
                </c:pt>
                <c:pt idx="98">
                  <c:v>2.1951999999999999E-2</c:v>
                </c:pt>
                <c:pt idx="99">
                  <c:v>2.2176000000000001E-2</c:v>
                </c:pt>
                <c:pt idx="100">
                  <c:v>2.24E-2</c:v>
                </c:pt>
                <c:pt idx="101">
                  <c:v>2.2623999999999998E-2</c:v>
                </c:pt>
                <c:pt idx="102">
                  <c:v>2.2848E-2</c:v>
                </c:pt>
                <c:pt idx="103">
                  <c:v>2.3071999999999999E-2</c:v>
                </c:pt>
                <c:pt idx="104">
                  <c:v>2.3296000000000001E-2</c:v>
                </c:pt>
                <c:pt idx="105">
                  <c:v>2.3519999999999999E-2</c:v>
                </c:pt>
                <c:pt idx="106">
                  <c:v>2.3744000000000001E-2</c:v>
                </c:pt>
                <c:pt idx="107">
                  <c:v>2.3968E-2</c:v>
                </c:pt>
                <c:pt idx="108">
                  <c:v>2.4191999999999998E-2</c:v>
                </c:pt>
                <c:pt idx="109">
                  <c:v>2.4416E-2</c:v>
                </c:pt>
                <c:pt idx="110">
                  <c:v>2.4639999999999999E-2</c:v>
                </c:pt>
                <c:pt idx="111">
                  <c:v>2.4864000000000001E-2</c:v>
                </c:pt>
                <c:pt idx="112">
                  <c:v>2.5087999999999999E-2</c:v>
                </c:pt>
                <c:pt idx="113">
                  <c:v>2.5312000000000001E-2</c:v>
                </c:pt>
                <c:pt idx="114">
                  <c:v>2.5536E-2</c:v>
                </c:pt>
                <c:pt idx="115">
                  <c:v>2.5759999999999998E-2</c:v>
                </c:pt>
                <c:pt idx="116">
                  <c:v>2.5984E-2</c:v>
                </c:pt>
                <c:pt idx="117">
                  <c:v>2.6207999999999999E-2</c:v>
                </c:pt>
                <c:pt idx="118">
                  <c:v>2.6432000000000001E-2</c:v>
                </c:pt>
                <c:pt idx="119">
                  <c:v>2.6655999999999999E-2</c:v>
                </c:pt>
                <c:pt idx="120">
                  <c:v>2.6880000000000001E-2</c:v>
                </c:pt>
                <c:pt idx="121">
                  <c:v>2.7104E-2</c:v>
                </c:pt>
                <c:pt idx="122">
                  <c:v>2.7327999999999998E-2</c:v>
                </c:pt>
                <c:pt idx="123">
                  <c:v>2.7552E-2</c:v>
                </c:pt>
                <c:pt idx="124">
                  <c:v>2.7775999999999999E-2</c:v>
                </c:pt>
                <c:pt idx="125">
                  <c:v>2.8000000000000001E-2</c:v>
                </c:pt>
                <c:pt idx="126">
                  <c:v>2.8223999999999999E-2</c:v>
                </c:pt>
                <c:pt idx="127">
                  <c:v>2.8448000000000001E-2</c:v>
                </c:pt>
                <c:pt idx="128">
                  <c:v>2.8672E-2</c:v>
                </c:pt>
                <c:pt idx="129">
                  <c:v>2.8895999999999998E-2</c:v>
                </c:pt>
                <c:pt idx="130">
                  <c:v>2.912E-2</c:v>
                </c:pt>
                <c:pt idx="131">
                  <c:v>2.9343999999999999E-2</c:v>
                </c:pt>
                <c:pt idx="132">
                  <c:v>2.9568000000000001E-2</c:v>
                </c:pt>
                <c:pt idx="133">
                  <c:v>2.9791999999999999E-2</c:v>
                </c:pt>
                <c:pt idx="134">
                  <c:v>3.0016000000000001E-2</c:v>
                </c:pt>
                <c:pt idx="135">
                  <c:v>3.024E-2</c:v>
                </c:pt>
                <c:pt idx="136">
                  <c:v>3.0463999999999998E-2</c:v>
                </c:pt>
                <c:pt idx="137">
                  <c:v>3.0688E-2</c:v>
                </c:pt>
                <c:pt idx="138">
                  <c:v>3.0911999999999999E-2</c:v>
                </c:pt>
                <c:pt idx="139">
                  <c:v>3.1136E-2</c:v>
                </c:pt>
                <c:pt idx="140">
                  <c:v>3.1359999999999999E-2</c:v>
                </c:pt>
                <c:pt idx="141">
                  <c:v>3.1584000000000001E-2</c:v>
                </c:pt>
                <c:pt idx="142">
                  <c:v>3.1808000000000003E-2</c:v>
                </c:pt>
                <c:pt idx="143">
                  <c:v>3.2031999999999998E-2</c:v>
                </c:pt>
                <c:pt idx="144">
                  <c:v>3.2256E-2</c:v>
                </c:pt>
                <c:pt idx="145">
                  <c:v>3.2480000000000002E-2</c:v>
                </c:pt>
                <c:pt idx="146">
                  <c:v>3.2703999999999997E-2</c:v>
                </c:pt>
                <c:pt idx="147">
                  <c:v>3.2927999999999999E-2</c:v>
                </c:pt>
                <c:pt idx="148">
                  <c:v>3.3152000000000001E-2</c:v>
                </c:pt>
                <c:pt idx="149">
                  <c:v>3.3376000000000003E-2</c:v>
                </c:pt>
                <c:pt idx="150">
                  <c:v>3.3599999999999998E-2</c:v>
                </c:pt>
              </c:numCache>
            </c:numRef>
          </c:xVal>
          <c:yVal>
            <c:numRef>
              <c:f>Eff_vs_IOUT!$AO$7:$AO$157</c:f>
              <c:numCache>
                <c:formatCode>General</c:formatCode>
                <c:ptCount val="151"/>
                <c:pt idx="0">
                  <c:v>0</c:v>
                </c:pt>
                <c:pt idx="1">
                  <c:v>2.6668605571442618E-6</c:v>
                </c:pt>
                <c:pt idx="2">
                  <c:v>7.5430207377425664E-6</c:v>
                </c:pt>
                <c:pt idx="3">
                  <c:v>1.3857413945025907E-5</c:v>
                </c:pt>
                <c:pt idx="4">
                  <c:v>2.1334884457154098E-5</c:v>
                </c:pt>
                <c:pt idx="5">
                  <c:v>2.9816407461437651E-5</c:v>
                </c:pt>
                <c:pt idx="6">
                  <c:v>3.9194685480947393E-5</c:v>
                </c:pt>
                <c:pt idx="7">
                  <c:v>4.9390948708436124E-5</c:v>
                </c:pt>
                <c:pt idx="8">
                  <c:v>6.0344165901940525E-5</c:v>
                </c:pt>
                <c:pt idx="9">
                  <c:v>7.2005235042895113E-5</c:v>
                </c:pt>
                <c:pt idx="10">
                  <c:v>8.4333535626414919E-5</c:v>
                </c:pt>
                <c:pt idx="11">
                  <c:v>9.7294734198702384E-5</c:v>
                </c:pt>
                <c:pt idx="12">
                  <c:v>1.108593115602073E-4</c:v>
                </c:pt>
                <c:pt idx="13">
                  <c:v>1.2500153228284927E-4</c:v>
                </c:pt>
                <c:pt idx="14">
                  <c:v>1.3969869904388859E-4</c:v>
                </c:pt>
                <c:pt idx="15">
                  <c:v>1.5493059786715732E-4</c:v>
                </c:pt>
                <c:pt idx="16">
                  <c:v>1.7067907565723275E-4</c:v>
                </c:pt>
                <c:pt idx="17">
                  <c:v>1.8692771202028898E-4</c:v>
                </c:pt>
                <c:pt idx="18">
                  <c:v>2.0366155991904928E-4</c:v>
                </c:pt>
                <c:pt idx="19">
                  <c:v>2.2086693763702183E-4</c:v>
                </c:pt>
                <c:pt idx="20">
                  <c:v>2.3853125969150124E-4</c:v>
                </c:pt>
                <c:pt idx="21">
                  <c:v>2.566428977911194E-4</c:v>
                </c:pt>
                <c:pt idx="22">
                  <c:v>2.7519106530258061E-4</c:v>
                </c:pt>
                <c:pt idx="23">
                  <c:v>2.941657203493309E-4</c:v>
                </c:pt>
                <c:pt idx="24">
                  <c:v>3.1355748384757931E-4</c:v>
                </c:pt>
                <c:pt idx="25">
                  <c:v>3.3335756964303278E-4</c:v>
                </c:pt>
                <c:pt idx="26">
                  <c:v>3.5355772454364747E-4</c:v>
                </c:pt>
                <c:pt idx="27">
                  <c:v>3.7415017651569975E-4</c:v>
                </c:pt>
                <c:pt idx="28">
                  <c:v>3.9512758966748915E-4</c:v>
                </c:pt>
                <c:pt idx="29">
                  <c:v>4.164830249181835E-4</c:v>
                </c:pt>
                <c:pt idx="30">
                  <c:v>4.3820990546061231E-4</c:v>
                </c:pt>
                <c:pt idx="31">
                  <c:v>4.6030198629185004E-4</c:v>
                </c:pt>
                <c:pt idx="32">
                  <c:v>4.8275332721552425E-4</c:v>
                </c:pt>
                <c:pt idx="33">
                  <c:v>5.055582688231852E-4</c:v>
                </c:pt>
                <c:pt idx="34">
                  <c:v>5.2871141104493004E-4</c:v>
                </c:pt>
                <c:pt idx="35">
                  <c:v>5.5220759392634298E-4</c:v>
                </c:pt>
                <c:pt idx="36">
                  <c:v>5.760418803431609E-4</c:v>
                </c:pt>
                <c:pt idx="37">
                  <c:v>6.0020954040951194E-4</c:v>
                </c:pt>
                <c:pt idx="38">
                  <c:v>6.2470603737217777E-4</c:v>
                </c:pt>
                <c:pt idx="39">
                  <c:v>6.4952701481356878E-4</c:v>
                </c:pt>
                <c:pt idx="40">
                  <c:v>6.7466828501131935E-4</c:v>
                </c:pt>
                <c:pt idx="41">
                  <c:v>7.0012581832346781E-4</c:v>
                </c:pt>
                <c:pt idx="42">
                  <c:v>7.2589573348586607E-4</c:v>
                </c:pt>
                <c:pt idx="43">
                  <c:v>7.5197428872344932E-4</c:v>
                </c:pt>
                <c:pt idx="44">
                  <c:v>7.7835787358961908E-4</c:v>
                </c:pt>
                <c:pt idx="45">
                  <c:v>8.0504300145881665E-4</c:v>
                </c:pt>
                <c:pt idx="46">
                  <c:v>8.3202630260654966E-4</c:v>
                </c:pt>
                <c:pt idx="47">
                  <c:v>8.5930451781906472E-4</c:v>
                </c:pt>
                <c:pt idx="48">
                  <c:v>8.8687449248165805E-4</c:v>
                </c:pt>
                <c:pt idx="49">
                  <c:v>9.147331711004818E-4</c:v>
                </c:pt>
                <c:pt idx="50">
                  <c:v>9.4287759221782117E-4</c:v>
                </c:pt>
                <c:pt idx="51">
                  <c:v>9.7130488368523228E-4</c:v>
                </c:pt>
                <c:pt idx="52">
                  <c:v>1.0000122582627944E-3</c:v>
                </c:pt>
                <c:pt idx="53">
                  <c:v>1.0289970095160987E-3</c:v>
                </c:pt>
                <c:pt idx="54">
                  <c:v>1.0582565079855794E-3</c:v>
                </c:pt>
                <c:pt idx="55">
                  <c:v>1.0877881976053606E-3</c:v>
                </c:pt>
                <c:pt idx="56">
                  <c:v>1.1175895923511089E-3</c:v>
                </c:pt>
                <c:pt idx="57">
                  <c:v>1.1476582730984058E-3</c:v>
                </c:pt>
                <c:pt idx="58">
                  <c:v>1.1779918846749335E-3</c:v>
                </c:pt>
                <c:pt idx="59">
                  <c:v>1.2085881330913624E-3</c:v>
                </c:pt>
                <c:pt idx="60">
                  <c:v>1.239444782937259E-3</c:v>
                </c:pt>
                <c:pt idx="61">
                  <c:v>1.270559654929577E-3</c:v>
                </c:pt>
                <c:pt idx="62">
                  <c:v>1.3019306236024173E-3</c:v>
                </c:pt>
                <c:pt idx="63">
                  <c:v>1.3335556151277755E-3</c:v>
                </c:pt>
                <c:pt idx="64">
                  <c:v>1.3654326052578622E-3</c:v>
                </c:pt>
                <c:pt idx="65">
                  <c:v>1.3975596173804274E-3</c:v>
                </c:pt>
                <c:pt idx="66">
                  <c:v>1.4299347206792232E-3</c:v>
                </c:pt>
                <c:pt idx="67">
                  <c:v>1.462556028392412E-3</c:v>
                </c:pt>
                <c:pt idx="68">
                  <c:v>1.4954216961623119E-3</c:v>
                </c:pt>
                <c:pt idx="69">
                  <c:v>1.5285299204704167E-3</c:v>
                </c:pt>
                <c:pt idx="70">
                  <c:v>1.5618789371520975E-3</c:v>
                </c:pt>
                <c:pt idx="71">
                  <c:v>1.595467019985861E-3</c:v>
                </c:pt>
                <c:pt idx="72">
                  <c:v>1.6292924793523944E-3</c:v>
                </c:pt>
                <c:pt idx="73">
                  <c:v>1.6633536609590514E-3</c:v>
                </c:pt>
                <c:pt idx="74">
                  <c:v>1.6976489446257086E-3</c:v>
                </c:pt>
                <c:pt idx="75">
                  <c:v>1.7321767431282384E-3</c:v>
                </c:pt>
                <c:pt idx="76">
                  <c:v>1.7669355010961748E-3</c:v>
                </c:pt>
                <c:pt idx="77">
                  <c:v>1.8019236939612834E-3</c:v>
                </c:pt>
                <c:pt idx="78">
                  <c:v>1.8371398269541178E-3</c:v>
                </c:pt>
                <c:pt idx="79">
                  <c:v>1.8725824341457335E-3</c:v>
                </c:pt>
                <c:pt idx="80">
                  <c:v>1.9082500775320097E-3</c:v>
                </c:pt>
                <c:pt idx="81">
                  <c:v>1.9441413461581676E-3</c:v>
                </c:pt>
                <c:pt idx="82">
                  <c:v>1.9802548552812198E-3</c:v>
                </c:pt>
                <c:pt idx="83">
                  <c:v>2.0165892455683123E-3</c:v>
                </c:pt>
                <c:pt idx="84">
                  <c:v>2.0531431823289548E-3</c:v>
                </c:pt>
                <c:pt idx="85">
                  <c:v>2.0899153547793538E-3</c:v>
                </c:pt>
                <c:pt idx="86">
                  <c:v>2.1269044753371262E-3</c:v>
                </c:pt>
                <c:pt idx="87">
                  <c:v>2.1641092789448052E-3</c:v>
                </c:pt>
                <c:pt idx="88">
                  <c:v>2.2015285224206453E-3</c:v>
                </c:pt>
                <c:pt idx="89">
                  <c:v>2.2391609838353188E-3</c:v>
                </c:pt>
                <c:pt idx="90">
                  <c:v>2.2770054619132051E-3</c:v>
                </c:pt>
                <c:pt idx="91">
                  <c:v>2.3150607754570183E-3</c:v>
                </c:pt>
                <c:pt idx="92">
                  <c:v>2.3533257627946468E-3</c:v>
                </c:pt>
                <c:pt idx="93">
                  <c:v>2.3917992812470708E-3</c:v>
                </c:pt>
                <c:pt idx="94">
                  <c:v>2.430480206616389E-3</c:v>
                </c:pt>
                <c:pt idx="95">
                  <c:v>2.4693674326929389E-3</c:v>
                </c:pt>
                <c:pt idx="96">
                  <c:v>2.5084598707806331E-3</c:v>
                </c:pt>
                <c:pt idx="97">
                  <c:v>2.5477564492396589E-3</c:v>
                </c:pt>
                <c:pt idx="98">
                  <c:v>2.5872561130456983E-3</c:v>
                </c:pt>
                <c:pt idx="99">
                  <c:v>2.626957823364964E-3</c:v>
                </c:pt>
                <c:pt idx="100">
                  <c:v>3.1364742670406194E-3</c:v>
                </c:pt>
                <c:pt idx="101">
                  <c:v>3.1861540821517299E-3</c:v>
                </c:pt>
                <c:pt idx="102">
                  <c:v>3.2363282237813603E-3</c:v>
                </c:pt>
                <c:pt idx="103">
                  <c:v>3.2869966919295101E-3</c:v>
                </c:pt>
                <c:pt idx="104">
                  <c:v>3.3381594865961768E-3</c:v>
                </c:pt>
                <c:pt idx="105">
                  <c:v>3.3898166077813573E-3</c:v>
                </c:pt>
                <c:pt idx="106">
                  <c:v>3.4419680554850624E-3</c:v>
                </c:pt>
                <c:pt idx="107">
                  <c:v>3.4946138297072839E-3</c:v>
                </c:pt>
                <c:pt idx="108">
                  <c:v>3.5477539304480253E-3</c:v>
                </c:pt>
                <c:pt idx="109">
                  <c:v>3.6013883577072844E-3</c:v>
                </c:pt>
                <c:pt idx="110">
                  <c:v>3.6555171114850639E-3</c:v>
                </c:pt>
                <c:pt idx="111">
                  <c:v>3.7101401917813605E-3</c:v>
                </c:pt>
                <c:pt idx="112">
                  <c:v>3.765257598596175E-3</c:v>
                </c:pt>
                <c:pt idx="113">
                  <c:v>3.8208693319295075E-3</c:v>
                </c:pt>
                <c:pt idx="114">
                  <c:v>3.8769753917813612E-3</c:v>
                </c:pt>
                <c:pt idx="115">
                  <c:v>3.9335757781517305E-3</c:v>
                </c:pt>
                <c:pt idx="116">
                  <c:v>3.9906704910406179E-3</c:v>
                </c:pt>
                <c:pt idx="117">
                  <c:v>4.048259530448026E-3</c:v>
                </c:pt>
                <c:pt idx="118">
                  <c:v>4.1063428963739514E-3</c:v>
                </c:pt>
                <c:pt idx="119">
                  <c:v>4.1649205888183976E-3</c:v>
                </c:pt>
                <c:pt idx="120">
                  <c:v>4.2239926077813593E-3</c:v>
                </c:pt>
                <c:pt idx="121">
                  <c:v>4.2835589532628409E-3</c:v>
                </c:pt>
                <c:pt idx="122">
                  <c:v>4.3436196252628415E-3</c:v>
                </c:pt>
                <c:pt idx="123">
                  <c:v>4.4041746237813593E-3</c:v>
                </c:pt>
                <c:pt idx="124">
                  <c:v>4.465223948818397E-3</c:v>
                </c:pt>
                <c:pt idx="125">
                  <c:v>4.5267676003739521E-3</c:v>
                </c:pt>
                <c:pt idx="126">
                  <c:v>4.5888055784480252E-3</c:v>
                </c:pt>
                <c:pt idx="127">
                  <c:v>4.6513378830406165E-3</c:v>
                </c:pt>
                <c:pt idx="128">
                  <c:v>4.7143645141517285E-3</c:v>
                </c:pt>
                <c:pt idx="129">
                  <c:v>4.7778854717813578E-3</c:v>
                </c:pt>
                <c:pt idx="130">
                  <c:v>4.8419007559295088E-3</c:v>
                </c:pt>
                <c:pt idx="131">
                  <c:v>4.9064103665961744E-3</c:v>
                </c:pt>
                <c:pt idx="132">
                  <c:v>4.9714143037813607E-3</c:v>
                </c:pt>
                <c:pt idx="133">
                  <c:v>5.0369125674850617E-3</c:v>
                </c:pt>
                <c:pt idx="134">
                  <c:v>5.1029051577072887E-3</c:v>
                </c:pt>
                <c:pt idx="135">
                  <c:v>5.169392074448026E-3</c:v>
                </c:pt>
                <c:pt idx="136">
                  <c:v>5.236373317707284E-3</c:v>
                </c:pt>
                <c:pt idx="137">
                  <c:v>5.3038488874850645E-3</c:v>
                </c:pt>
                <c:pt idx="138">
                  <c:v>5.3718187837813571E-3</c:v>
                </c:pt>
                <c:pt idx="139">
                  <c:v>5.440283006596173E-3</c:v>
                </c:pt>
                <c:pt idx="140">
                  <c:v>5.5092415559295079E-3</c:v>
                </c:pt>
                <c:pt idx="141">
                  <c:v>5.5786944317813602E-3</c:v>
                </c:pt>
                <c:pt idx="142">
                  <c:v>5.6486416341517296E-3</c:v>
                </c:pt>
                <c:pt idx="143">
                  <c:v>5.7190831630406173E-3</c:v>
                </c:pt>
                <c:pt idx="144">
                  <c:v>5.7900190184480265E-3</c:v>
                </c:pt>
                <c:pt idx="145">
                  <c:v>5.861449200373953E-3</c:v>
                </c:pt>
                <c:pt idx="146">
                  <c:v>5.9333737088183959E-3</c:v>
                </c:pt>
                <c:pt idx="147">
                  <c:v>6.0057925437813579E-3</c:v>
                </c:pt>
                <c:pt idx="148">
                  <c:v>6.0787057052628388E-3</c:v>
                </c:pt>
                <c:pt idx="149">
                  <c:v>6.1521131932628396E-3</c:v>
                </c:pt>
                <c:pt idx="150">
                  <c:v>6.2260150077813612E-3</c:v>
                </c:pt>
              </c:numCache>
            </c:numRef>
          </c:yVal>
          <c:smooth val="1"/>
          <c:extLst>
            <c:ext xmlns:c16="http://schemas.microsoft.com/office/drawing/2014/chart" uri="{C3380CC4-5D6E-409C-BE32-E72D297353CC}">
              <c16:uniqueId val="{00000003-8AEF-4CD2-9E91-5056CF00EB36}"/>
            </c:ext>
          </c:extLst>
        </c:ser>
        <c:dLbls>
          <c:showLegendKey val="0"/>
          <c:showVal val="0"/>
          <c:showCatName val="0"/>
          <c:showSerName val="0"/>
          <c:showPercent val="0"/>
          <c:showBubbleSize val="0"/>
        </c:dLbls>
        <c:axId val="145058432"/>
        <c:axId val="145056896"/>
      </c:scatterChart>
      <c:valAx>
        <c:axId val="145036800"/>
        <c:scaling>
          <c:orientation val="minMax"/>
        </c:scaling>
        <c:delete val="0"/>
        <c:axPos val="b"/>
        <c:majorGridlines/>
        <c:numFmt formatCode="General" sourceLinked="1"/>
        <c:majorTickMark val="out"/>
        <c:minorTickMark val="none"/>
        <c:tickLblPos val="nextTo"/>
        <c:crossAx val="145038336"/>
        <c:crosses val="autoZero"/>
        <c:crossBetween val="midCat"/>
      </c:valAx>
      <c:valAx>
        <c:axId val="145038336"/>
        <c:scaling>
          <c:orientation val="minMax"/>
          <c:max val="100"/>
        </c:scaling>
        <c:delete val="0"/>
        <c:axPos val="l"/>
        <c:majorGridlines/>
        <c:title>
          <c:overlay val="0"/>
          <c:txPr>
            <a:bodyPr rot="-5400000" vert="horz"/>
            <a:lstStyle/>
            <a:p>
              <a:pPr>
                <a:defRPr/>
              </a:pPr>
              <a:endParaRPr lang="en-US"/>
            </a:p>
          </c:txPr>
        </c:title>
        <c:numFmt formatCode="General" sourceLinked="1"/>
        <c:majorTickMark val="out"/>
        <c:minorTickMark val="none"/>
        <c:tickLblPos val="nextTo"/>
        <c:crossAx val="145036800"/>
        <c:crosses val="autoZero"/>
        <c:crossBetween val="midCat"/>
      </c:valAx>
      <c:valAx>
        <c:axId val="145056896"/>
        <c:scaling>
          <c:orientation val="minMax"/>
        </c:scaling>
        <c:delete val="0"/>
        <c:axPos val="r"/>
        <c:numFmt formatCode="General" sourceLinked="1"/>
        <c:majorTickMark val="out"/>
        <c:minorTickMark val="none"/>
        <c:tickLblPos val="nextTo"/>
        <c:crossAx val="145058432"/>
        <c:crosses val="max"/>
        <c:crossBetween val="midCat"/>
      </c:valAx>
      <c:valAx>
        <c:axId val="145058432"/>
        <c:scaling>
          <c:orientation val="minMax"/>
        </c:scaling>
        <c:delete val="1"/>
        <c:axPos val="b"/>
        <c:numFmt formatCode="General" sourceLinked="1"/>
        <c:majorTickMark val="out"/>
        <c:minorTickMark val="none"/>
        <c:tickLblPos val="nextTo"/>
        <c:crossAx val="145056896"/>
        <c:crosses val="autoZero"/>
        <c:crossBetween val="midCat"/>
      </c:valAx>
    </c:plotArea>
    <c:legend>
      <c:legendPos val="r"/>
      <c:overlay val="1"/>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Plant Transfer</a:t>
            </a:r>
            <a:r>
              <a:rPr lang="en-US" baseline="0"/>
              <a:t> Function</a:t>
            </a:r>
            <a:endParaRPr lang="en-US"/>
          </a:p>
        </c:rich>
      </c:tx>
      <c:overlay val="0"/>
    </c:title>
    <c:autoTitleDeleted val="0"/>
    <c:plotArea>
      <c:layout/>
      <c:scatterChart>
        <c:scatterStyle val="smoothMarker"/>
        <c:varyColors val="0"/>
        <c:ser>
          <c:idx val="0"/>
          <c:order val="0"/>
          <c:tx>
            <c:v>Gain(dB)</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Loop_Modeling!$AD$19:$AD$560</c:f>
              <c:numCache>
                <c:formatCode>0.000</c:formatCode>
                <c:ptCount val="542"/>
                <c:pt idx="0">
                  <c:v>53.637652280916335</c:v>
                </c:pt>
                <c:pt idx="1">
                  <c:v>53.476632651832645</c:v>
                </c:pt>
                <c:pt idx="2">
                  <c:v>53.314188111577479</c:v>
                </c:pt>
                <c:pt idx="3">
                  <c:v>53.150359047072584</c:v>
                </c:pt>
                <c:pt idx="4">
                  <c:v>52.985185558137047</c:v>
                </c:pt>
                <c:pt idx="5">
                  <c:v>52.818707391341142</c:v>
                </c:pt>
                <c:pt idx="6">
                  <c:v>52.650963878822843</c:v>
                </c:pt>
                <c:pt idx="7">
                  <c:v>52.481993882036221</c:v>
                </c:pt>
                <c:pt idx="8">
                  <c:v>52.311835740366831</c:v>
                </c:pt>
                <c:pt idx="9">
                  <c:v>52.140527224524291</c:v>
                </c:pt>
                <c:pt idx="10">
                  <c:v>51.968105494594994</c:v>
                </c:pt>
                <c:pt idx="11">
                  <c:v>51.794607062616997</c:v>
                </c:pt>
                <c:pt idx="12">
                  <c:v>51.620067759521859</c:v>
                </c:pt>
                <c:pt idx="13">
                  <c:v>51.444522706273233</c:v>
                </c:pt>
                <c:pt idx="14">
                  <c:v>51.268006289017379</c:v>
                </c:pt>
                <c:pt idx="15">
                  <c:v>51.090552138055109</c:v>
                </c:pt>
                <c:pt idx="16">
                  <c:v>50.912193110434821</c:v>
                </c:pt>
                <c:pt idx="17">
                  <c:v>50.73296127596285</c:v>
                </c:pt>
                <c:pt idx="18">
                  <c:v>50.552887906425653</c:v>
                </c:pt>
                <c:pt idx="19">
                  <c:v>50.372003467815659</c:v>
                </c:pt>
                <c:pt idx="20">
                  <c:v>50.190337615355752</c:v>
                </c:pt>
                <c:pt idx="21">
                  <c:v>50.007919191119413</c:v>
                </c:pt>
                <c:pt idx="22">
                  <c:v>49.824776224047127</c:v>
                </c:pt>
                <c:pt idx="23">
                  <c:v>49.640935932164012</c:v>
                </c:pt>
                <c:pt idx="24">
                  <c:v>49.456424726811534</c:v>
                </c:pt>
                <c:pt idx="25">
                  <c:v>49.271268218710425</c:v>
                </c:pt>
                <c:pt idx="26">
                  <c:v>49.085491225681174</c:v>
                </c:pt>
                <c:pt idx="27">
                  <c:v>48.899117781854287</c:v>
                </c:pt>
                <c:pt idx="28">
                  <c:v>48.712171148212981</c:v>
                </c:pt>
                <c:pt idx="29">
                  <c:v>48.524673824316309</c:v>
                </c:pt>
                <c:pt idx="30">
                  <c:v>48.336647561061731</c:v>
                </c:pt>
                <c:pt idx="31">
                  <c:v>48.148113374353358</c:v>
                </c:pt>
                <c:pt idx="32">
                  <c:v>47.959091559550266</c:v>
                </c:pt>
                <c:pt idx="33">
                  <c:v>47.769601706578172</c:v>
                </c:pt>
                <c:pt idx="34">
                  <c:v>47.579662715596214</c:v>
                </c:pt>
                <c:pt idx="35">
                  <c:v>47.389292813117322</c:v>
                </c:pt>
                <c:pt idx="36">
                  <c:v>47.198509568489442</c:v>
                </c:pt>
                <c:pt idx="37">
                  <c:v>47.007329910651627</c:v>
                </c:pt>
                <c:pt idx="38">
                  <c:v>46.815770145087228</c:v>
                </c:pt>
                <c:pt idx="39">
                  <c:v>46.62384597090135</c:v>
                </c:pt>
                <c:pt idx="40">
                  <c:v>46.431572497958093</c:v>
                </c:pt>
                <c:pt idx="41">
                  <c:v>46.238964264017952</c:v>
                </c:pt>
                <c:pt idx="42">
                  <c:v>46.04603525182209</c:v>
                </c:pt>
                <c:pt idx="43">
                  <c:v>45.852798906076238</c:v>
                </c:pt>
                <c:pt idx="44">
                  <c:v>45.659268150290593</c:v>
                </c:pt>
                <c:pt idx="45">
                  <c:v>45.465455403437396</c:v>
                </c:pt>
                <c:pt idx="46">
                  <c:v>45.271372596394734</c:v>
                </c:pt>
                <c:pt idx="47">
                  <c:v>45.077031188144247</c:v>
                </c:pt>
                <c:pt idx="48">
                  <c:v>44.8824421817001</c:v>
                </c:pt>
                <c:pt idx="49">
                  <c:v>44.687616139744762</c:v>
                </c:pt>
                <c:pt idx="50">
                  <c:v>44.492563199954454</c:v>
                </c:pt>
                <c:pt idx="51">
                  <c:v>44.297293089998576</c:v>
                </c:pt>
                <c:pt idx="52">
                  <c:v>44.10181514219893</c:v>
                </c:pt>
                <c:pt idx="53">
                  <c:v>43.906138307839484</c:v>
                </c:pt>
                <c:pt idx="54">
                  <c:v>43.710271171118087</c:v>
                </c:pt>
                <c:pt idx="55">
                  <c:v>43.514221962734652</c:v>
                </c:pt>
                <c:pt idx="56">
                  <c:v>43.317998573110501</c:v>
                </c:pt>
                <c:pt idx="57">
                  <c:v>43.12160856523721</c:v>
                </c:pt>
                <c:pt idx="58">
                  <c:v>42.925059187154311</c:v>
                </c:pt>
                <c:pt idx="59">
                  <c:v>42.728357384055549</c:v>
                </c:pt>
                <c:pt idx="60">
                  <c:v>42.531509810025398</c:v>
                </c:pt>
                <c:pt idx="61">
                  <c:v>42.334522839409189</c:v>
                </c:pt>
                <c:pt idx="62">
                  <c:v>42.137402577819991</c:v>
                </c:pt>
                <c:pt idx="63">
                  <c:v>41.940154872786486</c:v>
                </c:pt>
                <c:pt idx="64">
                  <c:v>41.742785324047702</c:v>
                </c:pt>
                <c:pt idx="65">
                  <c:v>41.545299293500484</c:v>
                </c:pt>
                <c:pt idx="66">
                  <c:v>41.347701914804986</c:v>
                </c:pt>
                <c:pt idx="67">
                  <c:v>41.149998102656568</c:v>
                </c:pt>
                <c:pt idx="68">
                  <c:v>40.952192561729831</c:v>
                </c:pt>
                <c:pt idx="69">
                  <c:v>40.754289795303585</c:v>
                </c:pt>
                <c:pt idx="70">
                  <c:v>40.556294113573649</c:v>
                </c:pt>
                <c:pt idx="71">
                  <c:v>40.358209641662071</c:v>
                </c:pt>
                <c:pt idx="72">
                  <c:v>40.160040327329966</c:v>
                </c:pt>
                <c:pt idx="73">
                  <c:v>39.961789948403286</c:v>
                </c:pt>
                <c:pt idx="74">
                  <c:v>39.763462119919701</c:v>
                </c:pt>
                <c:pt idx="75">
                  <c:v>39.565060301003342</c:v>
                </c:pt>
                <c:pt idx="76">
                  <c:v>39.36658780147787</c:v>
                </c:pt>
                <c:pt idx="77">
                  <c:v>39.168047788224783</c:v>
                </c:pt>
                <c:pt idx="78">
                  <c:v>38.969443291295299</c:v>
                </c:pt>
                <c:pt idx="79">
                  <c:v>38.770777209784484</c:v>
                </c:pt>
                <c:pt idx="80">
                  <c:v>38.572052317475119</c:v>
                </c:pt>
                <c:pt idx="81">
                  <c:v>38.373271268258939</c:v>
                </c:pt>
                <c:pt idx="82">
                  <c:v>38.174436601344667</c:v>
                </c:pt>
                <c:pt idx="83">
                  <c:v>37.975550746257539</c:v>
                </c:pt>
                <c:pt idx="84">
                  <c:v>37.776616027641374</c:v>
                </c:pt>
                <c:pt idx="85">
                  <c:v>37.577634669866605</c:v>
                </c:pt>
                <c:pt idx="86">
                  <c:v>37.378608801455933</c:v>
                </c:pt>
                <c:pt idx="87">
                  <c:v>37.179540459329779</c:v>
                </c:pt>
                <c:pt idx="88">
                  <c:v>36.980431592882162</c:v>
                </c:pt>
                <c:pt idx="89">
                  <c:v>36.781284067891796</c:v>
                </c:pt>
                <c:pt idx="90">
                  <c:v>36.582099670275213</c:v>
                </c:pt>
                <c:pt idx="91">
                  <c:v>36.382880109688365</c:v>
                </c:pt>
                <c:pt idx="92">
                  <c:v>36.183627022982286</c:v>
                </c:pt>
                <c:pt idx="93">
                  <c:v>35.984341977520046</c:v>
                </c:pt>
                <c:pt idx="94">
                  <c:v>35.785026474358716</c:v>
                </c:pt>
                <c:pt idx="95">
                  <c:v>35.585681951304096</c:v>
                </c:pt>
                <c:pt idx="96">
                  <c:v>35.386309785841597</c:v>
                </c:pt>
                <c:pt idx="97">
                  <c:v>35.186911297950445</c:v>
                </c:pt>
                <c:pt idx="98">
                  <c:v>34.987487752804661</c:v>
                </c:pt>
                <c:pt idx="99">
                  <c:v>34.788040363366633</c:v>
                </c:pt>
                <c:pt idx="100">
                  <c:v>34.588570292877556</c:v>
                </c:pt>
                <c:pt idx="101">
                  <c:v>34.389078657250117</c:v>
                </c:pt>
                <c:pt idx="102">
                  <c:v>34.189566527366622</c:v>
                </c:pt>
                <c:pt idx="103">
                  <c:v>33.990034931288477</c:v>
                </c:pt>
                <c:pt idx="104">
                  <c:v>33.790484856379017</c:v>
                </c:pt>
                <c:pt idx="105">
                  <c:v>33.590917251346383</c:v>
                </c:pt>
                <c:pt idx="106">
                  <c:v>33.391333028207882</c:v>
                </c:pt>
                <c:pt idx="107">
                  <c:v>33.191733064181378</c:v>
                </c:pt>
                <c:pt idx="108">
                  <c:v>32.992118203505989</c:v>
                </c:pt>
                <c:pt idx="109">
                  <c:v>32.792489259196941</c:v>
                </c:pt>
                <c:pt idx="110">
                  <c:v>32.592847014736748</c:v>
                </c:pt>
                <c:pt idx="111">
                  <c:v>32.393192225707246</c:v>
                </c:pt>
                <c:pt idx="112">
                  <c:v>32.193525621364344</c:v>
                </c:pt>
                <c:pt idx="113">
                  <c:v>31.993847906159971</c:v>
                </c:pt>
                <c:pt idx="114">
                  <c:v>31.794159761213074</c:v>
                </c:pt>
                <c:pt idx="115">
                  <c:v>31.594461845733363</c:v>
                </c:pt>
                <c:pt idx="116">
                  <c:v>31.394754798400534</c:v>
                </c:pt>
                <c:pt idx="117">
                  <c:v>31.195039238701121</c:v>
                </c:pt>
                <c:pt idx="118">
                  <c:v>30.995315768226675</c:v>
                </c:pt>
                <c:pt idx="119">
                  <c:v>30.795584971934606</c:v>
                </c:pt>
                <c:pt idx="120">
                  <c:v>30.595847419376156</c:v>
                </c:pt>
                <c:pt idx="121">
                  <c:v>30.396103665891335</c:v>
                </c:pt>
                <c:pt idx="122">
                  <c:v>30.196354253776008</c:v>
                </c:pt>
                <c:pt idx="123">
                  <c:v>29.996599713421443</c:v>
                </c:pt>
                <c:pt idx="124">
                  <c:v>29.796840564429875</c:v>
                </c:pt>
                <c:pt idx="125">
                  <c:v>29.597077316707665</c:v>
                </c:pt>
                <c:pt idx="126">
                  <c:v>29.397310471538432</c:v>
                </c:pt>
                <c:pt idx="127">
                  <c:v>29.197540522639088</c:v>
                </c:pt>
                <c:pt idx="128">
                  <c:v>28.997767957200232</c:v>
                </c:pt>
                <c:pt idx="129">
                  <c:v>28.797993256911916</c:v>
                </c:pt>
                <c:pt idx="130">
                  <c:v>28.598216898980347</c:v>
                </c:pt>
                <c:pt idx="131">
                  <c:v>28.398439357133547</c:v>
                </c:pt>
                <c:pt idx="132">
                  <c:v>28.198661102621188</c:v>
                </c:pt>
                <c:pt idx="133">
                  <c:v>27.998882605208813</c:v>
                </c:pt>
                <c:pt idx="134">
                  <c:v>27.799104334168952</c:v>
                </c:pt>
                <c:pt idx="135">
                  <c:v>27.59932675927238</c:v>
                </c:pt>
                <c:pt idx="136">
                  <c:v>27.399550351779421</c:v>
                </c:pt>
                <c:pt idx="137">
                  <c:v>27.199775585435226</c:v>
                </c:pt>
                <c:pt idx="138">
                  <c:v>27.000002937470178</c:v>
                </c:pt>
                <c:pt idx="139">
                  <c:v>26.800232889607965</c:v>
                </c:pt>
                <c:pt idx="140">
                  <c:v>26.600465929082603</c:v>
                </c:pt>
                <c:pt idx="141">
                  <c:v>26.400702549667578</c:v>
                </c:pt>
                <c:pt idx="142">
                  <c:v>26.200943252718854</c:v>
                </c:pt>
                <c:pt idx="143">
                  <c:v>26.001188548233536</c:v>
                </c:pt>
                <c:pt idx="144">
                  <c:v>25.801438955926823</c:v>
                </c:pt>
                <c:pt idx="145">
                  <c:v>25.601695006329518</c:v>
                </c:pt>
                <c:pt idx="146">
                  <c:v>25.401957241907986</c:v>
                </c:pt>
                <c:pt idx="147">
                  <c:v>25.202226218209415</c:v>
                </c:pt>
                <c:pt idx="148">
                  <c:v>25.002502505034169</c:v>
                </c:pt>
                <c:pt idx="149">
                  <c:v>24.802786687638466</c:v>
                </c:pt>
                <c:pt idx="150">
                  <c:v>24.603079367968981</c:v>
                </c:pt>
                <c:pt idx="151">
                  <c:v>24.403381165932267</c:v>
                </c:pt>
                <c:pt idx="152">
                  <c:v>24.203692720702804</c:v>
                </c:pt>
                <c:pt idx="153">
                  <c:v>24.004014692069276</c:v>
                </c:pt>
                <c:pt idx="154">
                  <c:v>23.804347761826158</c:v>
                </c:pt>
                <c:pt idx="155">
                  <c:v>23.604692635209638</c:v>
                </c:pt>
                <c:pt idx="156">
                  <c:v>23.405050042383095</c:v>
                </c:pt>
                <c:pt idx="157">
                  <c:v>23.205420739974297</c:v>
                </c:pt>
                <c:pt idx="158">
                  <c:v>23.005805512667887</c:v>
                </c:pt>
                <c:pt idx="159">
                  <c:v>22.806205174856014</c:v>
                </c:pt>
                <c:pt idx="160">
                  <c:v>22.606620572351098</c:v>
                </c:pt>
                <c:pt idx="161">
                  <c:v>22.407052584163452</c:v>
                </c:pt>
                <c:pt idx="162">
                  <c:v>22.2075021243481</c:v>
                </c:pt>
                <c:pt idx="163">
                  <c:v>22.007970143924169</c:v>
                </c:pt>
                <c:pt idx="164">
                  <c:v>21.808457632870976</c:v>
                </c:pt>
                <c:pt idx="165">
                  <c:v>21.60896562220422</c:v>
                </c:pt>
                <c:pt idx="166">
                  <c:v>21.409495186138518</c:v>
                </c:pt>
                <c:pt idx="167">
                  <c:v>21.210047444336624</c:v>
                </c:pt>
                <c:pt idx="168">
                  <c:v>21.010623564255297</c:v>
                </c:pt>
                <c:pt idx="169">
                  <c:v>20.811224763587752</c:v>
                </c:pt>
                <c:pt idx="170">
                  <c:v>20.611852312809376</c:v>
                </c:pt>
                <c:pt idx="171">
                  <c:v>20.412507537834014</c:v>
                </c:pt>
                <c:pt idx="172">
                  <c:v>20.21319182278113</c:v>
                </c:pt>
                <c:pt idx="173">
                  <c:v>20.013906612864382</c:v>
                </c:pt>
                <c:pt idx="174">
                  <c:v>19.814653417404941</c:v>
                </c:pt>
                <c:pt idx="175">
                  <c:v>19.615433812974572</c:v>
                </c:pt>
                <c:pt idx="176">
                  <c:v>19.416249446677089</c:v>
                </c:pt>
                <c:pt idx="177">
                  <c:v>19.217102039573085</c:v>
                </c:pt>
                <c:pt idx="178">
                  <c:v>19.017993390254709</c:v>
                </c:pt>
                <c:pt idx="179">
                  <c:v>18.818925378577919</c:v>
                </c:pt>
                <c:pt idx="180">
                  <c:v>18.619899969559306</c:v>
                </c:pt>
                <c:pt idx="181">
                  <c:v>18.420919217443721</c:v>
                </c:pt>
                <c:pt idx="182">
                  <c:v>18.221985269954466</c:v>
                </c:pt>
                <c:pt idx="183">
                  <c:v>18.023100372727878</c:v>
                </c:pt>
                <c:pt idx="184">
                  <c:v>17.824266873947135</c:v>
                </c:pt>
                <c:pt idx="185">
                  <c:v>17.625487229179488</c:v>
                </c:pt>
                <c:pt idx="186">
                  <c:v>17.426764006428009</c:v>
                </c:pt>
                <c:pt idx="187">
                  <c:v>17.228099891407705</c:v>
                </c:pt>
                <c:pt idx="188">
                  <c:v>17.029497693053926</c:v>
                </c:pt>
                <c:pt idx="189">
                  <c:v>16.830960349275085</c:v>
                </c:pt>
                <c:pt idx="190">
                  <c:v>16.632490932958753</c:v>
                </c:pt>
                <c:pt idx="191">
                  <c:v>16.434092658243795</c:v>
                </c:pt>
                <c:pt idx="192">
                  <c:v>16.23576888706738</c:v>
                </c:pt>
                <c:pt idx="193">
                  <c:v>16.037523136001184</c:v>
                </c:pt>
                <c:pt idx="194">
                  <c:v>15.839359083387109</c:v>
                </c:pt>
                <c:pt idx="195">
                  <c:v>15.641280576785356</c:v>
                </c:pt>
                <c:pt idx="196">
                  <c:v>15.443291640748759</c:v>
                </c:pt>
                <c:pt idx="197">
                  <c:v>15.245396484935343</c:v>
                </c:pt>
                <c:pt idx="198">
                  <c:v>15.04759951257412</c:v>
                </c:pt>
                <c:pt idx="199">
                  <c:v>14.849905329297526</c:v>
                </c:pt>
                <c:pt idx="200">
                  <c:v>14.652318752355907</c:v>
                </c:pt>
                <c:pt idx="201">
                  <c:v>14.454844820228523</c:v>
                </c:pt>
                <c:pt idx="202">
                  <c:v>14.257488802646879</c:v>
                </c:pt>
                <c:pt idx="203">
                  <c:v>14.060256211047232</c:v>
                </c:pt>
                <c:pt idx="204">
                  <c:v>13.863152809466701</c:v>
                </c:pt>
                <c:pt idx="205">
                  <c:v>13.666184625902694</c:v>
                </c:pt>
                <c:pt idx="206">
                  <c:v>13.469357964150031</c:v>
                </c:pt>
                <c:pt idx="207">
                  <c:v>13.272679416136018</c:v>
                </c:pt>
                <c:pt idx="208">
                  <c:v>13.076155874769729</c:v>
                </c:pt>
                <c:pt idx="209">
                  <c:v>12.879794547325471</c:v>
                </c:pt>
                <c:pt idx="210">
                  <c:v>12.683602969378196</c:v>
                </c:pt>
                <c:pt idx="211">
                  <c:v>12.487589019310999</c:v>
                </c:pt>
                <c:pt idx="212">
                  <c:v>12.291760933413471</c:v>
                </c:pt>
                <c:pt idx="213">
                  <c:v>12.096127321591254</c:v>
                </c:pt>
                <c:pt idx="214">
                  <c:v>11.900697183707468</c:v>
                </c:pt>
                <c:pt idx="215">
                  <c:v>11.705479926574615</c:v>
                </c:pt>
                <c:pt idx="216">
                  <c:v>11.510485381619551</c:v>
                </c:pt>
                <c:pt idx="217">
                  <c:v>11.315723823240479</c:v>
                </c:pt>
                <c:pt idx="218">
                  <c:v>11.121205987877884</c:v>
                </c:pt>
                <c:pt idx="219">
                  <c:v>10.926943093819153</c:v>
                </c:pt>
                <c:pt idx="220">
                  <c:v>10.73294686175846</c:v>
                </c:pt>
                <c:pt idx="221">
                  <c:v>10.539229536131575</c:v>
                </c:pt>
                <c:pt idx="222">
                  <c:v>10.345803907246518</c:v>
                </c:pt>
                <c:pt idx="223">
                  <c:v>10.152683334230151</c:v>
                </c:pt>
                <c:pt idx="224">
                  <c:v>9.959881768809522</c:v>
                </c:pt>
                <c:pt idx="225">
                  <c:v>9.7674137799489351</c:v>
                </c:pt>
                <c:pt idx="226">
                  <c:v>9.575294579358232</c:v>
                </c:pt>
                <c:pt idx="227">
                  <c:v>9.3835400478945949</c:v>
                </c:pt>
                <c:pt idx="228">
                  <c:v>9.1921667628709223</c:v>
                </c:pt>
                <c:pt idx="229">
                  <c:v>9.0011920262888534</c:v>
                </c:pt>
                <c:pt idx="230">
                  <c:v>8.8106338940122981</c:v>
                </c:pt>
                <c:pt idx="231">
                  <c:v>8.6205112058934024</c:v>
                </c:pt>
                <c:pt idx="232">
                  <c:v>8.4308436168664684</c:v>
                </c:pt>
                <c:pt idx="233">
                  <c:v>8.2416516290179302</c:v>
                </c:pt>
                <c:pt idx="234">
                  <c:v>8.052956624644942</c:v>
                </c:pt>
                <c:pt idx="235">
                  <c:v>7.8647809003098201</c:v>
                </c:pt>
                <c:pt idx="236">
                  <c:v>7.6771477018959011</c:v>
                </c:pt>
                <c:pt idx="237">
                  <c:v>7.4900812606709586</c:v>
                </c:pt>
                <c:pt idx="238">
                  <c:v>7.3036068303594961</c:v>
                </c:pt>
                <c:pt idx="239">
                  <c:v>7.1177507252257595</c:v>
                </c:pt>
                <c:pt idx="240">
                  <c:v>6.9325403591650243</c:v>
                </c:pt>
                <c:pt idx="241">
                  <c:v>6.7480042858010547</c:v>
                </c:pt>
                <c:pt idx="242">
                  <c:v>6.5641722395836002</c:v>
                </c:pt>
                <c:pt idx="243">
                  <c:v>6.3810751778786488</c:v>
                </c:pt>
                <c:pt idx="244">
                  <c:v>6.1987453240445225</c:v>
                </c:pt>
                <c:pt idx="245">
                  <c:v>6.0172162114801377</c:v>
                </c:pt>
                <c:pt idx="246">
                  <c:v>5.8365227286367478</c:v>
                </c:pt>
                <c:pt idx="247">
                  <c:v>5.6567011649802215</c:v>
                </c:pt>
                <c:pt idx="248">
                  <c:v>5.4777892578893788</c:v>
                </c:pt>
                <c:pt idx="249">
                  <c:v>5.2998262404807921</c:v>
                </c:pt>
                <c:pt idx="250">
                  <c:v>5.122852890345917</c:v>
                </c:pt>
                <c:pt idx="251">
                  <c:v>4.9469115791935714</c:v>
                </c:pt>
                <c:pt idx="252">
                  <c:v>4.77204632338964</c:v>
                </c:pt>
                <c:pt idx="253">
                  <c:v>4.5983028353929214</c:v>
                </c:pt>
                <c:pt idx="254">
                  <c:v>4.4257285760910205</c:v>
                </c:pt>
                <c:pt idx="255">
                  <c:v>4.2543728080473926</c:v>
                </c:pt>
                <c:pt idx="256">
                  <c:v>4.08428664968213</c:v>
                </c:pt>
                <c:pt idx="257">
                  <c:v>3.915523130417804</c:v>
                </c:pt>
                <c:pt idx="258">
                  <c:v>3.7481372468413077</c:v>
                </c:pt>
                <c:pt idx="259">
                  <c:v>3.5821860199461075</c:v>
                </c:pt>
                <c:pt idx="260">
                  <c:v>3.4177285535432533</c:v>
                </c:pt>
                <c:pt idx="261">
                  <c:v>3.2548260939550397</c:v>
                </c:pt>
                <c:pt idx="262">
                  <c:v>3.0935420911330058</c:v>
                </c:pt>
                <c:pt idx="263">
                  <c:v>2.9339422613803885</c:v>
                </c:pt>
                <c:pt idx="264">
                  <c:v>2.7760946518958898</c:v>
                </c:pt>
                <c:pt idx="265">
                  <c:v>2.6200697074060173</c:v>
                </c:pt>
                <c:pt idx="266">
                  <c:v>2.4659403392034172</c:v>
                </c:pt>
                <c:pt idx="267">
                  <c:v>2.313781996974138</c:v>
                </c:pt>
                <c:pt idx="268">
                  <c:v>2.1636727438627821</c:v>
                </c:pt>
                <c:pt idx="269">
                  <c:v>2.0156933353062456</c:v>
                </c:pt>
                <c:pt idx="270">
                  <c:v>1.8699273022564353</c:v>
                </c:pt>
                <c:pt idx="271">
                  <c:v>1.726461039511862</c:v>
                </c:pt>
                <c:pt idx="272">
                  <c:v>1.5853838999933423</c:v>
                </c:pt>
                <c:pt idx="273">
                  <c:v>1.4467882959251015</c:v>
                </c:pt>
                <c:pt idx="274">
                  <c:v>1.3107698080274424</c:v>
                </c:pt>
                <c:pt idx="275">
                  <c:v>1.1774273039828569</c:v>
                </c:pt>
                <c:pt idx="276">
                  <c:v>1.0468630676199293</c:v>
                </c:pt>
                <c:pt idx="277">
                  <c:v>0.91918294045531879</c:v>
                </c:pt>
                <c:pt idx="278">
                  <c:v>0.79449647745548468</c:v>
                </c:pt>
                <c:pt idx="279">
                  <c:v>0.67291711912805274</c:v>
                </c:pt>
                <c:pt idx="280">
                  <c:v>0.55456238232835731</c:v>
                </c:pt>
                <c:pt idx="281">
                  <c:v>0.43955407247370781</c:v>
                </c:pt>
                <c:pt idx="282">
                  <c:v>0.32801852020189504</c:v>
                </c:pt>
                <c:pt idx="283">
                  <c:v>0.22008684589858049</c:v>
                </c:pt>
                <c:pt idx="284">
                  <c:v>0.11589525594851645</c:v>
                </c:pt>
                <c:pt idx="285">
                  <c:v>1.558537505512906E-2</c:v>
                </c:pt>
                <c:pt idx="286">
                  <c:v>-8.0695380474698569E-2</c:v>
                </c:pt>
                <c:pt idx="287">
                  <c:v>-0.1727933829611947</c:v>
                </c:pt>
                <c:pt idx="288">
                  <c:v>-0.26054832086484281</c:v>
                </c:pt>
                <c:pt idx="289">
                  <c:v>-0.34379266653752399</c:v>
                </c:pt>
                <c:pt idx="290">
                  <c:v>-0.42235107623488316</c:v>
                </c:pt>
                <c:pt idx="291">
                  <c:v>-0.49603971333636832</c:v>
                </c:pt>
                <c:pt idx="292">
                  <c:v>-0.56466548447889153</c:v>
                </c:pt>
                <c:pt idx="293">
                  <c:v>-0.62802517685887493</c:v>
                </c:pt>
                <c:pt idx="294">
                  <c:v>-0.68590448327214715</c:v>
                </c:pt>
                <c:pt idx="295">
                  <c:v>-0.73807689947437005</c:v>
                </c:pt>
                <c:pt idx="296">
                  <c:v>-0.78430247611266668</c:v>
                </c:pt>
                <c:pt idx="297">
                  <c:v>-0.82432640471142937</c:v>
                </c:pt>
                <c:pt idx="298">
                  <c:v>-0.85787741391459449</c:v>
                </c:pt>
                <c:pt idx="299">
                  <c:v>-0.88466594826536338</c:v>
                </c:pt>
                <c:pt idx="300">
                  <c:v>-0.90438209711228568</c:v>
                </c:pt>
                <c:pt idx="301">
                  <c:v>-0.91669323558966997</c:v>
                </c:pt>
                <c:pt idx="302">
                  <c:v>-0.92124133280614429</c:v>
                </c:pt>
                <c:pt idx="303">
                  <c:v>-0.91763987412716963</c:v>
                </c:pt>
                <c:pt idx="304">
                  <c:v>-0.90547033440561431</c:v>
                </c:pt>
                <c:pt idx="305">
                  <c:v>-0.88427812677169249</c:v>
                </c:pt>
                <c:pt idx="306">
                  <c:v>-0.85356793660851127</c:v>
                </c:pt>
                <c:pt idx="307">
                  <c:v>-0.81279833192208673</c:v>
                </c:pt>
                <c:pt idx="308">
                  <c:v>-0.76137551862752773</c:v>
                </c:pt>
                <c:pt idx="309">
                  <c:v>-0.69864608122239813</c:v>
                </c:pt>
                <c:pt idx="310">
                  <c:v>-0.62388851458202699</c:v>
                </c:pt>
                <c:pt idx="311">
                  <c:v>-0.53630330949235006</c:v>
                </c:pt>
                <c:pt idx="312">
                  <c:v>-0.43500130100102197</c:v>
                </c:pt>
                <c:pt idx="313">
                  <c:v>-0.3189899222273086</c:v>
                </c:pt>
                <c:pt idx="314">
                  <c:v>-0.18715692408272661</c:v>
                </c:pt>
                <c:pt idx="315">
                  <c:v>-3.8251020347457206E-2</c:v>
                </c:pt>
                <c:pt idx="316">
                  <c:v>0.1291412050584804</c:v>
                </c:pt>
                <c:pt idx="317">
                  <c:v>0.31662293728206342</c:v>
                </c:pt>
                <c:pt idx="318">
                  <c:v>0.52602029062625888</c:v>
                </c:pt>
                <c:pt idx="319">
                  <c:v>0.75942213773587286</c:v>
                </c:pt>
                <c:pt idx="320">
                  <c:v>1.0192279051729063</c:v>
                </c:pt>
                <c:pt idx="321">
                  <c:v>1.3082046801435909</c:v>
                </c:pt>
                <c:pt idx="322">
                  <c:v>1.6295547493495959</c:v>
                </c:pt>
                <c:pt idx="323">
                  <c:v>1.9869938309768262</c:v>
                </c:pt>
                <c:pt idx="324">
                  <c:v>2.3848379859299911</c:v>
                </c:pt>
                <c:pt idx="325">
                  <c:v>2.8280918387625698</c:v>
                </c:pt>
                <c:pt idx="326">
                  <c:v>3.3225187091043069</c:v>
                </c:pt>
                <c:pt idx="327">
                  <c:v>3.8746467131427718</c:v>
                </c:pt>
                <c:pt idx="328">
                  <c:v>4.4916065770728721</c:v>
                </c:pt>
                <c:pt idx="329">
                  <c:v>5.1805687057262748</c:v>
                </c:pt>
                <c:pt idx="330">
                  <c:v>5.9472665419609605</c:v>
                </c:pt>
                <c:pt idx="331">
                  <c:v>6.7924957059652282</c:v>
                </c:pt>
                <c:pt idx="332">
                  <c:v>7.704316314024716</c:v>
                </c:pt>
                <c:pt idx="333">
                  <c:v>8.6420415613013528</c:v>
                </c:pt>
                <c:pt idx="334">
                  <c:v>9.5088006103043874</c:v>
                </c:pt>
                <c:pt idx="335">
                  <c:v>10.124939844691259</c:v>
                </c:pt>
                <c:pt idx="336">
                  <c:v>10.259885529011548</c:v>
                </c:pt>
                <c:pt idx="337">
                  <c:v>9.7799804571772668</c:v>
                </c:pt>
                <c:pt idx="338">
                  <c:v>8.7755929140304794</c:v>
                </c:pt>
                <c:pt idx="339">
                  <c:v>7.472185916248443</c:v>
                </c:pt>
                <c:pt idx="340">
                  <c:v>6.0665646179596404</c:v>
                </c:pt>
                <c:pt idx="341">
                  <c:v>4.6716857023985003</c:v>
                </c:pt>
                <c:pt idx="342">
                  <c:v>3.3374890260263692</c:v>
                </c:pt>
                <c:pt idx="343">
                  <c:v>2.0802630394498496</c:v>
                </c:pt>
                <c:pt idx="344">
                  <c:v>0.90099108821194429</c:v>
                </c:pt>
                <c:pt idx="345">
                  <c:v>-0.20547733498585785</c:v>
                </c:pt>
                <c:pt idx="346">
                  <c:v>-1.2462514853702309</c:v>
                </c:pt>
                <c:pt idx="347">
                  <c:v>-2.2286127132511462</c:v>
                </c:pt>
                <c:pt idx="348">
                  <c:v>-3.1593133361753023</c:v>
                </c:pt>
                <c:pt idx="349">
                  <c:v>-4.0443546886664876</c:v>
                </c:pt>
                <c:pt idx="350">
                  <c:v>-4.8889688360895303</c:v>
                </c:pt>
                <c:pt idx="351">
                  <c:v>-5.6976800951440856</c:v>
                </c:pt>
                <c:pt idx="352">
                  <c:v>-6.4743915027743366</c:v>
                </c:pt>
                <c:pt idx="353">
                  <c:v>-7.2224727778468125</c:v>
                </c:pt>
                <c:pt idx="354">
                  <c:v>-7.9448405770490744</c:v>
                </c:pt>
                <c:pt idx="355">
                  <c:v>-8.6440282292300523</c:v>
                </c:pt>
                <c:pt idx="356">
                  <c:v>-9.3222448812733862</c:v>
                </c:pt>
                <c:pt idx="357">
                  <c:v>-9.9814250648798737</c:v>
                </c:pt>
                <c:pt idx="358">
                  <c:v>-10.623270013050746</c:v>
                </c:pt>
                <c:pt idx="359">
                  <c:v>-11.249282046726602</c:v>
                </c:pt>
                <c:pt idx="360">
                  <c:v>-11.860793216035839</c:v>
                </c:pt>
                <c:pt idx="361">
                  <c:v>-12.45898920828671</c:v>
                </c:pt>
                <c:pt idx="362">
                  <c:v>-13.044929365874038</c:v>
                </c:pt>
                <c:pt idx="363">
                  <c:v>-13.619563506973201</c:v>
                </c:pt>
                <c:pt idx="364">
                  <c:v>-14.183746114390992</c:v>
                </c:pt>
                <c:pt idx="365">
                  <c:v>-14.738248352485888</c:v>
                </c:pt>
                <c:pt idx="366">
                  <c:v>-15.28376828607081</c:v>
                </c:pt>
                <c:pt idx="367">
                  <c:v>-15.820939605595816</c:v>
                </c:pt>
                <c:pt idx="368">
                  <c:v>-16.350339106774229</c:v>
                </c:pt>
                <c:pt idx="369">
                  <c:v>-16.872493127582516</c:v>
                </c:pt>
                <c:pt idx="370">
                  <c:v>-17.387883109112835</c:v>
                </c:pt>
                <c:pt idx="371">
                  <c:v>-17.896950417320223</c:v>
                </c:pt>
                <c:pt idx="372">
                  <c:v>-18.400100538885162</c:v>
                </c:pt>
                <c:pt idx="373">
                  <c:v>-18.897706745075997</c:v>
                </c:pt>
                <c:pt idx="374">
                  <c:v>-19.390113301755171</c:v>
                </c:pt>
                <c:pt idx="375">
                  <c:v>-19.877638290806821</c:v>
                </c:pt>
                <c:pt idx="376">
                  <c:v>-20.360576097722252</c:v>
                </c:pt>
                <c:pt idx="377">
                  <c:v>-20.839199611400481</c:v>
                </c:pt>
                <c:pt idx="378">
                  <c:v>-21.313762175056322</c:v>
                </c:pt>
                <c:pt idx="379">
                  <c:v>-21.784499321194719</c:v>
                </c:pt>
                <c:pt idx="380">
                  <c:v>-22.251630318668564</c:v>
                </c:pt>
                <c:pt idx="381">
                  <c:v>-22.715359555720781</c:v>
                </c:pt>
                <c:pt idx="382">
                  <c:v>-23.175877779460762</c:v>
                </c:pt>
                <c:pt idx="383">
                  <c:v>-23.633363209326461</c:v>
                </c:pt>
                <c:pt idx="384">
                  <c:v>-24.08798253964353</c:v>
                </c:pt>
                <c:pt idx="385">
                  <c:v>-24.539891844324973</c:v>
                </c:pt>
                <c:pt idx="386">
                  <c:v>-24.989237395006406</c:v>
                </c:pt>
                <c:pt idx="387">
                  <c:v>-25.43615640242141</c:v>
                </c:pt>
                <c:pt idx="388">
                  <c:v>-25.880777689549511</c:v>
                </c:pt>
                <c:pt idx="389">
                  <c:v>-26.323222303986146</c:v>
                </c:pt>
                <c:pt idx="390">
                  <c:v>-26.763604076046242</c:v>
                </c:pt>
                <c:pt idx="391">
                  <c:v>-27.20203012831562</c:v>
                </c:pt>
                <c:pt idx="392">
                  <c:v>-27.638601341671464</c:v>
                </c:pt>
                <c:pt idx="393">
                  <c:v>-28.073412782193326</c:v>
                </c:pt>
                <c:pt idx="394">
                  <c:v>-28.506554092871134</c:v>
                </c:pt>
                <c:pt idx="395">
                  <c:v>-28.938109853564569</c:v>
                </c:pt>
                <c:pt idx="396">
                  <c:v>-29.368159912276475</c:v>
                </c:pt>
                <c:pt idx="397">
                  <c:v>-29.796779690462387</c:v>
                </c:pt>
                <c:pt idx="398">
                  <c:v>-30.224040464798332</c:v>
                </c:pt>
                <c:pt idx="399">
                  <c:v>-30.650009627565701</c:v>
                </c:pt>
                <c:pt idx="400">
                  <c:v>-31.074750927585121</c:v>
                </c:pt>
                <c:pt idx="401">
                  <c:v>-31.498324693426042</c:v>
                </c:pt>
                <c:pt idx="402">
                  <c:v>-31.920788040440343</c:v>
                </c:pt>
                <c:pt idx="403">
                  <c:v>-32.342195063013577</c:v>
                </c:pt>
                <c:pt idx="404">
                  <c:v>-32.762597013283354</c:v>
                </c:pt>
                <c:pt idx="405">
                  <c:v>-33.182042467454671</c:v>
                </c:pt>
                <c:pt idx="406">
                  <c:v>-33.600577480729569</c:v>
                </c:pt>
                <c:pt idx="407">
                  <c:v>-34.018245731772524</c:v>
                </c:pt>
                <c:pt idx="408">
                  <c:v>-34.43508865754503</c:v>
                </c:pt>
                <c:pt idx="409">
                  <c:v>-34.851145579263559</c:v>
                </c:pt>
                <c:pt idx="410">
                  <c:v>-35.266453820170177</c:v>
                </c:pt>
                <c:pt idx="411">
                  <c:v>-35.681048815736915</c:v>
                </c:pt>
                <c:pt idx="412">
                  <c:v>-36.094964216874388</c:v>
                </c:pt>
                <c:pt idx="413">
                  <c:v>-36.508231986660689</c:v>
                </c:pt>
                <c:pt idx="414">
                  <c:v>-36.920882491065925</c:v>
                </c:pt>
                <c:pt idx="415">
                  <c:v>-37.332944584103117</c:v>
                </c:pt>
                <c:pt idx="416">
                  <c:v>-37.74444568780207</c:v>
                </c:pt>
                <c:pt idx="417">
                  <c:v>-38.155411867368514</c:v>
                </c:pt>
                <c:pt idx="418">
                  <c:v>-38.565867901862021</c:v>
                </c:pt>
                <c:pt idx="419">
                  <c:v>-38.975837350697454</c:v>
                </c:pt>
                <c:pt idx="420">
                  <c:v>-39.385342616252323</c:v>
                </c:pt>
                <c:pt idx="421">
                  <c:v>-39.794405002837735</c:v>
                </c:pt>
                <c:pt idx="422">
                  <c:v>-40.203044772271781</c:v>
                </c:pt>
                <c:pt idx="423">
                  <c:v>-40.611281196276167</c:v>
                </c:pt>
                <c:pt idx="424">
                  <c:v>-41.01913260589825</c:v>
                </c:pt>
                <c:pt idx="425">
                  <c:v>-41.426616438146752</c:v>
                </c:pt>
                <c:pt idx="426">
                  <c:v>-41.833749280016271</c:v>
                </c:pt>
                <c:pt idx="427">
                  <c:v>-42.240546910058619</c:v>
                </c:pt>
                <c:pt idx="428">
                  <c:v>-42.647024337652141</c:v>
                </c:pt>
                <c:pt idx="429">
                  <c:v>-43.053195840109822</c:v>
                </c:pt>
                <c:pt idx="430">
                  <c:v>-43.459074997748665</c:v>
                </c:pt>
                <c:pt idx="431">
                  <c:v>-43.86467472704603</c:v>
                </c:pt>
                <c:pt idx="432">
                  <c:v>-44.270007311989261</c:v>
                </c:pt>
                <c:pt idx="433">
                  <c:v>-44.675084433726354</c:v>
                </c:pt>
                <c:pt idx="434">
                  <c:v>-45.079917198609834</c:v>
                </c:pt>
                <c:pt idx="435">
                  <c:v>-45.484516164725804</c:v>
                </c:pt>
                <c:pt idx="436">
                  <c:v>-45.888891366992191</c:v>
                </c:pt>
                <c:pt idx="437">
                  <c:v>-46.293052340902591</c:v>
                </c:pt>
                <c:pt idx="438">
                  <c:v>-46.697008144989894</c:v>
                </c:pt>
                <c:pt idx="439">
                  <c:v>-47.100767382077649</c:v>
                </c:pt>
                <c:pt idx="440">
                  <c:v>-47.50433821938141</c:v>
                </c:pt>
                <c:pt idx="441">
                  <c:v>-47.907728407522008</c:v>
                </c:pt>
                <c:pt idx="442">
                  <c:v>-48.310945298503924</c:v>
                </c:pt>
                <c:pt idx="443">
                  <c:v>-48.713995862711634</c:v>
                </c:pt>
                <c:pt idx="444">
                  <c:v>-49.116886704973616</c:v>
                </c:pt>
                <c:pt idx="445">
                  <c:v>-49.519624079737824</c:v>
                </c:pt>
                <c:pt idx="446">
                  <c:v>-49.922213905402174</c:v>
                </c:pt>
                <c:pt idx="447">
                  <c:v>-50.324661777840177</c:v>
                </c:pt>
                <c:pt idx="448">
                  <c:v>-50.726972983158106</c:v>
                </c:pt>
                <c:pt idx="449">
                  <c:v>-51.129152509719908</c:v>
                </c:pt>
                <c:pt idx="450">
                  <c:v>-51.531205059471191</c:v>
                </c:pt>
                <c:pt idx="451">
                  <c:v>-51.933135058594353</c:v>
                </c:pt>
                <c:pt idx="452">
                  <c:v>-52.334946667521159</c:v>
                </c:pt>
                <c:pt idx="453">
                  <c:v>-52.736643790333162</c:v>
                </c:pt>
                <c:pt idx="454">
                  <c:v>-53.138230083571074</c:v>
                </c:pt>
                <c:pt idx="455">
                  <c:v>-53.539708964479189</c:v>
                </c:pt>
                <c:pt idx="456">
                  <c:v>-53.941083618704234</c:v>
                </c:pt>
                <c:pt idx="457">
                  <c:v>-54.342357007471904</c:v>
                </c:pt>
                <c:pt idx="458">
                  <c:v>-54.743531874257314</c:v>
                </c:pt>
                <c:pt idx="459">
                  <c:v>-55.144610750967999</c:v>
                </c:pt>
                <c:pt idx="460">
                  <c:v>-55.545595963655636</c:v>
                </c:pt>
                <c:pt idx="461">
                  <c:v>-55.946489637771663</c:v>
                </c:pt>
                <c:pt idx="462">
                  <c:v>-56.347293702980359</c:v>
                </c:pt>
                <c:pt idx="463">
                  <c:v>-56.748009897542872</c:v>
                </c:pt>
                <c:pt idx="464">
                  <c:v>-57.148639772283218</c:v>
                </c:pt>
                <c:pt idx="465">
                  <c:v>-57.549184694146973</c:v>
                </c:pt>
                <c:pt idx="466">
                  <c:v>-57.949645849364387</c:v>
                </c:pt>
                <c:pt idx="467">
                  <c:v>-58.35002424622374</c:v>
                </c:pt>
                <c:pt idx="468">
                  <c:v>-58.750320717465598</c:v>
                </c:pt>
                <c:pt idx="469">
                  <c:v>-59.150535922304357</c:v>
                </c:pt>
                <c:pt idx="470">
                  <c:v>-59.550670348083059</c:v>
                </c:pt>
                <c:pt idx="471">
                  <c:v>-59.950724311568322</c:v>
                </c:pt>
                <c:pt idx="472">
                  <c:v>-60.35069795988808</c:v>
                </c:pt>
                <c:pt idx="473">
                  <c:v>-60.750591271119688</c:v>
                </c:pt>
                <c:pt idx="474">
                  <c:v>-61.150404054528408</c:v>
                </c:pt>
                <c:pt idx="475">
                  <c:v>-61.550135950462447</c:v>
                </c:pt>
                <c:pt idx="476">
                  <c:v>-61.949786429903369</c:v>
                </c:pt>
                <c:pt idx="477">
                  <c:v>-62.349354793677286</c:v>
                </c:pt>
                <c:pt idx="478">
                  <c:v>-62.748840171324204</c:v>
                </c:pt>
                <c:pt idx="479">
                  <c:v>-63.14824151962889</c:v>
                </c:pt>
                <c:pt idx="480">
                  <c:v>-63.547557620811794</c:v>
                </c:pt>
                <c:pt idx="481">
                  <c:v>-63.94678708037948</c:v>
                </c:pt>
                <c:pt idx="482">
                  <c:v>-64.345928324634684</c:v>
                </c:pt>
                <c:pt idx="483">
                  <c:v>-64.744979597842828</c:v>
                </c:pt>
                <c:pt idx="484">
                  <c:v>-65.143938959053955</c:v>
                </c:pt>
                <c:pt idx="485">
                  <c:v>-65.542804278579041</c:v>
                </c:pt>
                <c:pt idx="486">
                  <c:v>-65.941573234114458</c:v>
                </c:pt>
                <c:pt idx="487">
                  <c:v>-66.340243306516541</c:v>
                </c:pt>
                <c:pt idx="488">
                  <c:v>-66.738811775216689</c:v>
                </c:pt>
                <c:pt idx="489">
                  <c:v>-67.137275713280332</c:v>
                </c:pt>
                <c:pt idx="490">
                  <c:v>-67.535631982099332</c:v>
                </c:pt>
                <c:pt idx="491">
                  <c:v>-67.933877225718376</c:v>
                </c:pt>
                <c:pt idx="492">
                  <c:v>-68.332007864788565</c:v>
                </c:pt>
                <c:pt idx="493">
                  <c:v>-68.730020090145317</c:v>
                </c:pt>
                <c:pt idx="494">
                  <c:v>-69.127909856004152</c:v>
                </c:pt>
                <c:pt idx="495">
                  <c:v>-69.525672872772319</c:v>
                </c:pt>
                <c:pt idx="496">
                  <c:v>-69.923304599470299</c:v>
                </c:pt>
                <c:pt idx="497">
                  <c:v>-70.320800235758355</c:v>
                </c:pt>
                <c:pt idx="498">
                  <c:v>-70.718154713566406</c:v>
                </c:pt>
                <c:pt idx="499">
                  <c:v>-71.115362688320332</c:v>
                </c:pt>
                <c:pt idx="500">
                  <c:v>-71.512418529763067</c:v>
                </c:pt>
                <c:pt idx="501">
                  <c:v>-71.909316312367096</c:v>
                </c:pt>
                <c:pt idx="502">
                  <c:v>-72.306049805335249</c:v>
                </c:pt>
                <c:pt idx="503">
                  <c:v>-72.702612462188171</c:v>
                </c:pt>
                <c:pt idx="504">
                  <c:v>-73.098997409937368</c:v>
                </c:pt>
                <c:pt idx="505">
                  <c:v>-73.495197437843018</c:v>
                </c:pt>
                <c:pt idx="506">
                  <c:v>-73.891204985758264</c:v>
                </c:pt>
                <c:pt idx="507">
                  <c:v>-74.287012132059559</c:v>
                </c:pt>
                <c:pt idx="508">
                  <c:v>-74.682610581169541</c:v>
                </c:pt>
                <c:pt idx="509">
                  <c:v>-75.077991650674377</c:v>
                </c:pt>
                <c:pt idx="510">
                  <c:v>-75.47314625804222</c:v>
                </c:pt>
                <c:pt idx="511">
                  <c:v>-75.868064906952156</c:v>
                </c:pt>
                <c:pt idx="512">
                  <c:v>-76.262737673242682</c:v>
                </c:pt>
                <c:pt idx="513">
                  <c:v>-76.657154190492747</c:v>
                </c:pt>
                <c:pt idx="514">
                  <c:v>-77.051303635249042</c:v>
                </c:pt>
                <c:pt idx="515">
                  <c:v>-77.445174711919847</c:v>
                </c:pt>
                <c:pt idx="516">
                  <c:v>-77.838755637352762</c:v>
                </c:pt>
                <c:pt idx="517">
                  <c:v>-78.232034125123761</c:v>
                </c:pt>
                <c:pt idx="518">
                  <c:v>-78.624997369561299</c:v>
                </c:pt>
                <c:pt idx="519">
                  <c:v>-79.01763202954092</c:v>
                </c:pt>
                <c:pt idx="520">
                  <c:v>-79.409924212083013</c:v>
                </c:pt>
                <c:pt idx="521">
                  <c:v>-79.801859455794101</c:v>
                </c:pt>
                <c:pt idx="522">
                  <c:v>-80.193422714198306</c:v>
                </c:pt>
                <c:pt idx="523">
                  <c:v>-80.584598339006732</c:v>
                </c:pt>
                <c:pt idx="524">
                  <c:v>-80.975370063382201</c:v>
                </c:pt>
                <c:pt idx="525">
                  <c:v>-81.365720985259287</c:v>
                </c:pt>
                <c:pt idx="526">
                  <c:v>-81.755633550787351</c:v>
                </c:pt>
                <c:pt idx="527">
                  <c:v>-82.145089537972225</c:v>
                </c:pt>
                <c:pt idx="528">
                  <c:v>-82.534070040593704</c:v>
                </c:pt>
                <c:pt idx="529">
                  <c:v>-82.922555452492844</c:v>
                </c:pt>
                <c:pt idx="530">
                  <c:v>-83.310525452317194</c:v>
                </c:pt>
                <c:pt idx="531">
                  <c:v>-83.697958988833832</c:v>
                </c:pt>
                <c:pt idx="532">
                  <c:v>-84.084834266916019</c:v>
                </c:pt>
                <c:pt idx="533">
                  <c:v>-84.471128734327877</c:v>
                </c:pt>
                <c:pt idx="534">
                  <c:v>-84.856819069429861</c:v>
                </c:pt>
                <c:pt idx="535">
                  <c:v>-85.241881169944506</c:v>
                </c:pt>
                <c:pt idx="536">
                  <c:v>-85.626290142924546</c:v>
                </c:pt>
                <c:pt idx="537">
                  <c:v>-86.010020296078835</c:v>
                </c:pt>
                <c:pt idx="538">
                  <c:v>-86.393045130614183</c:v>
                </c:pt>
                <c:pt idx="539">
                  <c:v>-86.775337335764391</c:v>
                </c:pt>
                <c:pt idx="540">
                  <c:v>-87.156868785181203</c:v>
                </c:pt>
                <c:pt idx="541">
                  <c:v>-87.53761053537319</c:v>
                </c:pt>
              </c:numCache>
            </c:numRef>
          </c:yVal>
          <c:smooth val="1"/>
          <c:extLst>
            <c:ext xmlns:c16="http://schemas.microsoft.com/office/drawing/2014/chart" uri="{C3380CC4-5D6E-409C-BE32-E72D297353CC}">
              <c16:uniqueId val="{00000000-B561-4C80-890B-643E0BF90D63}"/>
            </c:ext>
          </c:extLst>
        </c:ser>
        <c:dLbls>
          <c:showLegendKey val="0"/>
          <c:showVal val="0"/>
          <c:showCatName val="0"/>
          <c:showSerName val="0"/>
          <c:showPercent val="0"/>
          <c:showBubbleSize val="0"/>
        </c:dLbls>
        <c:axId val="162497664"/>
        <c:axId val="162499584"/>
      </c:scatterChart>
      <c:scatterChart>
        <c:scatterStyle val="smoothMarker"/>
        <c:varyColors val="0"/>
        <c:ser>
          <c:idx val="1"/>
          <c:order val="1"/>
          <c:tx>
            <c:v>Phase (deg)</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Loop_Modeling!$AE$19:$AE$560</c:f>
              <c:numCache>
                <c:formatCode>General</c:formatCode>
                <c:ptCount val="542"/>
                <c:pt idx="0">
                  <c:v>-63.597785255244901</c:v>
                </c:pt>
                <c:pt idx="1">
                  <c:v>-64.121712074090993</c:v>
                </c:pt>
                <c:pt idx="2">
                  <c:v>-64.638294121096635</c:v>
                </c:pt>
                <c:pt idx="3">
                  <c:v>-65.147471961742625</c:v>
                </c:pt>
                <c:pt idx="4">
                  <c:v>-65.649196457751074</c:v>
                </c:pt>
                <c:pt idx="5">
                  <c:v>-66.143428422066776</c:v>
                </c:pt>
                <c:pt idx="6">
                  <c:v>-66.630138259346438</c:v>
                </c:pt>
                <c:pt idx="7">
                  <c:v>-67.109305594724304</c:v>
                </c:pt>
                <c:pt idx="8">
                  <c:v>-67.580918893490619</c:v>
                </c:pt>
                <c:pt idx="9">
                  <c:v>-68.044975074163432</c:v>
                </c:pt>
                <c:pt idx="10">
                  <c:v>-68.501479117284305</c:v>
                </c:pt>
                <c:pt idx="11">
                  <c:v>-68.950443672100931</c:v>
                </c:pt>
                <c:pt idx="12">
                  <c:v>-69.391888663131766</c:v>
                </c:pt>
                <c:pt idx="13">
                  <c:v>-69.825840898445492</c:v>
                </c:pt>
                <c:pt idx="14">
                  <c:v>-70.252333681313459</c:v>
                </c:pt>
                <c:pt idx="15">
                  <c:v>-70.671406426733668</c:v>
                </c:pt>
                <c:pt idx="16">
                  <c:v>-71.083104284160555</c:v>
                </c:pt>
                <c:pt idx="17">
                  <c:v>-71.487477767622053</c:v>
                </c:pt>
                <c:pt idx="18">
                  <c:v>-71.884582394252547</c:v>
                </c:pt>
                <c:pt idx="19">
                  <c:v>-72.274478332129249</c:v>
                </c:pt>
                <c:pt idx="20">
                  <c:v>-72.657230058165624</c:v>
                </c:pt>
                <c:pt idx="21">
                  <c:v>-73.032906026687442</c:v>
                </c:pt>
                <c:pt idx="22">
                  <c:v>-73.401578349196527</c:v>
                </c:pt>
                <c:pt idx="23">
                  <c:v>-73.763322485725084</c:v>
                </c:pt>
                <c:pt idx="24">
                  <c:v>-74.118216948070383</c:v>
                </c:pt>
                <c:pt idx="25">
                  <c:v>-74.466343015119875</c:v>
                </c:pt>
                <c:pt idx="26">
                  <c:v>-74.807784460383175</c:v>
                </c:pt>
                <c:pt idx="27">
                  <c:v>-75.142627291774829</c:v>
                </c:pt>
                <c:pt idx="28">
                  <c:v>-75.470959503625423</c:v>
                </c:pt>
                <c:pt idx="29">
                  <c:v>-75.792870840833956</c:v>
                </c:pt>
                <c:pt idx="30">
                  <c:v>-76.108452575024742</c:v>
                </c:pt>
                <c:pt idx="31">
                  <c:v>-76.417797292522778</c:v>
                </c:pt>
                <c:pt idx="32">
                  <c:v>-76.720998693921615</c:v>
                </c:pt>
                <c:pt idx="33">
                  <c:v>-77.018151404986341</c:v>
                </c:pt>
                <c:pt idx="34">
                  <c:v>-77.309350798598189</c:v>
                </c:pt>
                <c:pt idx="35">
                  <c:v>-77.594692827432141</c:v>
                </c:pt>
                <c:pt idx="36">
                  <c:v>-77.874273867031846</c:v>
                </c:pt>
                <c:pt idx="37">
                  <c:v>-78.148190568934879</c:v>
                </c:pt>
                <c:pt idx="38">
                  <c:v>-78.416539723490175</c:v>
                </c:pt>
                <c:pt idx="39">
                  <c:v>-78.679418131997622</c:v>
                </c:pt>
                <c:pt idx="40">
                  <c:v>-78.936922487799748</c:v>
                </c:pt>
                <c:pt idx="41">
                  <c:v>-79.189149265949922</c:v>
                </c:pt>
                <c:pt idx="42">
                  <c:v>-79.436194621081171</c:v>
                </c:pt>
                <c:pt idx="43">
                  <c:v>-79.678154293105024</c:v>
                </c:pt>
                <c:pt idx="44">
                  <c:v>-79.915123520370315</c:v>
                </c:pt>
                <c:pt idx="45">
                  <c:v>-80.147196959919327</c:v>
                </c:pt>
                <c:pt idx="46">
                  <c:v>-80.37446861448575</c:v>
                </c:pt>
                <c:pt idx="47">
                  <c:v>-80.59703176588495</c:v>
                </c:pt>
                <c:pt idx="48">
                  <c:v>-80.814978914459175</c:v>
                </c:pt>
                <c:pt idx="49">
                  <c:v>-81.028401724246891</c:v>
                </c:pt>
                <c:pt idx="50">
                  <c:v>-81.237390973557154</c:v>
                </c:pt>
                <c:pt idx="51">
                  <c:v>-81.442036510642154</c:v>
                </c:pt>
                <c:pt idx="52">
                  <c:v>-81.642427214168421</c:v>
                </c:pt>
                <c:pt idx="53">
                  <c:v>-81.83865095820309</c:v>
                </c:pt>
                <c:pt idx="54">
                  <c:v>-82.030794581438883</c:v>
                </c:pt>
                <c:pt idx="55">
                  <c:v>-82.218943860396379</c:v>
                </c:pt>
                <c:pt idx="56">
                  <c:v>-82.403183486350969</c:v>
                </c:pt>
                <c:pt idx="57">
                  <c:v>-82.583597045745719</c:v>
                </c:pt>
                <c:pt idx="58">
                  <c:v>-82.760267003860349</c:v>
                </c:pt>
                <c:pt idx="59">
                  <c:v>-82.933274691518733</c:v>
                </c:pt>
                <c:pt idx="60">
                  <c:v>-83.102700294628832</c:v>
                </c:pt>
                <c:pt idx="61">
                  <c:v>-83.26862284635763</c:v>
                </c:pt>
                <c:pt idx="62">
                  <c:v>-83.431120221755791</c:v>
                </c:pt>
                <c:pt idx="63">
                  <c:v>-83.590269134655514</c:v>
                </c:pt>
                <c:pt idx="64">
                  <c:v>-83.746145136674983</c:v>
                </c:pt>
                <c:pt idx="65">
                  <c:v>-83.898822618172645</c:v>
                </c:pt>
                <c:pt idx="66">
                  <c:v>-84.048374811002446</c:v>
                </c:pt>
                <c:pt idx="67">
                  <c:v>-84.194873792930608</c:v>
                </c:pt>
                <c:pt idx="68">
                  <c:v>-84.338390493582509</c:v>
                </c:pt>
                <c:pt idx="69">
                  <c:v>-84.478994701795685</c:v>
                </c:pt>
                <c:pt idx="70">
                  <c:v>-84.616755074263736</c:v>
                </c:pt>
                <c:pt idx="71">
                  <c:v>-84.751739145360858</c:v>
                </c:pt>
                <c:pt idx="72">
                  <c:v>-84.884013338046117</c:v>
                </c:pt>
                <c:pt idx="73">
                  <c:v>-85.013642975752177</c:v>
                </c:pt>
                <c:pt idx="74">
                  <c:v>-85.140692295166886</c:v>
                </c:pt>
                <c:pt idx="75">
                  <c:v>-85.265224459827678</c:v>
                </c:pt>
                <c:pt idx="76">
                  <c:v>-85.387301574447974</c:v>
                </c:pt>
                <c:pt idx="77">
                  <c:v>-85.506984699904393</c:v>
                </c:pt>
                <c:pt idx="78">
                  <c:v>-85.62433386881689</c:v>
                </c:pt>
                <c:pt idx="79">
                  <c:v>-85.739408101658867</c:v>
                </c:pt>
                <c:pt idx="80">
                  <c:v>-85.852265423338707</c:v>
                </c:pt>
                <c:pt idx="81">
                  <c:v>-85.96296288019883</c:v>
                </c:pt>
                <c:pt idx="82">
                  <c:v>-86.071556557381541</c:v>
                </c:pt>
                <c:pt idx="83">
                  <c:v>-86.178101596515688</c:v>
                </c:pt>
                <c:pt idx="84">
                  <c:v>-86.282652213680549</c:v>
                </c:pt>
                <c:pt idx="85">
                  <c:v>-86.385261717608117</c:v>
                </c:pt>
                <c:pt idx="86">
                  <c:v>-86.485982528085813</c:v>
                </c:pt>
                <c:pt idx="87">
                  <c:v>-86.584866194527692</c:v>
                </c:pt>
                <c:pt idx="88">
                  <c:v>-86.681963414681789</c:v>
                </c:pt>
                <c:pt idx="89">
                  <c:v>-86.777324053446279</c:v>
                </c:pt>
                <c:pt idx="90">
                  <c:v>-86.870997161767789</c:v>
                </c:pt>
                <c:pt idx="91">
                  <c:v>-86.963030995598885</c:v>
                </c:pt>
                <c:pt idx="92">
                  <c:v>-87.053473034892761</c:v>
                </c:pt>
                <c:pt idx="93">
                  <c:v>-87.142370002615735</c:v>
                </c:pt>
                <c:pt idx="94">
                  <c:v>-87.229767883760132</c:v>
                </c:pt>
                <c:pt idx="95">
                  <c:v>-87.31571194434099</c:v>
                </c:pt>
                <c:pt idx="96">
                  <c:v>-87.400246750363138</c:v>
                </c:pt>
                <c:pt idx="97">
                  <c:v>-87.483416186745089</c:v>
                </c:pt>
                <c:pt idx="98">
                  <c:v>-87.56526347618879</c:v>
                </c:pt>
                <c:pt idx="99">
                  <c:v>-87.645831197985174</c:v>
                </c:pt>
                <c:pt idx="100">
                  <c:v>-87.7251613067465</c:v>
                </c:pt>
                <c:pt idx="101">
                  <c:v>-87.80329515105791</c:v>
                </c:pt>
                <c:pt idx="102">
                  <c:v>-87.880273492041823</c:v>
                </c:pt>
                <c:pt idx="103">
                  <c:v>-87.956136521829009</c:v>
                </c:pt>
                <c:pt idx="104">
                  <c:v>-88.030923881932495</c:v>
                </c:pt>
                <c:pt idx="105">
                  <c:v>-88.104674681519626</c:v>
                </c:pt>
                <c:pt idx="106">
                  <c:v>-88.177427515580064</c:v>
                </c:pt>
                <c:pt idx="107">
                  <c:v>-88.249220482986857</c:v>
                </c:pt>
                <c:pt idx="108">
                  <c:v>-88.320091204449426</c:v>
                </c:pt>
                <c:pt idx="109">
                  <c:v>-88.390076840357381</c:v>
                </c:pt>
                <c:pt idx="110">
                  <c:v>-88.459214108514985</c:v>
                </c:pt>
                <c:pt idx="111">
                  <c:v>-88.52753930176624</c:v>
                </c:pt>
                <c:pt idx="112">
                  <c:v>-88.595088305511723</c:v>
                </c:pt>
                <c:pt idx="113">
                  <c:v>-88.661896615118224</c:v>
                </c:pt>
                <c:pt idx="114">
                  <c:v>-88.7279993532227</c:v>
                </c:pt>
                <c:pt idx="115">
                  <c:v>-88.793431286933071</c:v>
                </c:pt>
                <c:pt idx="116">
                  <c:v>-88.858226844927827</c:v>
                </c:pt>
                <c:pt idx="117">
                  <c:v>-88.922420134457667</c:v>
                </c:pt>
                <c:pt idx="118">
                  <c:v>-88.986044958252023</c:v>
                </c:pt>
                <c:pt idx="119">
                  <c:v>-89.049134831334214</c:v>
                </c:pt>
                <c:pt idx="120">
                  <c:v>-89.111722997748515</c:v>
                </c:pt>
                <c:pt idx="121">
                  <c:v>-89.173842447203654</c:v>
                </c:pt>
                <c:pt idx="122">
                  <c:v>-89.235525931636289</c:v>
                </c:pt>
                <c:pt idx="123">
                  <c:v>-89.296805981699663</c:v>
                </c:pt>
                <c:pt idx="124">
                  <c:v>-89.357714923181206</c:v>
                </c:pt>
                <c:pt idx="125">
                  <c:v>-89.41828489335451</c:v>
                </c:pt>
                <c:pt idx="126">
                  <c:v>-89.47854785727047</c:v>
                </c:pt>
                <c:pt idx="127">
                  <c:v>-89.538535623992445</c:v>
                </c:pt>
                <c:pt idx="128">
                  <c:v>-89.598279862780913</c:v>
                </c:pt>
                <c:pt idx="129">
                  <c:v>-89.657812119233171</c:v>
                </c:pt>
                <c:pt idx="130">
                  <c:v>-89.717163831382976</c:v>
                </c:pt>
                <c:pt idx="131">
                  <c:v>-89.776366345766291</c:v>
                </c:pt>
                <c:pt idx="132">
                  <c:v>-89.835450933458489</c:v>
                </c:pt>
                <c:pt idx="133">
                  <c:v>-89.89444880608886</c:v>
                </c:pt>
                <c:pt idx="134">
                  <c:v>-89.95339113183816</c:v>
                </c:pt>
                <c:pt idx="135">
                  <c:v>-90.012309051425063</c:v>
                </c:pt>
                <c:pt idx="136">
                  <c:v>-90.071233694087681</c:v>
                </c:pt>
                <c:pt idx="137">
                  <c:v>-90.130196193565794</c:v>
                </c:pt>
                <c:pt idx="138">
                  <c:v>-90.189227704089802</c:v>
                </c:pt>
                <c:pt idx="139">
                  <c:v>-90.248359416382741</c:v>
                </c:pt>
                <c:pt idx="140">
                  <c:v>-90.307622573681115</c:v>
                </c:pt>
                <c:pt idx="141">
                  <c:v>-90.367048487780679</c:v>
                </c:pt>
                <c:pt idx="142">
                  <c:v>-90.426668555113096</c:v>
                </c:pt>
                <c:pt idx="143">
                  <c:v>-90.486514272859807</c:v>
                </c:pt>
                <c:pt idx="144">
                  <c:v>-90.546617255108714</c:v>
                </c:pt>
                <c:pt idx="145">
                  <c:v>-90.607009249060127</c:v>
                </c:pt>
                <c:pt idx="146">
                  <c:v>-90.66772215128745</c:v>
                </c:pt>
                <c:pt idx="147">
                  <c:v>-90.728788024059043</c:v>
                </c:pt>
                <c:pt idx="148">
                  <c:v>-90.790239111726635</c:v>
                </c:pt>
                <c:pt idx="149">
                  <c:v>-90.852107857186297</c:v>
                </c:pt>
                <c:pt idx="150">
                  <c:v>-90.914426918417973</c:v>
                </c:pt>
                <c:pt idx="151">
                  <c:v>-90.97722918510857</c:v>
                </c:pt>
                <c:pt idx="152">
                  <c:v>-91.040547795364787</c:v>
                </c:pt>
                <c:pt idx="153">
                  <c:v>-91.104416152520855</c:v>
                </c:pt>
                <c:pt idx="154">
                  <c:v>-91.16886794204629</c:v>
                </c:pt>
                <c:pt idx="155">
                  <c:v>-91.233937148559349</c:v>
                </c:pt>
                <c:pt idx="156">
                  <c:v>-91.299658072950749</c:v>
                </c:pt>
                <c:pt idx="157">
                  <c:v>-91.366065349622787</c:v>
                </c:pt>
                <c:pt idx="158">
                  <c:v>-91.433193963848368</c:v>
                </c:pt>
                <c:pt idx="159">
                  <c:v>-91.501079269254816</c:v>
                </c:pt>
                <c:pt idx="160">
                  <c:v>-91.569757005436003</c:v>
                </c:pt>
                <c:pt idx="161">
                  <c:v>-91.639263315697676</c:v>
                </c:pt>
                <c:pt idx="162">
                  <c:v>-91.709634764939182</c:v>
                </c:pt>
                <c:pt idx="163">
                  <c:v>-91.780908357675301</c:v>
                </c:pt>
                <c:pt idx="164">
                  <c:v>-91.853121556201231</c:v>
                </c:pt>
                <c:pt idx="165">
                  <c:v>-91.926312298903881</c:v>
                </c:pt>
                <c:pt idx="166">
                  <c:v>-92.000519018721278</c:v>
                </c:pt>
                <c:pt idx="167">
                  <c:v>-92.075780661753342</c:v>
                </c:pt>
                <c:pt idx="168">
                  <c:v>-92.152136706024081</c:v>
                </c:pt>
                <c:pt idx="169">
                  <c:v>-92.229627180397927</c:v>
                </c:pt>
                <c:pt idx="170">
                  <c:v>-92.30829268365018</c:v>
                </c:pt>
                <c:pt idx="171">
                  <c:v>-92.388174403691167</c:v>
                </c:pt>
                <c:pt idx="172">
                  <c:v>-92.469314136945258</c:v>
                </c:pt>
                <c:pt idx="173">
                  <c:v>-92.551754307881765</c:v>
                </c:pt>
                <c:pt idx="174">
                  <c:v>-92.635537988697365</c:v>
                </c:pt>
                <c:pt idx="175">
                  <c:v>-92.720708919147114</c:v>
                </c:pt>
                <c:pt idx="176">
                  <c:v>-92.807311526520408</c:v>
                </c:pt>
                <c:pt idx="177">
                  <c:v>-92.89539094575828</c:v>
                </c:pt>
                <c:pt idx="178">
                  <c:v>-92.984993039706836</c:v>
                </c:pt>
                <c:pt idx="179">
                  <c:v>-93.076164419500586</c:v>
                </c:pt>
                <c:pt idx="180">
                  <c:v>-93.168952465068671</c:v>
                </c:pt>
                <c:pt idx="181">
                  <c:v>-93.263405345756183</c:v>
                </c:pt>
                <c:pt idx="182">
                  <c:v>-93.359572041049972</c:v>
                </c:pt>
                <c:pt idx="183">
                  <c:v>-93.457502361399975</c:v>
                </c:pt>
                <c:pt idx="184">
                  <c:v>-93.55724696912182</c:v>
                </c:pt>
                <c:pt idx="185">
                  <c:v>-93.658857399368884</c:v>
                </c:pt>
                <c:pt idx="186">
                  <c:v>-93.762386081157402</c:v>
                </c:pt>
                <c:pt idx="187">
                  <c:v>-93.867886358427967</c:v>
                </c:pt>
                <c:pt idx="188">
                  <c:v>-93.975412511124716</c:v>
                </c:pt>
                <c:pt idx="189">
                  <c:v>-94.085019776271153</c:v>
                </c:pt>
                <c:pt idx="190">
                  <c:v>-94.196764369020144</c:v>
                </c:pt>
                <c:pt idx="191">
                  <c:v>-94.310703503652363</c:v>
                </c:pt>
                <c:pt idx="192">
                  <c:v>-94.426895414496201</c:v>
                </c:pt>
                <c:pt idx="193">
                  <c:v>-94.54539937673897</c:v>
                </c:pt>
                <c:pt idx="194">
                  <c:v>-94.66627572709632</c:v>
                </c:pt>
                <c:pt idx="195">
                  <c:v>-94.789585884304756</c:v>
                </c:pt>
                <c:pt idx="196">
                  <c:v>-94.915392369398262</c:v>
                </c:pt>
                <c:pt idx="197">
                  <c:v>-95.043758825727181</c:v>
                </c:pt>
                <c:pt idx="198">
                  <c:v>-95.174750038673636</c:v>
                </c:pt>
                <c:pt idx="199">
                  <c:v>-95.308431955015521</c:v>
                </c:pt>
                <c:pt idx="200">
                  <c:v>-95.444871701884495</c:v>
                </c:pt>
                <c:pt idx="201">
                  <c:v>-95.584137605262555</c:v>
                </c:pt>
                <c:pt idx="202">
                  <c:v>-95.726299207955094</c:v>
                </c:pt>
                <c:pt idx="203">
                  <c:v>-95.871427286974097</c:v>
                </c:pt>
                <c:pt idx="204">
                  <c:v>-96.019593870262156</c:v>
                </c:pt>
                <c:pt idx="205">
                  <c:v>-96.170872252679501</c:v>
                </c:pt>
                <c:pt idx="206">
                  <c:v>-96.325337011175009</c:v>
                </c:pt>
                <c:pt idx="207">
                  <c:v>-96.483064019052605</c:v>
                </c:pt>
                <c:pt idx="208">
                  <c:v>-96.644130459241026</c:v>
                </c:pt>
                <c:pt idx="209">
                  <c:v>-96.808614836468678</c:v>
                </c:pt>
                <c:pt idx="210">
                  <c:v>-96.976596988236707</c:v>
                </c:pt>
                <c:pt idx="211">
                  <c:v>-97.148158094479442</c:v>
                </c:pt>
                <c:pt idx="212">
                  <c:v>-97.323380685792571</c:v>
                </c:pt>
                <c:pt idx="213">
                  <c:v>-97.502348650102633</c:v>
                </c:pt>
                <c:pt idx="214">
                  <c:v>-97.685147237642397</c:v>
                </c:pt>
                <c:pt idx="215">
                  <c:v>-97.871863064092949</c:v>
                </c:pt>
                <c:pt idx="216">
                  <c:v>-98.062584111738715</c:v>
                </c:pt>
                <c:pt idx="217">
                  <c:v>-98.257399728479726</c:v>
                </c:pt>
                <c:pt idx="218">
                  <c:v>-98.456400624532407</c:v>
                </c:pt>
                <c:pt idx="219">
                  <c:v>-98.659678866642707</c:v>
                </c:pt>
                <c:pt idx="220">
                  <c:v>-98.867327869627744</c:v>
                </c:pt>
                <c:pt idx="221">
                  <c:v>-99.079442385050541</c:v>
                </c:pt>
                <c:pt idx="222">
                  <c:v>-99.296118486824895</c:v>
                </c:pt>
                <c:pt idx="223">
                  <c:v>-99.517453553537905</c:v>
                </c:pt>
                <c:pt idx="224">
                  <c:v>-99.743546247268355</c:v>
                </c:pt>
                <c:pt idx="225">
                  <c:v>-99.974496488669104</c:v>
                </c:pt>
                <c:pt idx="226">
                  <c:v>-100.21040542807584</c:v>
                </c:pt>
                <c:pt idx="227">
                  <c:v>-100.45137541238927</c:v>
                </c:pt>
                <c:pt idx="228">
                  <c:v>-100.69750994747911</c:v>
                </c:pt>
                <c:pt idx="229">
                  <c:v>-100.94891365584142</c:v>
                </c:pt>
                <c:pt idx="230">
                  <c:v>-101.20569222923781</c:v>
                </c:pt>
                <c:pt idx="231">
                  <c:v>-101.46795237604043</c:v>
                </c:pt>
                <c:pt idx="232">
                  <c:v>-101.73580176299623</c:v>
                </c:pt>
                <c:pt idx="233">
                  <c:v>-102.00934895112449</c:v>
                </c:pt>
                <c:pt idx="234">
                  <c:v>-102.28870332545635</c:v>
                </c:pt>
                <c:pt idx="235">
                  <c:v>-102.57397501832287</c:v>
                </c:pt>
                <c:pt idx="236">
                  <c:v>-102.86527482590228</c:v>
                </c:pt>
                <c:pt idx="237">
                  <c:v>-103.16271411773543</c:v>
                </c:pt>
                <c:pt idx="238">
                  <c:v>-103.46640473892711</c:v>
                </c:pt>
                <c:pt idx="239">
                  <c:v>-103.77645890475625</c:v>
                </c:pt>
                <c:pt idx="240">
                  <c:v>-104.09298908743123</c:v>
                </c:pt>
                <c:pt idx="241">
                  <c:v>-104.41610789473965</c:v>
                </c:pt>
                <c:pt idx="242">
                  <c:v>-104.74592794036121</c:v>
                </c:pt>
                <c:pt idx="243">
                  <c:v>-105.08256170563565</c:v>
                </c:pt>
                <c:pt idx="244">
                  <c:v>-105.42612139260336</c:v>
                </c:pt>
                <c:pt idx="245">
                  <c:v>-105.77671876817504</c:v>
                </c:pt>
                <c:pt idx="246">
                  <c:v>-106.13446499931993</c:v>
                </c:pt>
                <c:pt idx="247">
                  <c:v>-106.49947047920985</c:v>
                </c:pt>
                <c:pt idx="248">
                  <c:v>-106.87184464431506</c:v>
                </c:pt>
                <c:pt idx="249">
                  <c:v>-107.25169578249681</c:v>
                </c:pt>
                <c:pt idx="250">
                  <c:v>-107.63913083222538</c:v>
                </c:pt>
                <c:pt idx="251">
                  <c:v>-108.03425517311608</c:v>
                </c:pt>
                <c:pt idx="252">
                  <c:v>-108.43717240807564</c:v>
                </c:pt>
                <c:pt idx="253">
                  <c:v>-108.84798413744211</c:v>
                </c:pt>
                <c:pt idx="254">
                  <c:v>-109.26678972561358</c:v>
                </c:pt>
                <c:pt idx="255">
                  <c:v>-109.6936860607839</c:v>
                </c:pt>
                <c:pt idx="256">
                  <c:v>-110.12876730853142</c:v>
                </c:pt>
                <c:pt idx="257">
                  <c:v>-110.57212466016277</c:v>
                </c:pt>
                <c:pt idx="258">
                  <c:v>-111.02384607686244</c:v>
                </c:pt>
                <c:pt idx="259">
                  <c:v>-111.48401603088413</c:v>
                </c:pt>
                <c:pt idx="260">
                  <c:v>-111.9527152452022</c:v>
                </c:pt>
                <c:pt idx="261">
                  <c:v>-112.43002043324869</c:v>
                </c:pt>
                <c:pt idx="262">
                  <c:v>-112.91600404058389</c:v>
                </c:pt>
                <c:pt idx="263">
                  <c:v>-113.4107339905794</c:v>
                </c:pt>
                <c:pt idx="264">
                  <c:v>-113.91427343645411</c:v>
                </c:pt>
                <c:pt idx="265">
                  <c:v>-114.42668052226604</c:v>
                </c:pt>
                <c:pt idx="266">
                  <c:v>-114.94800815576009</c:v>
                </c:pt>
                <c:pt idx="267">
                  <c:v>-115.47830379626625</c:v>
                </c:pt>
                <c:pt idx="268">
                  <c:v>-116.01760926118094</c:v>
                </c:pt>
                <c:pt idx="269">
                  <c:v>-116.56596055489813</c:v>
                </c:pt>
                <c:pt idx="270">
                  <c:v>-117.12338772442224</c:v>
                </c:pt>
                <c:pt idx="271">
                  <c:v>-117.68991474628665</c:v>
                </c:pt>
                <c:pt idx="272">
                  <c:v>-118.26555944979872</c:v>
                </c:pt>
                <c:pt idx="273">
                  <c:v>-118.8503334820749</c:v>
                </c:pt>
                <c:pt idx="274">
                  <c:v>-119.44424232078167</c:v>
                </c:pt>
                <c:pt idx="275">
                  <c:v>-120.04728534099472</c:v>
                </c:pt>
                <c:pt idx="276">
                  <c:v>-120.65945594311017</c:v>
                </c:pt>
                <c:pt idx="277">
                  <c:v>-121.2807417493171</c:v>
                </c:pt>
                <c:pt idx="278">
                  <c:v>-121.91112487675493</c:v>
                </c:pt>
                <c:pt idx="279">
                  <c:v>-122.55058229616208</c:v>
                </c:pt>
                <c:pt idx="280">
                  <c:v>-123.19908628557576</c:v>
                </c:pt>
                <c:pt idx="281">
                  <c:v>-123.85660498948617</c:v>
                </c:pt>
                <c:pt idx="282">
                  <c:v>-124.5231030948074</c:v>
                </c:pt>
                <c:pt idx="283">
                  <c:v>-125.19854263611657</c:v>
                </c:pt>
                <c:pt idx="284">
                  <c:v>-125.88288394387941</c:v>
                </c:pt>
                <c:pt idx="285">
                  <c:v>-126.57608675085255</c:v>
                </c:pt>
                <c:pt idx="286">
                  <c:v>-127.27811147358389</c:v>
                </c:pt>
                <c:pt idx="287">
                  <c:v>-127.98892068799182</c:v>
                </c:pt>
                <c:pt idx="288">
                  <c:v>-128.70848082044731</c:v>
                </c:pt>
                <c:pt idx="289">
                  <c:v>-129.43676407873082</c:v>
                </c:pt>
                <c:pt idx="290">
                  <c:v>-130.1737506507809</c:v>
                </c:pt>
                <c:pt idx="291">
                  <c:v>-130.91943120344678</c:v>
                </c:pt>
                <c:pt idx="292">
                  <c:v>-131.67380971868295</c:v>
                </c:pt>
                <c:pt idx="293">
                  <c:v>-132.43690671099668</c:v>
                </c:pt>
                <c:pt idx="294">
                  <c:v>-133.20876287775667</c:v>
                </c:pt>
                <c:pt idx="295">
                  <c:v>-133.98944324354284</c:v>
                </c:pt>
                <c:pt idx="296">
                  <c:v>-134.77904187150912</c:v>
                </c:pt>
                <c:pt idx="297">
                  <c:v>-135.57768722927153</c:v>
                </c:pt>
                <c:pt idx="298">
                  <c:v>-136.38554831488497</c:v>
                </c:pt>
                <c:pt idx="299">
                  <c:v>-137.20284167087775</c:v>
                </c:pt>
                <c:pt idx="300">
                  <c:v>-138.0298394423088</c:v>
                </c:pt>
                <c:pt idx="301">
                  <c:v>-138.86687866988316</c:v>
                </c:pt>
                <c:pt idx="302">
                  <c:v>-139.71437205331216</c:v>
                </c:pt>
                <c:pt idx="303">
                  <c:v>-140.57282047596601</c:v>
                </c:pt>
                <c:pt idx="304">
                  <c:v>-141.44282765290103</c:v>
                </c:pt>
                <c:pt idx="305">
                  <c:v>-142.32511735520106</c:v>
                </c:pt>
                <c:pt idx="306">
                  <c:v>-143.22055378049265</c:v>
                </c:pt>
                <c:pt idx="307">
                  <c:v>-144.13016579093767</c:v>
                </c:pt>
                <c:pt idx="308">
                  <c:v>-145.05517593757477</c:v>
                </c:pt>
                <c:pt idx="309">
                  <c:v>-145.99703544949074</c:v>
                </c:pt>
                <c:pt idx="310">
                  <c:v>-146.95746671024696</c:v>
                </c:pt>
                <c:pt idx="311">
                  <c:v>-147.93851520341502</c:v>
                </c:pt>
                <c:pt idx="312">
                  <c:v>-148.94261352835193</c:v>
                </c:pt>
                <c:pt idx="313">
                  <c:v>-149.9726609299714</c:v>
                </c:pt>
                <c:pt idx="314">
                  <c:v>-151.0321229443521</c:v>
                </c:pt>
                <c:pt idx="315">
                  <c:v>-152.12515737056785</c:v>
                </c:pt>
                <c:pt idx="316">
                  <c:v>-153.25677503848581</c:v>
                </c:pt>
                <c:pt idx="317">
                  <c:v>-154.43304705328416</c:v>
                </c:pt>
                <c:pt idx="318">
                  <c:v>-155.66137481775769</c:v>
                </c:pt>
                <c:pt idx="319">
                  <c:v>-156.95084586815295</c:v>
                </c:pt>
                <c:pt idx="320">
                  <c:v>-158.31270850859678</c:v>
                </c:pt>
                <c:pt idx="321">
                  <c:v>-159.7610131313437</c:v>
                </c:pt>
                <c:pt idx="322">
                  <c:v>-161.31349074169211</c:v>
                </c:pt>
                <c:pt idx="323">
                  <c:v>-162.99277404063221</c:v>
                </c:pt>
                <c:pt idx="324">
                  <c:v>-164.82812068642406</c:v>
                </c:pt>
                <c:pt idx="325">
                  <c:v>-166.85788367448279</c:v>
                </c:pt>
                <c:pt idx="326">
                  <c:v>-169.13310830776854</c:v>
                </c:pt>
                <c:pt idx="327">
                  <c:v>-171.72284530379267</c:v>
                </c:pt>
                <c:pt idx="328">
                  <c:v>-174.72208535484609</c:v>
                </c:pt>
                <c:pt idx="329">
                  <c:v>-178.26364440906488</c:v>
                </c:pt>
                <c:pt idx="330">
                  <c:v>177.46429891801898</c:v>
                </c:pt>
                <c:pt idx="331">
                  <c:v>172.19380698109481</c:v>
                </c:pt>
                <c:pt idx="332">
                  <c:v>165.54914998752457</c:v>
                </c:pt>
                <c:pt idx="333">
                  <c:v>157.03620400510971</c:v>
                </c:pt>
                <c:pt idx="334">
                  <c:v>146.12177909283125</c:v>
                </c:pt>
                <c:pt idx="335">
                  <c:v>132.55626567425949</c:v>
                </c:pt>
                <c:pt idx="336">
                  <c:v>116.98516631243523</c:v>
                </c:pt>
                <c:pt idx="337">
                  <c:v>101.19479451990443</c:v>
                </c:pt>
                <c:pt idx="338">
                  <c:v>87.12581580344785</c:v>
                </c:pt>
                <c:pt idx="339">
                  <c:v>75.682272364048643</c:v>
                </c:pt>
                <c:pt idx="340">
                  <c:v>66.750002985012458</c:v>
                </c:pt>
                <c:pt idx="341">
                  <c:v>59.817605159690018</c:v>
                </c:pt>
                <c:pt idx="342">
                  <c:v>54.370405764894223</c:v>
                </c:pt>
                <c:pt idx="343">
                  <c:v>50.006737362440582</c:v>
                </c:pt>
                <c:pt idx="344">
                  <c:v>46.437800212255681</c:v>
                </c:pt>
                <c:pt idx="345">
                  <c:v>43.460513596660746</c:v>
                </c:pt>
                <c:pt idx="346">
                  <c:v>40.931770445328695</c:v>
                </c:pt>
                <c:pt idx="347">
                  <c:v>38.749480968434412</c:v>
                </c:pt>
                <c:pt idx="348">
                  <c:v>36.83962969587585</c:v>
                </c:pt>
                <c:pt idx="349">
                  <c:v>35.147624826726464</c:v>
                </c:pt>
                <c:pt idx="350">
                  <c:v>33.632514677581888</c:v>
                </c:pt>
                <c:pt idx="351">
                  <c:v>32.263083083842602</c:v>
                </c:pt>
                <c:pt idx="352">
                  <c:v>31.015176551121396</c:v>
                </c:pt>
                <c:pt idx="353">
                  <c:v>29.869846204893751</c:v>
                </c:pt>
                <c:pt idx="354">
                  <c:v>28.812035767574674</c:v>
                </c:pt>
                <c:pt idx="355">
                  <c:v>27.829640830232108</c:v>
                </c:pt>
                <c:pt idx="356">
                  <c:v>26.9128244226271</c:v>
                </c:pt>
                <c:pt idx="357">
                  <c:v>26.053512142387223</c:v>
                </c:pt>
                <c:pt idx="358">
                  <c:v>25.24501489154115</c:v>
                </c:pt>
                <c:pt idx="359">
                  <c:v>24.481743542556831</c:v>
                </c:pt>
                <c:pt idx="360">
                  <c:v>23.758990688853288</c:v>
                </c:pt>
                <c:pt idx="361">
                  <c:v>23.072761945968239</c:v>
                </c:pt>
                <c:pt idx="362">
                  <c:v>22.41964427106662</c:v>
                </c:pt>
                <c:pt idx="363">
                  <c:v>21.796702234865194</c:v>
                </c:pt>
                <c:pt idx="364">
                  <c:v>21.201395612622921</c:v>
                </c:pt>
                <c:pt idx="365">
                  <c:v>20.631513388385734</c:v>
                </c:pt>
                <c:pt idx="366">
                  <c:v>20.08512050741372</c:v>
                </c:pt>
                <c:pt idx="367">
                  <c:v>19.560514612433618</c:v>
                </c:pt>
                <c:pt idx="368">
                  <c:v>19.056190659887037</c:v>
                </c:pt>
                <c:pt idx="369">
                  <c:v>18.570811801404929</c:v>
                </c:pt>
                <c:pt idx="370">
                  <c:v>18.103185281145805</c:v>
                </c:pt>
                <c:pt idx="371">
                  <c:v>17.652242375007919</c:v>
                </c:pt>
                <c:pt idx="372">
                  <c:v>17.217021606954852</c:v>
                </c:pt>
                <c:pt idx="373">
                  <c:v>16.796654637893109</c:v>
                </c:pt>
                <c:pt idx="374">
                  <c:v>16.390354346100974</c:v>
                </c:pt>
                <c:pt idx="375">
                  <c:v>15.997404714181862</c:v>
                </c:pt>
                <c:pt idx="376">
                  <c:v>15.61715221255597</c:v>
                </c:pt>
                <c:pt idx="377">
                  <c:v>15.248998428533177</c:v>
                </c:pt>
                <c:pt idx="378">
                  <c:v>14.892393736752261</c:v>
                </c:pt>
                <c:pt idx="379">
                  <c:v>14.546831843962117</c:v>
                </c:pt>
                <c:pt idx="380">
                  <c:v>14.211845070902339</c:v>
                </c:pt>
                <c:pt idx="381">
                  <c:v>13.887000257994732</c:v>
                </c:pt>
                <c:pt idx="382">
                  <c:v>13.571895200926638</c:v>
                </c:pt>
                <c:pt idx="383">
                  <c:v>13.266155537947068</c:v>
                </c:pt>
                <c:pt idx="384">
                  <c:v>12.96943202353834</c:v>
                </c:pt>
                <c:pt idx="385">
                  <c:v>12.681398133653589</c:v>
                </c:pt>
                <c:pt idx="386">
                  <c:v>12.401747956374328</c:v>
                </c:pt>
                <c:pt idx="387">
                  <c:v>12.130194329005045</c:v>
                </c:pt>
                <c:pt idx="388">
                  <c:v>11.86646718855979</c:v>
                </c:pt>
                <c:pt idx="389">
                  <c:v>11.610312107542009</c:v>
                </c:pt>
                <c:pt idx="390">
                  <c:v>11.361488991049264</c:v>
                </c:pt>
                <c:pt idx="391">
                  <c:v>11.119770914703444</c:v>
                </c:pt>
                <c:pt idx="392">
                  <c:v>10.884943085813758</c:v>
                </c:pt>
                <c:pt idx="393">
                  <c:v>10.656801912644973</c:v>
                </c:pt>
                <c:pt idx="394">
                  <c:v>10.435154168740114</c:v>
                </c:pt>
                <c:pt idx="395">
                  <c:v>10.219816241013099</c:v>
                </c:pt>
                <c:pt idx="396">
                  <c:v>10.010613451832098</c:v>
                </c:pt>
                <c:pt idx="397">
                  <c:v>9.8073794465941884</c:v>
                </c:pt>
                <c:pt idx="398">
                  <c:v>9.6099556393916572</c:v>
                </c:pt>
                <c:pt idx="399">
                  <c:v>9.4181907103111886</c:v>
                </c:pt>
                <c:pt idx="400">
                  <c:v>9.2319401487169621</c:v>
                </c:pt>
                <c:pt idx="401">
                  <c:v>9.0510658375660054</c:v>
                </c:pt>
                <c:pt idx="402">
                  <c:v>8.8754356744083616</c:v>
                </c:pt>
                <c:pt idx="403">
                  <c:v>8.7049232252464677</c:v>
                </c:pt>
                <c:pt idx="404">
                  <c:v>8.5394074078787963</c:v>
                </c:pt>
                <c:pt idx="405">
                  <c:v>8.3787722017513282</c:v>
                </c:pt>
                <c:pt idx="406">
                  <c:v>8.222906381678122</c:v>
                </c:pt>
                <c:pt idx="407">
                  <c:v>8.0717032730970573</c:v>
                </c:pt>
                <c:pt idx="408">
                  <c:v>7.9250605267847458</c:v>
                </c:pt>
                <c:pt idx="409">
                  <c:v>7.7828799111856002</c:v>
                </c:pt>
                <c:pt idx="410">
                  <c:v>7.6450671207132368</c:v>
                </c:pt>
                <c:pt idx="411">
                  <c:v>7.511531598556914</c:v>
                </c:pt>
                <c:pt idx="412">
                  <c:v>7.3821863726825434</c:v>
                </c:pt>
                <c:pt idx="413">
                  <c:v>7.256947903857391</c:v>
                </c:pt>
                <c:pt idx="414">
                  <c:v>7.1357359446464272</c:v>
                </c:pt>
                <c:pt idx="415">
                  <c:v>7.0184734084384299</c:v>
                </c:pt>
                <c:pt idx="416">
                  <c:v>6.9050862476529149</c:v>
                </c:pt>
                <c:pt idx="417">
                  <c:v>6.7955033403671496</c:v>
                </c:pt>
                <c:pt idx="418">
                  <c:v>6.6896563846742492</c:v>
                </c:pt>
                <c:pt idx="419">
                  <c:v>6.5874798001527708</c:v>
                </c:pt>
                <c:pt idx="420">
                  <c:v>6.4889106358876578</c:v>
                </c:pt>
                <c:pt idx="421">
                  <c:v>6.3938884845350978</c:v>
                </c:pt>
                <c:pt idx="422">
                  <c:v>6.3023554019720027</c:v>
                </c:pt>
                <c:pt idx="423">
                  <c:v>6.2142558321139987</c:v>
                </c:pt>
                <c:pt idx="424">
                  <c:v>6.1295365365242853</c:v>
                </c:pt>
                <c:pt idx="425">
                  <c:v>6.0481465284676501</c:v>
                </c:pt>
                <c:pt idx="426">
                  <c:v>5.9700370110992989</c:v>
                </c:pt>
                <c:pt idx="427">
                  <c:v>5.8951613195018258</c:v>
                </c:pt>
                <c:pt idx="428">
                  <c:v>5.8234748663107165</c:v>
                </c:pt>
                <c:pt idx="429">
                  <c:v>5.7549350906911325</c:v>
                </c:pt>
                <c:pt idx="430">
                  <c:v>5.6895014104488864</c:v>
                </c:pt>
                <c:pt idx="431">
                  <c:v>5.627135177076803</c:v>
                </c:pt>
                <c:pt idx="432">
                  <c:v>5.5677996335546025</c:v>
                </c:pt>
                <c:pt idx="433">
                  <c:v>5.511459874735773</c:v>
                </c:pt>
                <c:pt idx="434">
                  <c:v>5.4580828101673786</c:v>
                </c:pt>
                <c:pt idx="435">
                  <c:v>5.4076371292030085</c:v>
                </c:pt>
                <c:pt idx="436">
                  <c:v>5.3600932682783542</c:v>
                </c:pt>
                <c:pt idx="437">
                  <c:v>5.3154233802309179</c:v>
                </c:pt>
                <c:pt idx="438">
                  <c:v>5.2736013055529858</c:v>
                </c:pt>
                <c:pt idx="439">
                  <c:v>5.2346025454769221</c:v>
                </c:pt>
                <c:pt idx="440">
                  <c:v>5.1984042367986651</c:v>
                </c:pt>
                <c:pt idx="441">
                  <c:v>5.164985128352237</c:v>
                </c:pt>
                <c:pt idx="442">
                  <c:v>5.1343255590551129</c:v>
                </c:pt>
                <c:pt idx="443">
                  <c:v>5.106407437449735</c:v>
                </c:pt>
                <c:pt idx="444">
                  <c:v>5.0812142226712158</c:v>
                </c:pt>
                <c:pt idx="445">
                  <c:v>5.0587309067775283</c:v>
                </c:pt>
                <c:pt idx="446">
                  <c:v>5.0389439983808044</c:v>
                </c:pt>
                <c:pt idx="447">
                  <c:v>5.0218415075247673</c:v>
                </c:pt>
                <c:pt idx="448">
                  <c:v>5.0074129317543283</c:v>
                </c:pt>
                <c:pt idx="449">
                  <c:v>4.9956492433295923</c:v>
                </c:pt>
                <c:pt idx="450">
                  <c:v>4.9865428775360714</c:v>
                </c:pt>
                <c:pt idx="451">
                  <c:v>4.9800877220492712</c:v>
                </c:pt>
                <c:pt idx="452">
                  <c:v>4.9762791073109458</c:v>
                </c:pt>
                <c:pt idx="453">
                  <c:v>4.9751137978791586</c:v>
                </c:pt>
                <c:pt idx="454">
                  <c:v>4.9765899847137947</c:v>
                </c:pt>
                <c:pt idx="455">
                  <c:v>4.9807072783636084</c:v>
                </c:pt>
                <c:pt idx="456">
                  <c:v>4.9874667030193418</c:v>
                </c:pt>
                <c:pt idx="457">
                  <c:v>4.9968706914018099</c:v>
                </c:pt>
                <c:pt idx="458">
                  <c:v>5.0089230804525933</c:v>
                </c:pt>
                <c:pt idx="459">
                  <c:v>5.0236291077972908</c:v>
                </c:pt>
                <c:pt idx="460">
                  <c:v>5.040995408951602</c:v>
                </c:pt>
                <c:pt idx="461">
                  <c:v>5.0610300152414336</c:v>
                </c:pt>
                <c:pt idx="462">
                  <c:v>5.0837423524078638</c:v>
                </c:pt>
                <c:pt idx="463">
                  <c:v>5.1091432398695709</c:v>
                </c:pt>
                <c:pt idx="464">
                  <c:v>5.13724489061405</c:v>
                </c:pt>
                <c:pt idx="465">
                  <c:v>5.1680609116893779</c:v>
                </c:pt>
                <c:pt idx="466">
                  <c:v>5.201606305269193</c:v>
                </c:pt>
                <c:pt idx="467">
                  <c:v>5.2378974702610233</c:v>
                </c:pt>
                <c:pt idx="468">
                  <c:v>5.2769522044304651</c:v>
                </c:pt>
                <c:pt idx="469">
                  <c:v>5.3187897070101329</c:v>
                </c:pt>
                <c:pt idx="470">
                  <c:v>5.363430581764284</c:v>
                </c:pt>
                <c:pt idx="471">
                  <c:v>5.4108968404771902</c:v>
                </c:pt>
                <c:pt idx="472">
                  <c:v>5.4612119068328413</c:v>
                </c:pt>
                <c:pt idx="473">
                  <c:v>5.5144006206528351</c:v>
                </c:pt>
                <c:pt idx="474">
                  <c:v>5.5704892424573007</c:v>
                </c:pt>
                <c:pt idx="475">
                  <c:v>5.6295054583121038</c:v>
                </c:pt>
                <c:pt idx="476">
                  <c:v>5.6914783849241974</c:v>
                </c:pt>
                <c:pt idx="477">
                  <c:v>5.7564385749449141</c:v>
                </c:pt>
                <c:pt idx="478">
                  <c:v>5.8244180224385369</c:v>
                </c:pt>
                <c:pt idx="479">
                  <c:v>5.8954501684717391</c:v>
                </c:pt>
                <c:pt idx="480">
                  <c:v>5.9695699067763588</c:v>
                </c:pt>
                <c:pt idx="481">
                  <c:v>6.0468135894355859</c:v>
                </c:pt>
                <c:pt idx="482">
                  <c:v>6.1272190325406726</c:v>
                </c:pt>
                <c:pt idx="483">
                  <c:v>6.2108255217616133</c:v>
                </c:pt>
                <c:pt idx="484">
                  <c:v>6.297673817772619</c:v>
                </c:pt>
                <c:pt idx="485">
                  <c:v>6.3878061614685748</c:v>
                </c:pt>
                <c:pt idx="486">
                  <c:v>6.4812662789054576</c:v>
                </c:pt>
                <c:pt idx="487">
                  <c:v>6.5780993858931422</c:v>
                </c:pt>
                <c:pt idx="488">
                  <c:v>6.6783521921643594</c:v>
                </c:pt>
                <c:pt idx="489">
                  <c:v>6.782072905039187</c:v>
                </c:pt>
                <c:pt idx="490">
                  <c:v>6.8893112324991144</c:v>
                </c:pt>
                <c:pt idx="491">
                  <c:v>7.0001183855792704</c:v>
                </c:pt>
                <c:pt idx="492">
                  <c:v>7.1145470799817971</c:v>
                </c:pt>
                <c:pt idx="493">
                  <c:v>7.2326515368072979</c:v>
                </c:pt>
                <c:pt idx="494">
                  <c:v>7.3544874822948429</c:v>
                </c:pt>
                <c:pt idx="495">
                  <c:v>7.4801121464543607</c:v>
                </c:pt>
                <c:pt idx="496">
                  <c:v>7.6095842604683339</c:v>
                </c:pt>
                <c:pt idx="497">
                  <c:v>7.7429640527316534</c:v>
                </c:pt>
                <c:pt idx="498">
                  <c:v>7.8803132433912841</c:v>
                </c:pt>
                <c:pt idx="499">
                  <c:v>8.0216950372399953</c:v>
                </c:pt>
                <c:pt idx="500">
                  <c:v>8.167174114807489</c:v>
                </c:pt>
                <c:pt idx="501">
                  <c:v>8.3168166214856427</c:v>
                </c:pt>
                <c:pt idx="502">
                  <c:v>8.4706901545156779</c:v>
                </c:pt>
                <c:pt idx="503">
                  <c:v>8.6288637476527725</c:v>
                </c:pt>
                <c:pt idx="504">
                  <c:v>8.7914078533160129</c:v>
                </c:pt>
                <c:pt idx="505">
                  <c:v>8.9583943220220412</c:v>
                </c:pt>
                <c:pt idx="506">
                  <c:v>9.1298963788872864</c:v>
                </c:pt>
                <c:pt idx="507">
                  <c:v>9.3059885969752969</c:v>
                </c:pt>
                <c:pt idx="508">
                  <c:v>9.486746867255448</c:v>
                </c:pt>
                <c:pt idx="509">
                  <c:v>9.6722483649245898</c:v>
                </c:pt>
                <c:pt idx="510">
                  <c:v>9.8625715118350925</c:v>
                </c:pt>
                <c:pt idx="511">
                  <c:v>10.057795934760993</c:v>
                </c:pt>
                <c:pt idx="512">
                  <c:v>10.258002419220711</c:v>
                </c:pt>
                <c:pt idx="513">
                  <c:v>10.463272858565388</c:v>
                </c:pt>
                <c:pt idx="514">
                  <c:v>10.673690198028972</c:v>
                </c:pt>
                <c:pt idx="515">
                  <c:v>10.889338373427853</c:v>
                </c:pt>
                <c:pt idx="516">
                  <c:v>11.110302244183485</c:v>
                </c:pt>
                <c:pt idx="517">
                  <c:v>11.336667520335169</c:v>
                </c:pt>
                <c:pt idx="518">
                  <c:v>11.568520683196532</c:v>
                </c:pt>
                <c:pt idx="519">
                  <c:v>11.805948899307085</c:v>
                </c:pt>
                <c:pt idx="520">
                  <c:v>12.049039927313137</c:v>
                </c:pt>
                <c:pt idx="521">
                  <c:v>12.297882017415123</c:v>
                </c:pt>
                <c:pt idx="522">
                  <c:v>12.552563803007077</c:v>
                </c:pt>
                <c:pt idx="523">
                  <c:v>12.813174184133199</c:v>
                </c:pt>
                <c:pt idx="524">
                  <c:v>13.079802202384343</c:v>
                </c:pt>
                <c:pt idx="525">
                  <c:v>13.352536906856836</c:v>
                </c:pt>
                <c:pt idx="526">
                  <c:v>13.631467210799784</c:v>
                </c:pt>
                <c:pt idx="527">
                  <c:v>13.916681738584128</c:v>
                </c:pt>
                <c:pt idx="528">
                  <c:v>14.208268662631093</c:v>
                </c:pt>
                <c:pt idx="529">
                  <c:v>14.506315529957806</c:v>
                </c:pt>
                <c:pt idx="530">
                  <c:v>14.810909078002917</c:v>
                </c:pt>
                <c:pt idx="531">
                  <c:v>15.122135039429633</c:v>
                </c:pt>
                <c:pt idx="532">
                  <c:v>15.440077935612988</c:v>
                </c:pt>
                <c:pt idx="533">
                  <c:v>15.764820858564748</c:v>
                </c:pt>
                <c:pt idx="534">
                  <c:v>16.096445241069954</c:v>
                </c:pt>
                <c:pt idx="535">
                  <c:v>16.435030614863344</c:v>
                </c:pt>
                <c:pt idx="536">
                  <c:v>16.780654356712933</c:v>
                </c:pt>
                <c:pt idx="537">
                  <c:v>17.133391422340637</c:v>
                </c:pt>
                <c:pt idx="538">
                  <c:v>17.493314068164988</c:v>
                </c:pt>
                <c:pt idx="539">
                  <c:v>17.860491560927201</c:v>
                </c:pt>
                <c:pt idx="540">
                  <c:v>18.23498987533457</c:v>
                </c:pt>
                <c:pt idx="541">
                  <c:v>18.616871379946595</c:v>
                </c:pt>
              </c:numCache>
            </c:numRef>
          </c:yVal>
          <c:smooth val="1"/>
          <c:extLst>
            <c:ext xmlns:c16="http://schemas.microsoft.com/office/drawing/2014/chart" uri="{C3380CC4-5D6E-409C-BE32-E72D297353CC}">
              <c16:uniqueId val="{00000001-B561-4C80-890B-643E0BF90D63}"/>
            </c:ext>
          </c:extLst>
        </c:ser>
        <c:dLbls>
          <c:showLegendKey val="0"/>
          <c:showVal val="0"/>
          <c:showCatName val="0"/>
          <c:showSerName val="0"/>
          <c:showPercent val="0"/>
          <c:showBubbleSize val="0"/>
        </c:dLbls>
        <c:axId val="162527872"/>
        <c:axId val="162526336"/>
      </c:scatterChart>
      <c:valAx>
        <c:axId val="162497664"/>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62499584"/>
        <c:crosses val="autoZero"/>
        <c:crossBetween val="midCat"/>
      </c:valAx>
      <c:valAx>
        <c:axId val="162499584"/>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162497664"/>
        <c:crosses val="autoZero"/>
        <c:crossBetween val="midCat"/>
        <c:majorUnit val="20"/>
        <c:minorUnit val="10"/>
      </c:valAx>
      <c:valAx>
        <c:axId val="162526336"/>
        <c:scaling>
          <c:orientation val="minMax"/>
          <c:max val="180"/>
          <c:min val="-180"/>
        </c:scaling>
        <c:delete val="0"/>
        <c:axPos val="r"/>
        <c:numFmt formatCode="General" sourceLinked="1"/>
        <c:majorTickMark val="out"/>
        <c:minorTickMark val="none"/>
        <c:tickLblPos val="nextTo"/>
        <c:crossAx val="162527872"/>
        <c:crosses val="max"/>
        <c:crossBetween val="midCat"/>
        <c:majorUnit val="90"/>
        <c:minorUnit val="45"/>
      </c:valAx>
      <c:valAx>
        <c:axId val="162527872"/>
        <c:scaling>
          <c:logBase val="10"/>
          <c:orientation val="minMax"/>
        </c:scaling>
        <c:delete val="1"/>
        <c:axPos val="b"/>
        <c:numFmt formatCode="0.00" sourceLinked="1"/>
        <c:majorTickMark val="out"/>
        <c:minorTickMark val="none"/>
        <c:tickLblPos val="nextTo"/>
        <c:crossAx val="162526336"/>
        <c:crosses val="autoZero"/>
        <c:crossBetween val="midCat"/>
      </c:valAx>
    </c:plotArea>
    <c:legend>
      <c:legendPos val="r"/>
      <c:layout>
        <c:manualLayout>
          <c:xMode val="edge"/>
          <c:yMode val="edge"/>
          <c:x val="0.79880558209512509"/>
          <c:y val="0.14321997959862004"/>
          <c:w val="0.13459449276057311"/>
          <c:h val="0.10691609861199437"/>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Error</a:t>
            </a:r>
            <a:r>
              <a:rPr lang="en-US" baseline="0"/>
              <a:t> Amplifier Transfer</a:t>
            </a:r>
          </a:p>
        </c:rich>
      </c:tx>
      <c:overlay val="0"/>
    </c:title>
    <c:autoTitleDeleted val="0"/>
    <c:plotArea>
      <c:layout/>
      <c:scatterChart>
        <c:scatterStyle val="smoothMarker"/>
        <c:varyColors val="0"/>
        <c:ser>
          <c:idx val="0"/>
          <c:order val="0"/>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Loop_Modeling!$AQ$19:$AQ$560</c:f>
              <c:numCache>
                <c:formatCode>General</c:formatCode>
                <c:ptCount val="542"/>
                <c:pt idx="0">
                  <c:v>-14.712982473636417</c:v>
                </c:pt>
                <c:pt idx="1">
                  <c:v>-14.853527335599971</c:v>
                </c:pt>
                <c:pt idx="2">
                  <c:v>-14.992130421035831</c:v>
                </c:pt>
                <c:pt idx="3">
                  <c:v>-15.128756909708956</c:v>
                </c:pt>
                <c:pt idx="4">
                  <c:v>-15.263373187355135</c:v>
                </c:pt>
                <c:pt idx="5">
                  <c:v>-15.395946959460083</c:v>
                </c:pt>
                <c:pt idx="6">
                  <c:v>-15.526447363506612</c:v>
                </c:pt>
                <c:pt idx="7">
                  <c:v>-15.654845078932354</c:v>
                </c:pt>
                <c:pt idx="8">
                  <c:v>-15.781112434025708</c:v>
                </c:pt>
                <c:pt idx="9">
                  <c:v>-15.905223508986158</c:v>
                </c:pt>
                <c:pt idx="10">
                  <c:v>-16.027154234373484</c:v>
                </c:pt>
                <c:pt idx="11">
                  <c:v>-16.146882484188648</c:v>
                </c:pt>
                <c:pt idx="12">
                  <c:v>-16.264388162847617</c:v>
                </c:pt>
                <c:pt idx="13">
                  <c:v>-16.379653285344165</c:v>
                </c:pt>
                <c:pt idx="14">
                  <c:v>-16.492662049937103</c:v>
                </c:pt>
                <c:pt idx="15">
                  <c:v>-16.603400902750664</c:v>
                </c:pt>
                <c:pt idx="16">
                  <c:v>-16.711858593733087</c:v>
                </c:pt>
                <c:pt idx="17">
                  <c:v>-16.81802622348971</c:v>
                </c:pt>
                <c:pt idx="18">
                  <c:v>-16.921897280577088</c:v>
                </c:pt>
                <c:pt idx="19">
                  <c:v>-17.023467668929978</c:v>
                </c:pt>
                <c:pt idx="20">
                  <c:v>-17.122735725174952</c:v>
                </c:pt>
                <c:pt idx="21">
                  <c:v>-17.219702225675885</c:v>
                </c:pt>
                <c:pt idx="22">
                  <c:v>-17.31437038324885</c:v>
                </c:pt>
                <c:pt idx="23">
                  <c:v>-17.40674583357443</c:v>
                </c:pt>
                <c:pt idx="24">
                  <c:v>-17.496836611431025</c:v>
                </c:pt>
                <c:pt idx="25">
                  <c:v>-17.584653116959959</c:v>
                </c:pt>
                <c:pt idx="26">
                  <c:v>-17.670208072263879</c:v>
                </c:pt>
                <c:pt idx="27">
                  <c:v>-17.753516468718942</c:v>
                </c:pt>
                <c:pt idx="28">
                  <c:v>-17.834595505461682</c:v>
                </c:pt>
                <c:pt idx="29">
                  <c:v>-17.913464519579708</c:v>
                </c:pt>
                <c:pt idx="30">
                  <c:v>-17.990144908597529</c:v>
                </c:pt>
                <c:pt idx="31">
                  <c:v>-18.064660045904557</c:v>
                </c:pt>
                <c:pt idx="32">
                  <c:v>-18.137035189815794</c:v>
                </c:pt>
                <c:pt idx="33">
                  <c:v>-18.207297386991304</c:v>
                </c:pt>
                <c:pt idx="34">
                  <c:v>-18.275475370968273</c:v>
                </c:pt>
                <c:pt idx="35">
                  <c:v>-18.341599456573171</c:v>
                </c:pt>
                <c:pt idx="36">
                  <c:v>-18.405701430991211</c:v>
                </c:pt>
                <c:pt idx="37">
                  <c:v>-18.467814442266398</c:v>
                </c:pt>
                <c:pt idx="38">
                  <c:v>-18.527972885995815</c:v>
                </c:pt>
                <c:pt idx="39">
                  <c:v>-18.586212290962401</c:v>
                </c:pt>
                <c:pt idx="40">
                  <c:v>-18.642569204426355</c:v>
                </c:pt>
                <c:pt idx="41">
                  <c:v>-18.697081077759222</c:v>
                </c:pt>
                <c:pt idx="42">
                  <c:v>-18.749786153071849</c:v>
                </c:pt>
                <c:pt idx="43">
                  <c:v>-18.80072335143997</c:v>
                </c:pt>
                <c:pt idx="44">
                  <c:v>-18.849932163287953</c:v>
                </c:pt>
                <c:pt idx="45">
                  <c:v>-18.897452541439613</c:v>
                </c:pt>
                <c:pt idx="46">
                  <c:v>-18.943324797295407</c:v>
                </c:pt>
                <c:pt idx="47">
                  <c:v>-18.987589500540565</c:v>
                </c:pt>
                <c:pt idx="48">
                  <c:v>-19.030287382738166</c:v>
                </c:pt>
                <c:pt idx="49">
                  <c:v>-19.071459245105885</c:v>
                </c:pt>
                <c:pt idx="50">
                  <c:v>-19.111145870725</c:v>
                </c:pt>
                <c:pt idx="51">
                  <c:v>-19.149387941379786</c:v>
                </c:pt>
                <c:pt idx="52">
                  <c:v>-19.186225959176497</c:v>
                </c:pt>
                <c:pt idx="53">
                  <c:v>-19.221700173046415</c:v>
                </c:pt>
                <c:pt idx="54">
                  <c:v>-19.255850510193927</c:v>
                </c:pt>
                <c:pt idx="55">
                  <c:v>-19.288716512510604</c:v>
                </c:pt>
                <c:pt idx="56">
                  <c:v>-19.320337277940919</c:v>
                </c:pt>
                <c:pt idx="57">
                  <c:v>-19.350751406749893</c:v>
                </c:pt>
                <c:pt idx="58">
                  <c:v>-19.379996952615176</c:v>
                </c:pt>
                <c:pt idx="59">
                  <c:v>-19.408111378439134</c:v>
                </c:pt>
                <c:pt idx="60">
                  <c:v>-19.435131516752023</c:v>
                </c:pt>
                <c:pt idx="61">
                  <c:v>-19.461093534560902</c:v>
                </c:pt>
                <c:pt idx="62">
                  <c:v>-19.486032902478254</c:v>
                </c:pt>
                <c:pt idx="63">
                  <c:v>-19.509984367954711</c:v>
                </c:pt>
                <c:pt idx="64">
                  <c:v>-19.532981932426249</c:v>
                </c:pt>
                <c:pt idx="65">
                  <c:v>-19.555058832181178</c:v>
                </c:pt>
                <c:pt idx="66">
                  <c:v>-19.57624752274317</c:v>
                </c:pt>
                <c:pt idx="67">
                  <c:v>-19.596579666566779</c:v>
                </c:pt>
                <c:pt idx="68">
                  <c:v>-19.616086123837295</c:v>
                </c:pt>
                <c:pt idx="69">
                  <c:v>-19.634796946169221</c:v>
                </c:pt>
                <c:pt idx="70">
                  <c:v>-19.652741372998371</c:v>
                </c:pt>
                <c:pt idx="71">
                  <c:v>-19.669947830466516</c:v>
                </c:pt>
                <c:pt idx="72">
                  <c:v>-19.686443932601911</c:v>
                </c:pt>
                <c:pt idx="73">
                  <c:v>-19.702256484603641</c:v>
                </c:pt>
                <c:pt idx="74">
                  <c:v>-19.717411488045833</c:v>
                </c:pt>
                <c:pt idx="75">
                  <c:v>-19.731934147822557</c:v>
                </c:pt>
                <c:pt idx="76">
                  <c:v>-19.74584888066363</c:v>
                </c:pt>
                <c:pt idx="77">
                  <c:v>-19.759179325058184</c:v>
                </c:pt>
                <c:pt idx="78">
                  <c:v>-19.771948352431931</c:v>
                </c:pt>
                <c:pt idx="79">
                  <c:v>-19.784178079431612</c:v>
                </c:pt>
                <c:pt idx="80">
                  <c:v>-19.795889881179047</c:v>
                </c:pt>
                <c:pt idx="81">
                  <c:v>-19.807104405365937</c:v>
                </c:pt>
                <c:pt idx="82">
                  <c:v>-19.817841587067871</c:v>
                </c:pt>
                <c:pt idx="83">
                  <c:v>-19.82812066416539</c:v>
                </c:pt>
                <c:pt idx="84">
                  <c:v>-19.837960193267406</c:v>
                </c:pt>
                <c:pt idx="85">
                  <c:v>-19.847378066040015</c:v>
                </c:pt>
                <c:pt idx="86">
                  <c:v>-19.85639152585167</c:v>
                </c:pt>
                <c:pt idx="87">
                  <c:v>-19.865017184652658</c:v>
                </c:pt>
                <c:pt idx="88">
                  <c:v>-19.87327104001406</c:v>
                </c:pt>
                <c:pt idx="89">
                  <c:v>-19.881168492257483</c:v>
                </c:pt>
                <c:pt idx="90">
                  <c:v>-19.8887243616138</c:v>
                </c:pt>
                <c:pt idx="91">
                  <c:v>-19.895952905354893</c:v>
                </c:pt>
                <c:pt idx="92">
                  <c:v>-19.902867834847505</c:v>
                </c:pt>
                <c:pt idx="93">
                  <c:v>-19.909482332484547</c:v>
                </c:pt>
                <c:pt idx="94">
                  <c:v>-19.915809068453122</c:v>
                </c:pt>
                <c:pt idx="95">
                  <c:v>-19.921860217304005</c:v>
                </c:pt>
                <c:pt idx="96">
                  <c:v>-19.927647474291287</c:v>
                </c:pt>
                <c:pt idx="97">
                  <c:v>-19.933182071454421</c:v>
                </c:pt>
                <c:pt idx="98">
                  <c:v>-19.938474793419687</c:v>
                </c:pt>
                <c:pt idx="99">
                  <c:v>-19.943535992900252</c:v>
                </c:pt>
                <c:pt idx="100">
                  <c:v>-19.948375605878301</c:v>
                </c:pt>
                <c:pt idx="101">
                  <c:v>-19.953003166454586</c:v>
                </c:pt>
                <c:pt idx="102">
                  <c:v>-19.957427821354106</c:v>
                </c:pt>
                <c:pt idx="103">
                  <c:v>-19.961658344078689</c:v>
                </c:pt>
                <c:pt idx="104">
                  <c:v>-19.965703148699486</c:v>
                </c:pt>
                <c:pt idx="105">
                  <c:v>-19.969570303284417</c:v>
                </c:pt>
                <c:pt idx="106">
                  <c:v>-19.973267542957188</c:v>
                </c:pt>
                <c:pt idx="107">
                  <c:v>-19.976802282586693</c:v>
                </c:pt>
                <c:pt idx="108">
                  <c:v>-19.980181629106209</c:v>
                </c:pt>
                <c:pt idx="109">
                  <c:v>-19.983412393463691</c:v>
                </c:pt>
                <c:pt idx="110">
                  <c:v>-19.986501102205466</c:v>
                </c:pt>
                <c:pt idx="111">
                  <c:v>-19.989454008696754</c:v>
                </c:pt>
                <c:pt idx="112">
                  <c:v>-19.992277103982726</c:v>
                </c:pt>
                <c:pt idx="113">
                  <c:v>-19.994976127295764</c:v>
                </c:pt>
                <c:pt idx="114">
                  <c:v>-19.997556576213807</c:v>
                </c:pt>
                <c:pt idx="115">
                  <c:v>-20.000023716476761</c:v>
                </c:pt>
                <c:pt idx="116">
                  <c:v>-20.002382591466979</c:v>
                </c:pt>
                <c:pt idx="117">
                  <c:v>-20.004638031361523</c:v>
                </c:pt>
                <c:pt idx="118">
                  <c:v>-20.006794661963319</c:v>
                </c:pt>
                <c:pt idx="119">
                  <c:v>-20.008856913219219</c:v>
                </c:pt>
                <c:pt idx="120">
                  <c:v>-20.010829027432862</c:v>
                </c:pt>
                <c:pt idx="121">
                  <c:v>-20.012715067180288</c:v>
                </c:pt>
                <c:pt idx="122">
                  <c:v>-20.014518922937398</c:v>
                </c:pt>
                <c:pt idx="123">
                  <c:v>-20.016244320426196</c:v>
                </c:pt>
                <c:pt idx="124">
                  <c:v>-20.017894827690149</c:v>
                </c:pt>
                <c:pt idx="125">
                  <c:v>-20.019473861905219</c:v>
                </c:pt>
                <c:pt idx="126">
                  <c:v>-20.020984695936214</c:v>
                </c:pt>
                <c:pt idx="127">
                  <c:v>-20.022430464646629</c:v>
                </c:pt>
                <c:pt idx="128">
                  <c:v>-20.023814170970077</c:v>
                </c:pt>
                <c:pt idx="129">
                  <c:v>-20.025138691751337</c:v>
                </c:pt>
                <c:pt idx="130">
                  <c:v>-20.026406783365974</c:v>
                </c:pt>
                <c:pt idx="131">
                  <c:v>-20.027621087125649</c:v>
                </c:pt>
                <c:pt idx="132">
                  <c:v>-20.028784134477888</c:v>
                </c:pt>
                <c:pt idx="133">
                  <c:v>-20.0298983520068</c:v>
                </c:pt>
                <c:pt idx="134">
                  <c:v>-20.03096606624424</c:v>
                </c:pt>
                <c:pt idx="135">
                  <c:v>-20.031989508296956</c:v>
                </c:pt>
                <c:pt idx="136">
                  <c:v>-20.03297081829842</c:v>
                </c:pt>
                <c:pt idx="137">
                  <c:v>-20.033912049691502</c:v>
                </c:pt>
                <c:pt idx="138">
                  <c:v>-20.034815173350033</c:v>
                </c:pt>
                <c:pt idx="139">
                  <c:v>-20.035682081544884</c:v>
                </c:pt>
                <c:pt idx="140">
                  <c:v>-20.036514591762593</c:v>
                </c:pt>
                <c:pt idx="141">
                  <c:v>-20.037314450381132</c:v>
                </c:pt>
                <c:pt idx="142">
                  <c:v>-20.038083336211411</c:v>
                </c:pt>
                <c:pt idx="143">
                  <c:v>-20.038822863908816</c:v>
                </c:pt>
                <c:pt idx="144">
                  <c:v>-20.039534587261933</c:v>
                </c:pt>
                <c:pt idx="145">
                  <c:v>-20.040220002363505</c:v>
                </c:pt>
                <c:pt idx="146">
                  <c:v>-20.040880550670192</c:v>
                </c:pt>
                <c:pt idx="147">
                  <c:v>-20.041517621955492</c:v>
                </c:pt>
                <c:pt idx="148">
                  <c:v>-20.042132557162734</c:v>
                </c:pt>
                <c:pt idx="149">
                  <c:v>-20.042726651161974</c:v>
                </c:pt>
                <c:pt idx="150">
                  <c:v>-20.043301155416763</c:v>
                </c:pt>
                <c:pt idx="151">
                  <c:v>-20.043857280565554</c:v>
                </c:pt>
                <c:pt idx="152">
                  <c:v>-20.044396198922662</c:v>
                </c:pt>
                <c:pt idx="153">
                  <c:v>-20.044919046903193</c:v>
                </c:pt>
                <c:pt idx="154">
                  <c:v>-20.045426927377207</c:v>
                </c:pt>
                <c:pt idx="155">
                  <c:v>-20.045920911957069</c:v>
                </c:pt>
                <c:pt idx="156">
                  <c:v>-20.046402043222727</c:v>
                </c:pt>
                <c:pt idx="157">
                  <c:v>-20.046871336888969</c:v>
                </c:pt>
                <c:pt idx="158">
                  <c:v>-20.047329783919082</c:v>
                </c:pt>
                <c:pt idx="159">
                  <c:v>-20.047778352589386</c:v>
                </c:pt>
                <c:pt idx="160">
                  <c:v>-20.048217990507517</c:v>
                </c:pt>
                <c:pt idx="161">
                  <c:v>-20.048649626590297</c:v>
                </c:pt>
                <c:pt idx="162">
                  <c:v>-20.049074173003241</c:v>
                </c:pt>
                <c:pt idx="163">
                  <c:v>-20.049492527066736</c:v>
                </c:pt>
                <c:pt idx="164">
                  <c:v>-20.049905573132417</c:v>
                </c:pt>
                <c:pt idx="165">
                  <c:v>-20.05031418443339</c:v>
                </c:pt>
                <c:pt idx="166">
                  <c:v>-20.050719224911838</c:v>
                </c:pt>
                <c:pt idx="167">
                  <c:v>-20.051121551028253</c:v>
                </c:pt>
                <c:pt idx="168">
                  <c:v>-20.051522013555253</c:v>
                </c:pt>
                <c:pt idx="169">
                  <c:v>-20.051921459360248</c:v>
                </c:pt>
                <c:pt idx="170">
                  <c:v>-20.052320733179737</c:v>
                </c:pt>
                <c:pt idx="171">
                  <c:v>-20.052720679389914</c:v>
                </c:pt>
                <c:pt idx="172">
                  <c:v>-20.053122143776104</c:v>
                </c:pt>
                <c:pt idx="173">
                  <c:v>-20.053525975305103</c:v>
                </c:pt>
                <c:pt idx="174">
                  <c:v>-20.053933027904158</c:v>
                </c:pt>
                <c:pt idx="175">
                  <c:v>-20.054344162249723</c:v>
                </c:pt>
                <c:pt idx="176">
                  <c:v>-20.05476024756998</c:v>
                </c:pt>
                <c:pt idx="177">
                  <c:v>-20.055182163464455</c:v>
                </c:pt>
                <c:pt idx="178">
                  <c:v>-20.055610801744763</c:v>
                </c:pt>
                <c:pt idx="179">
                  <c:v>-20.056047068299627</c:v>
                </c:pt>
                <c:pt idx="180">
                  <c:v>-20.056491884988645</c:v>
                </c:pt>
                <c:pt idx="181">
                  <c:v>-20.056946191567711</c:v>
                </c:pt>
                <c:pt idx="182">
                  <c:v>-20.057410947650759</c:v>
                </c:pt>
                <c:pt idx="183">
                  <c:v>-20.057887134711084</c:v>
                </c:pt>
                <c:pt idx="184">
                  <c:v>-20.058375758126648</c:v>
                </c:pt>
                <c:pt idx="185">
                  <c:v>-20.058877849273074</c:v>
                </c:pt>
                <c:pt idx="186">
                  <c:v>-20.059394467668721</c:v>
                </c:pt>
                <c:pt idx="187">
                  <c:v>-20.059926703175627</c:v>
                </c:pt>
                <c:pt idx="188">
                  <c:v>-20.06047567826128</c:v>
                </c:pt>
                <c:pt idx="189">
                  <c:v>-20.061042550324821</c:v>
                </c:pt>
                <c:pt idx="190">
                  <c:v>-20.061628514092572</c:v>
                </c:pt>
                <c:pt idx="191">
                  <c:v>-20.062234804087669</c:v>
                </c:pt>
                <c:pt idx="192">
                  <c:v>-20.062862697177874</c:v>
                </c:pt>
                <c:pt idx="193">
                  <c:v>-20.063513515207102</c:v>
                </c:pt>
                <c:pt idx="194">
                  <c:v>-20.064188627714962</c:v>
                </c:pt>
                <c:pt idx="195">
                  <c:v>-20.064889454749959</c:v>
                </c:pt>
                <c:pt idx="196">
                  <c:v>-20.065617469781007</c:v>
                </c:pt>
                <c:pt idx="197">
                  <c:v>-20.066374202713071</c:v>
                </c:pt>
                <c:pt idx="198">
                  <c:v>-20.06716124301218</c:v>
                </c:pt>
                <c:pt idx="199">
                  <c:v>-20.067980242945296</c:v>
                </c:pt>
                <c:pt idx="200">
                  <c:v>-20.068832920941354</c:v>
                </c:pt>
                <c:pt idx="201">
                  <c:v>-20.06972106507876</c:v>
                </c:pt>
                <c:pt idx="202">
                  <c:v>-20.070646536705961</c:v>
                </c:pt>
                <c:pt idx="203">
                  <c:v>-20.071611274201018</c:v>
                </c:pt>
                <c:pt idx="204">
                  <c:v>-20.072617296876821</c:v>
                </c:pt>
                <c:pt idx="205">
                  <c:v>-20.073666709038427</c:v>
                </c:pt>
                <c:pt idx="206">
                  <c:v>-20.074761704199283</c:v>
                </c:pt>
                <c:pt idx="207">
                  <c:v>-20.075904569463269</c:v>
                </c:pt>
                <c:pt idx="208">
                  <c:v>-20.077097690079704</c:v>
                </c:pt>
                <c:pt idx="209">
                  <c:v>-20.078343554178375</c:v>
                </c:pt>
                <c:pt idx="210">
                  <c:v>-20.079644757692275</c:v>
                </c:pt>
                <c:pt idx="211">
                  <c:v>-20.081004009475343</c:v>
                </c:pt>
                <c:pt idx="212">
                  <c:v>-20.082424136623086</c:v>
                </c:pt>
                <c:pt idx="213">
                  <c:v>-20.083908090003799</c:v>
                </c:pt>
                <c:pt idx="214">
                  <c:v>-20.085458950008519</c:v>
                </c:pt>
                <c:pt idx="215">
                  <c:v>-20.087079932527686</c:v>
                </c:pt>
                <c:pt idx="216">
                  <c:v>-20.08877439516268</c:v>
                </c:pt>
                <c:pt idx="217">
                  <c:v>-20.090545843680744</c:v>
                </c:pt>
                <c:pt idx="218">
                  <c:v>-20.092397938721366</c:v>
                </c:pt>
                <c:pt idx="219">
                  <c:v>-20.094334502762816</c:v>
                </c:pt>
                <c:pt idx="220">
                  <c:v>-20.09635952735708</c:v>
                </c:pt>
                <c:pt idx="221">
                  <c:v>-20.098477180641506</c:v>
                </c:pt>
                <c:pt idx="222">
                  <c:v>-20.100691815136443</c:v>
                </c:pt>
                <c:pt idx="223">
                  <c:v>-20.103007975835428</c:v>
                </c:pt>
                <c:pt idx="224">
                  <c:v>-20.105430408598504</c:v>
                </c:pt>
                <c:pt idx="225">
                  <c:v>-20.107964068854468</c:v>
                </c:pt>
                <c:pt idx="226">
                  <c:v>-20.110614130621411</c:v>
                </c:pt>
                <c:pt idx="227">
                  <c:v>-20.113385995852738</c:v>
                </c:pt>
                <c:pt idx="228">
                  <c:v>-20.116285304115912</c:v>
                </c:pt>
                <c:pt idx="229">
                  <c:v>-20.119317942610415</c:v>
                </c:pt>
                <c:pt idx="230">
                  <c:v>-20.122490056532435</c:v>
                </c:pt>
                <c:pt idx="231">
                  <c:v>-20.125808059790881</c:v>
                </c:pt>
                <c:pt idx="232">
                  <c:v>-20.129278646081289</c:v>
                </c:pt>
                <c:pt idx="233">
                  <c:v>-20.132908800320504</c:v>
                </c:pt>
                <c:pt idx="234">
                  <c:v>-20.136705810447815</c:v>
                </c:pt>
                <c:pt idx="235">
                  <c:v>-20.140677279593369</c:v>
                </c:pt>
                <c:pt idx="236">
                  <c:v>-20.144831138616798</c:v>
                </c:pt>
                <c:pt idx="237">
                  <c:v>-20.149175659015697</c:v>
                </c:pt>
                <c:pt idx="238">
                  <c:v>-20.153719466203036</c:v>
                </c:pt>
                <c:pt idx="239">
                  <c:v>-20.158471553151816</c:v>
                </c:pt>
                <c:pt idx="240">
                  <c:v>-20.163441294401593</c:v>
                </c:pt>
                <c:pt idx="241">
                  <c:v>-20.16863846042094</c:v>
                </c:pt>
                <c:pt idx="242">
                  <c:v>-20.17407323231847</c:v>
                </c:pt>
                <c:pt idx="243">
                  <c:v>-20.179756216890855</c:v>
                </c:pt>
                <c:pt idx="244">
                  <c:v>-20.185698461995372</c:v>
                </c:pt>
                <c:pt idx="245">
                  <c:v>-20.191911472230736</c:v>
                </c:pt>
                <c:pt idx="246">
                  <c:v>-20.198407224907413</c:v>
                </c:pt>
                <c:pt idx="247">
                  <c:v>-20.205198186285607</c:v>
                </c:pt>
                <c:pt idx="248">
                  <c:v>-20.212297328054433</c:v>
                </c:pt>
                <c:pt idx="249">
                  <c:v>-20.219718144023172</c:v>
                </c:pt>
                <c:pt idx="250">
                  <c:v>-20.227474666990677</c:v>
                </c:pt>
                <c:pt idx="251">
                  <c:v>-20.235581485754373</c:v>
                </c:pt>
                <c:pt idx="252">
                  <c:v>-20.244053762216176</c:v>
                </c:pt>
                <c:pt idx="253">
                  <c:v>-20.252907248536513</c:v>
                </c:pt>
                <c:pt idx="254">
                  <c:v>-20.262158304283247</c:v>
                </c:pt>
                <c:pt idx="255">
                  <c:v>-20.271823913515178</c:v>
                </c:pt>
                <c:pt idx="256">
                  <c:v>-20.281921701735573</c:v>
                </c:pt>
                <c:pt idx="257">
                  <c:v>-20.292469952641969</c:v>
                </c:pt>
                <c:pt idx="258">
                  <c:v>-20.303487624594307</c:v>
                </c:pt>
                <c:pt idx="259">
                  <c:v>-20.314994366714934</c:v>
                </c:pt>
                <c:pt idx="260">
                  <c:v>-20.327010534526305</c:v>
                </c:pt>
                <c:pt idx="261">
                  <c:v>-20.339557205025585</c:v>
                </c:pt>
                <c:pt idx="262">
                  <c:v>-20.352656191086655</c:v>
                </c:pt>
                <c:pt idx="263">
                  <c:v>-20.366330055071643</c:v>
                </c:pt>
                <c:pt idx="264">
                  <c:v>-20.380602121526699</c:v>
                </c:pt>
                <c:pt idx="265">
                  <c:v>-20.395496488827639</c:v>
                </c:pt>
                <c:pt idx="266">
                  <c:v>-20.411038039632142</c:v>
                </c:pt>
                <c:pt idx="267">
                  <c:v>-20.427252449988732</c:v>
                </c:pt>
                <c:pt idx="268">
                  <c:v>-20.444166196941488</c:v>
                </c:pt>
                <c:pt idx="269">
                  <c:v>-20.461806564464865</c:v>
                </c:pt>
                <c:pt idx="270">
                  <c:v>-20.480201647551979</c:v>
                </c:pt>
                <c:pt idx="271">
                  <c:v>-20.499380354275178</c:v>
                </c:pt>
                <c:pt idx="272">
                  <c:v>-20.519372405629571</c:v>
                </c:pt>
                <c:pt idx="273">
                  <c:v>-20.540208332964717</c:v>
                </c:pt>
                <c:pt idx="274">
                  <c:v>-20.561919472805087</c:v>
                </c:pt>
                <c:pt idx="275">
                  <c:v>-20.584537958855922</c:v>
                </c:pt>
                <c:pt idx="276">
                  <c:v>-20.608096710988274</c:v>
                </c:pt>
                <c:pt idx="277">
                  <c:v>-20.632629420996903</c:v>
                </c:pt>
                <c:pt idx="278">
                  <c:v>-20.658170534924167</c:v>
                </c:pt>
                <c:pt idx="279">
                  <c:v>-20.68475523174698</c:v>
                </c:pt>
                <c:pt idx="280">
                  <c:v>-20.712419398227574</c:v>
                </c:pt>
                <c:pt idx="281">
                  <c:v>-20.741199599736468</c:v>
                </c:pt>
                <c:pt idx="282">
                  <c:v>-20.771133046865636</c:v>
                </c:pt>
                <c:pt idx="283">
                  <c:v>-20.802257557661758</c:v>
                </c:pt>
                <c:pt idx="284">
                  <c:v>-20.834611515325644</c:v>
                </c:pt>
                <c:pt idx="285">
                  <c:v>-20.868233821241127</c:v>
                </c:pt>
                <c:pt idx="286">
                  <c:v>-20.90316384321973</c:v>
                </c:pt>
                <c:pt idx="287">
                  <c:v>-20.939441358870965</c:v>
                </c:pt>
                <c:pt idx="288">
                  <c:v>-20.977106494037674</c:v>
                </c:pt>
                <c:pt idx="289">
                  <c:v>-21.016199656267137</c:v>
                </c:pt>
                <c:pt idx="290">
                  <c:v>-21.056761463323785</c:v>
                </c:pt>
                <c:pt idx="291">
                  <c:v>-21.098832666788002</c:v>
                </c:pt>
                <c:pt idx="292">
                  <c:v>-21.142454070827593</c:v>
                </c:pt>
                <c:pt idx="293">
                  <c:v>-21.187666446272036</c:v>
                </c:pt>
                <c:pt idx="294">
                  <c:v>-21.234510440168268</c:v>
                </c:pt>
                <c:pt idx="295">
                  <c:v>-21.283026481044935</c:v>
                </c:pt>
                <c:pt idx="296">
                  <c:v>-21.333254680163822</c:v>
                </c:pt>
                <c:pt idx="297">
                  <c:v>-21.385234729089756</c:v>
                </c:pt>
                <c:pt idx="298">
                  <c:v>-21.439005793962806</c:v>
                </c:pt>
                <c:pt idx="299">
                  <c:v>-21.494606406910069</c:v>
                </c:pt>
                <c:pt idx="300">
                  <c:v>-21.552074355085754</c:v>
                </c:pt>
                <c:pt idx="301">
                  <c:v>-21.611446567879405</c:v>
                </c:pt>
                <c:pt idx="302">
                  <c:v>-21.672759002879136</c:v>
                </c:pt>
                <c:pt idx="303">
                  <c:v>-21.736046531221788</c:v>
                </c:pt>
                <c:pt idx="304">
                  <c:v>-21.801342823001409</c:v>
                </c:pt>
                <c:pt idx="305">
                  <c:v>-21.868680233442536</c:v>
                </c:pt>
                <c:pt idx="306">
                  <c:v>-21.938089690573335</c:v>
                </c:pt>
                <c:pt idx="307">
                  <c:v>-22.009600585155027</c:v>
                </c:pt>
                <c:pt idx="308">
                  <c:v>-22.083240663638488</c:v>
                </c:pt>
                <c:pt idx="309">
                  <c:v>-22.159035924924222</c:v>
                </c:pt>
                <c:pt idx="310">
                  <c:v>-22.237010521698522</c:v>
                </c:pt>
                <c:pt idx="311">
                  <c:v>-22.317186667106441</c:v>
                </c:pt>
                <c:pt idx="312">
                  <c:v>-22.3995845474997</c:v>
                </c:pt>
                <c:pt idx="313">
                  <c:v>-22.484222241966375</c:v>
                </c:pt>
                <c:pt idx="314">
                  <c:v>-22.571115649307622</c:v>
                </c:pt>
                <c:pt idx="315">
                  <c:v>-22.660278423076562</c:v>
                </c:pt>
                <c:pt idx="316">
                  <c:v>-22.751721915235375</c:v>
                </c:pt>
                <c:pt idx="317">
                  <c:v>-22.845455128919397</c:v>
                </c:pt>
                <c:pt idx="318">
                  <c:v>-22.941484680722702</c:v>
                </c:pt>
                <c:pt idx="319">
                  <c:v>-23.039814772839371</c:v>
                </c:pt>
                <c:pt idx="320">
                  <c:v>-23.140447175308708</c:v>
                </c:pt>
                <c:pt idx="321">
                  <c:v>-23.24338121852341</c:v>
                </c:pt>
                <c:pt idx="322">
                  <c:v>-23.348613796068832</c:v>
                </c:pt>
                <c:pt idx="323">
                  <c:v>-23.456139377866293</c:v>
                </c:pt>
                <c:pt idx="324">
                  <c:v>-23.565950033504031</c:v>
                </c:pt>
                <c:pt idx="325">
                  <c:v>-23.67803546554638</c:v>
                </c:pt>
                <c:pt idx="326">
                  <c:v>-23.792383052525583</c:v>
                </c:pt>
                <c:pt idx="327">
                  <c:v>-23.908977901236806</c:v>
                </c:pt>
                <c:pt idx="328">
                  <c:v>-24.027802907880556</c:v>
                </c:pt>
                <c:pt idx="329">
                  <c:v>-24.148838827526209</c:v>
                </c:pt>
                <c:pt idx="330">
                  <c:v>-24.272064351306057</c:v>
                </c:pt>
                <c:pt idx="331">
                  <c:v>-24.397456190697348</c:v>
                </c:pt>
                <c:pt idx="332">
                  <c:v>-24.524989168202019</c:v>
                </c:pt>
                <c:pt idx="333">
                  <c:v>-24.654636313699626</c:v>
                </c:pt>
                <c:pt idx="334">
                  <c:v>-24.786368965721501</c:v>
                </c:pt>
                <c:pt idx="335">
                  <c:v>-24.92015687687751</c:v>
                </c:pt>
                <c:pt idx="336">
                  <c:v>-25.05596832266043</c:v>
                </c:pt>
                <c:pt idx="337">
                  <c:v>-25.193770212851984</c:v>
                </c:pt>
                <c:pt idx="338">
                  <c:v>-25.333528204768413</c:v>
                </c:pt>
                <c:pt idx="339">
                  <c:v>-25.475206817598899</c:v>
                </c:pt>
                <c:pt idx="340">
                  <c:v>-25.618769547116834</c:v>
                </c:pt>
                <c:pt idx="341">
                  <c:v>-25.764178980076579</c:v>
                </c:pt>
                <c:pt idx="342">
                  <c:v>-25.911396907643962</c:v>
                </c:pt>
                <c:pt idx="343">
                  <c:v>-26.060384437255149</c:v>
                </c:pt>
                <c:pt idx="344">
                  <c:v>-26.211102102340146</c:v>
                </c:pt>
                <c:pt idx="345">
                  <c:v>-26.363509969400578</c:v>
                </c:pt>
                <c:pt idx="346">
                  <c:v>-26.517567741980336</c:v>
                </c:pt>
                <c:pt idx="347">
                  <c:v>-26.67323486112091</c:v>
                </c:pt>
                <c:pt idx="348">
                  <c:v>-26.830470601947532</c:v>
                </c:pt>
                <c:pt idx="349">
                  <c:v>-26.989234166082724</c:v>
                </c:pt>
                <c:pt idx="350">
                  <c:v>-27.149484769637514</c:v>
                </c:pt>
                <c:pt idx="351">
                  <c:v>-27.311181726580326</c:v>
                </c:pt>
                <c:pt idx="352">
                  <c:v>-27.474284527331939</c:v>
                </c:pt>
                <c:pt idx="353">
                  <c:v>-27.638752912479724</c:v>
                </c:pt>
                <c:pt idx="354">
                  <c:v>-27.804546941549283</c:v>
                </c:pt>
                <c:pt idx="355">
                  <c:v>-27.971627056810174</c:v>
                </c:pt>
                <c:pt idx="356">
                  <c:v>-28.139954142129007</c:v>
                </c:pt>
                <c:pt idx="357">
                  <c:v>-28.309489576917684</c:v>
                </c:pt>
                <c:pt idx="358">
                  <c:v>-28.480195285253785</c:v>
                </c:pt>
                <c:pt idx="359">
                  <c:v>-28.652033780276209</c:v>
                </c:pt>
                <c:pt idx="360">
                  <c:v>-28.824968203983275</c:v>
                </c:pt>
                <c:pt idx="361">
                  <c:v>-28.998962362579718</c:v>
                </c:pt>
                <c:pt idx="362">
                  <c:v>-29.173980757535677</c:v>
                </c:pt>
                <c:pt idx="363">
                  <c:v>-29.34998861253467</c:v>
                </c:pt>
                <c:pt idx="364">
                  <c:v>-29.526951896498449</c:v>
                </c:pt>
                <c:pt idx="365">
                  <c:v>-29.704837342884339</c:v>
                </c:pt>
                <c:pt idx="366">
                  <c:v>-29.883612465457428</c:v>
                </c:pt>
                <c:pt idx="367">
                  <c:v>-30.063245570741898</c:v>
                </c:pt>
                <c:pt idx="368">
                  <c:v>-30.243705767359323</c:v>
                </c:pt>
                <c:pt idx="369">
                  <c:v>-30.424962972459852</c:v>
                </c:pt>
                <c:pt idx="370">
                  <c:v>-30.606987915450993</c:v>
                </c:pt>
                <c:pt idx="371">
                  <c:v>-30.789752139225904</c:v>
                </c:pt>
                <c:pt idx="372">
                  <c:v>-30.973227999088031</c:v>
                </c:pt>
                <c:pt idx="373">
                  <c:v>-31.157388659563289</c:v>
                </c:pt>
                <c:pt idx="374">
                  <c:v>-31.342208089285698</c:v>
                </c:pt>
                <c:pt idx="375">
                  <c:v>-31.52766105413507</c:v>
                </c:pt>
                <c:pt idx="376">
                  <c:v>-31.713723108796881</c:v>
                </c:pt>
                <c:pt idx="377">
                  <c:v>-31.900370586907979</c:v>
                </c:pt>
                <c:pt idx="378">
                  <c:v>-32.087580589942839</c:v>
                </c:pt>
                <c:pt idx="379">
                  <c:v>-32.275330974986801</c:v>
                </c:pt>
                <c:pt idx="380">
                  <c:v>-32.463600341534558</c:v>
                </c:pt>
                <c:pt idx="381">
                  <c:v>-32.652368017443173</c:v>
                </c:pt>
                <c:pt idx="382">
                  <c:v>-32.841614044161211</c:v>
                </c:pt>
                <c:pt idx="383">
                  <c:v>-33.031319161347156</c:v>
                </c:pt>
                <c:pt idx="384">
                  <c:v>-33.221464790981365</c:v>
                </c:pt>
                <c:pt idx="385">
                  <c:v>-33.412033021069718</c:v>
                </c:pt>
                <c:pt idx="386">
                  <c:v>-33.603006589027672</c:v>
                </c:pt>
                <c:pt idx="387">
                  <c:v>-33.794368864827689</c:v>
                </c:pt>
                <c:pt idx="388">
                  <c:v>-33.986103833984473</c:v>
                </c:pt>
                <c:pt idx="389">
                  <c:v>-34.178196080448366</c:v>
                </c:pt>
                <c:pt idx="390">
                  <c:v>-34.370630769466544</c:v>
                </c:pt>
                <c:pt idx="391">
                  <c:v>-34.563393630471985</c:v>
                </c:pt>
                <c:pt idx="392">
                  <c:v>-34.756470940047322</c:v>
                </c:pt>
                <c:pt idx="393">
                  <c:v>-34.949849505011755</c:v>
                </c:pt>
                <c:pt idx="394">
                  <c:v>-35.143516645669941</c:v>
                </c:pt>
                <c:pt idx="395">
                  <c:v>-35.337460179259573</c:v>
                </c:pt>
                <c:pt idx="396">
                  <c:v>-35.531668403628714</c:v>
                </c:pt>
                <c:pt idx="397">
                  <c:v>-35.726130081170808</c:v>
                </c:pt>
                <c:pt idx="398">
                  <c:v>-35.920834423040617</c:v>
                </c:pt>
                <c:pt idx="399">
                  <c:v>-36.11577107367232</c:v>
                </c:pt>
                <c:pt idx="400">
                  <c:v>-36.310930095616413</c:v>
                </c:pt>
                <c:pt idx="401">
                  <c:v>-36.506301954709876</c:v>
                </c:pt>
                <c:pt idx="402">
                  <c:v>-36.701877505591519</c:v>
                </c:pt>
                <c:pt idx="403">
                  <c:v>-36.897647977571879</c:v>
                </c:pt>
                <c:pt idx="404">
                  <c:v>-37.093604960865093</c:v>
                </c:pt>
                <c:pt idx="405">
                  <c:v>-37.289740393186371</c:v>
                </c:pt>
                <c:pt idx="406">
                  <c:v>-37.486046546720964</c:v>
                </c:pt>
                <c:pt idx="407">
                  <c:v>-37.682516015463975</c:v>
                </c:pt>
                <c:pt idx="408">
                  <c:v>-37.879141702933232</c:v>
                </c:pt>
                <c:pt idx="409">
                  <c:v>-38.075916810252323</c:v>
                </c:pt>
                <c:pt idx="410">
                  <c:v>-38.272834824604203</c:v>
                </c:pt>
                <c:pt idx="411">
                  <c:v>-38.469889508048816</c:v>
                </c:pt>
                <c:pt idx="412">
                  <c:v>-38.667074886704611</c:v>
                </c:pt>
                <c:pt idx="413">
                  <c:v>-38.864385240285927</c:v>
                </c:pt>
                <c:pt idx="414">
                  <c:v>-39.061815091992166</c:v>
                </c:pt>
                <c:pt idx="415">
                  <c:v>-39.259359198742807</c:v>
                </c:pt>
                <c:pt idx="416">
                  <c:v>-39.457012541751205</c:v>
                </c:pt>
                <c:pt idx="417">
                  <c:v>-39.654770317430923</c:v>
                </c:pt>
                <c:pt idx="418">
                  <c:v>-39.852627928625658</c:v>
                </c:pt>
                <c:pt idx="419">
                  <c:v>-40.050580976156965</c:v>
                </c:pt>
                <c:pt idx="420">
                  <c:v>-40.248625250681926</c:v>
                </c:pt>
                <c:pt idx="421">
                  <c:v>-40.446756724850353</c:v>
                </c:pt>
                <c:pt idx="422">
                  <c:v>-40.644971545757144</c:v>
                </c:pt>
                <c:pt idx="423">
                  <c:v>-40.843266027677714</c:v>
                </c:pt>
                <c:pt idx="424">
                  <c:v>-41.041636645081695</c:v>
                </c:pt>
                <c:pt idx="425">
                  <c:v>-41.24008002591448</c:v>
                </c:pt>
                <c:pt idx="426">
                  <c:v>-41.438592945138836</c:v>
                </c:pt>
                <c:pt idx="427">
                  <c:v>-41.637172318529352</c:v>
                </c:pt>
                <c:pt idx="428">
                  <c:v>-41.835815196709945</c:v>
                </c:pt>
                <c:pt idx="429">
                  <c:v>-42.034518759428835</c:v>
                </c:pt>
                <c:pt idx="430">
                  <c:v>-42.233280310060117</c:v>
                </c:pt>
                <c:pt idx="431">
                  <c:v>-42.432097270326985</c:v>
                </c:pt>
                <c:pt idx="432">
                  <c:v>-42.630967175236989</c:v>
                </c:pt>
                <c:pt idx="433">
                  <c:v>-42.829887668223009</c:v>
                </c:pt>
                <c:pt idx="434">
                  <c:v>-43.028856496482206</c:v>
                </c:pt>
                <c:pt idx="435">
                  <c:v>-43.227871506505593</c:v>
                </c:pt>
                <c:pt idx="436">
                  <c:v>-43.426930639791976</c:v>
                </c:pt>
                <c:pt idx="437">
                  <c:v>-43.626031928738158</c:v>
                </c:pt>
                <c:pt idx="438">
                  <c:v>-43.825173492701246</c:v>
                </c:pt>
                <c:pt idx="439">
                  <c:v>-44.024353534222776</c:v>
                </c:pt>
                <c:pt idx="440">
                  <c:v>-44.223570335412667</c:v>
                </c:pt>
                <c:pt idx="441">
                  <c:v>-44.422822254483961</c:v>
                </c:pt>
                <c:pt idx="442">
                  <c:v>-44.622107722433341</c:v>
                </c:pt>
                <c:pt idx="443">
                  <c:v>-44.821425239862492</c:v>
                </c:pt>
                <c:pt idx="444">
                  <c:v>-45.020773373933324</c:v>
                </c:pt>
                <c:pt idx="445">
                  <c:v>-45.220150755453339</c:v>
                </c:pt>
                <c:pt idx="446">
                  <c:v>-45.419556076084262</c:v>
                </c:pt>
                <c:pt idx="447">
                  <c:v>-45.618988085671042</c:v>
                </c:pt>
                <c:pt idx="448">
                  <c:v>-45.818445589683883</c:v>
                </c:pt>
                <c:pt idx="449">
                  <c:v>-46.017927446771203</c:v>
                </c:pt>
                <c:pt idx="450">
                  <c:v>-46.217432566417116</c:v>
                </c:pt>
                <c:pt idx="451">
                  <c:v>-46.416959906700235</c:v>
                </c:pt>
                <c:pt idx="452">
                  <c:v>-46.616508472149071</c:v>
                </c:pt>
                <c:pt idx="453">
                  <c:v>-46.816077311690442</c:v>
                </c:pt>
                <c:pt idx="454">
                  <c:v>-47.01566551668666</c:v>
                </c:pt>
                <c:pt idx="455">
                  <c:v>-47.215272219058086</c:v>
                </c:pt>
                <c:pt idx="456">
                  <c:v>-47.414896589487086</c:v>
                </c:pt>
                <c:pt idx="457">
                  <c:v>-47.614537835700681</c:v>
                </c:pt>
                <c:pt idx="458">
                  <c:v>-47.814195200827569</c:v>
                </c:pt>
                <c:pt idx="459">
                  <c:v>-48.0138679618276</c:v>
                </c:pt>
                <c:pt idx="460">
                  <c:v>-48.213555427989391</c:v>
                </c:pt>
                <c:pt idx="461">
                  <c:v>-48.413256939494083</c:v>
                </c:pt>
                <c:pt idx="462">
                  <c:v>-48.61297186604201</c:v>
                </c:pt>
                <c:pt idx="463">
                  <c:v>-48.812699605539578</c:v>
                </c:pt>
                <c:pt idx="464">
                  <c:v>-49.012439582844209</c:v>
                </c:pt>
                <c:pt idx="465">
                  <c:v>-49.212191248564103</c:v>
                </c:pt>
                <c:pt idx="466">
                  <c:v>-49.411954077911261</c:v>
                </c:pt>
                <c:pt idx="467">
                  <c:v>-49.61172756960476</c:v>
                </c:pt>
                <c:pt idx="468">
                  <c:v>-49.811511244822768</c:v>
                </c:pt>
                <c:pt idx="469">
                  <c:v>-50.011304646200536</c:v>
                </c:pt>
                <c:pt idx="470">
                  <c:v>-50.211107336872978</c:v>
                </c:pt>
                <c:pt idx="471">
                  <c:v>-50.41091889955959</c:v>
                </c:pt>
                <c:pt idx="472">
                  <c:v>-50.610738935689568</c:v>
                </c:pt>
                <c:pt idx="473">
                  <c:v>-50.810567064566207</c:v>
                </c:pt>
                <c:pt idx="474">
                  <c:v>-51.010402922567891</c:v>
                </c:pt>
                <c:pt idx="475">
                  <c:v>-51.210246162384976</c:v>
                </c:pt>
                <c:pt idx="476">
                  <c:v>-51.410096452290261</c:v>
                </c:pt>
                <c:pt idx="477">
                  <c:v>-51.609953475441998</c:v>
                </c:pt>
                <c:pt idx="478">
                  <c:v>-51.80981692921776</c:v>
                </c:pt>
                <c:pt idx="479">
                  <c:v>-52.009686524578143</c:v>
                </c:pt>
                <c:pt idx="480">
                  <c:v>-52.209561985458834</c:v>
                </c:pt>
                <c:pt idx="481">
                  <c:v>-52.409443048189253</c:v>
                </c:pt>
                <c:pt idx="482">
                  <c:v>-52.609329460937879</c:v>
                </c:pt>
                <c:pt idx="483">
                  <c:v>-52.809220983181611</c:v>
                </c:pt>
                <c:pt idx="484">
                  <c:v>-53.009117385199175</c:v>
                </c:pt>
                <c:pt idx="485">
                  <c:v>-53.209018447587084</c:v>
                </c:pt>
                <c:pt idx="486">
                  <c:v>-53.408923960796912</c:v>
                </c:pt>
                <c:pt idx="487">
                  <c:v>-53.60883372469381</c:v>
                </c:pt>
                <c:pt idx="488">
                  <c:v>-53.808747548134122</c:v>
                </c:pt>
                <c:pt idx="489">
                  <c:v>-54.008665248562195</c:v>
                </c:pt>
                <c:pt idx="490">
                  <c:v>-54.208586651625239</c:v>
                </c:pt>
                <c:pt idx="491">
                  <c:v>-54.408511590805361</c:v>
                </c:pt>
                <c:pt idx="492">
                  <c:v>-54.60843990706779</c:v>
                </c:pt>
                <c:pt idx="493">
                  <c:v>-54.808371448525321</c:v>
                </c:pt>
                <c:pt idx="494">
                  <c:v>-55.008306070117492</c:v>
                </c:pt>
                <c:pt idx="495">
                  <c:v>-55.20824363330388</c:v>
                </c:pt>
                <c:pt idx="496">
                  <c:v>-55.408184005771872</c:v>
                </c:pt>
                <c:pt idx="497">
                  <c:v>-55.60812706115663</c:v>
                </c:pt>
                <c:pt idx="498">
                  <c:v>-55.80807267877428</c:v>
                </c:pt>
                <c:pt idx="499">
                  <c:v>-56.008020743366551</c:v>
                </c:pt>
                <c:pt idx="500">
                  <c:v>-56.207971144857503</c:v>
                </c:pt>
                <c:pt idx="501">
                  <c:v>-56.407923778120292</c:v>
                </c:pt>
                <c:pt idx="502">
                  <c:v>-56.607878542755131</c:v>
                </c:pt>
                <c:pt idx="503">
                  <c:v>-56.807835342876999</c:v>
                </c:pt>
                <c:pt idx="504">
                  <c:v>-57.007794086912455</c:v>
                </c:pt>
                <c:pt idx="505">
                  <c:v>-57.207754687406414</c:v>
                </c:pt>
                <c:pt idx="506">
                  <c:v>-57.407717060836561</c:v>
                </c:pt>
                <c:pt idx="507">
                  <c:v>-57.607681127436877</c:v>
                </c:pt>
                <c:pt idx="508">
                  <c:v>-57.807646811029173</c:v>
                </c:pt>
                <c:pt idx="509">
                  <c:v>-58.007614038861028</c:v>
                </c:pt>
                <c:pt idx="510">
                  <c:v>-58.207582741452669</c:v>
                </c:pt>
                <c:pt idx="511">
                  <c:v>-58.407552852449129</c:v>
                </c:pt>
                <c:pt idx="512">
                  <c:v>-58.60752430848035</c:v>
                </c:pt>
                <c:pt idx="513">
                  <c:v>-58.807497049026537</c:v>
                </c:pt>
                <c:pt idx="514">
                  <c:v>-59.007471016290594</c:v>
                </c:pt>
                <c:pt idx="515">
                  <c:v>-59.207446155075097</c:v>
                </c:pt>
                <c:pt idx="516">
                  <c:v>-59.407422412665881</c:v>
                </c:pt>
                <c:pt idx="517">
                  <c:v>-59.607399738719778</c:v>
                </c:pt>
                <c:pt idx="518">
                  <c:v>-59.807378085158909</c:v>
                </c:pt>
                <c:pt idx="519">
                  <c:v>-60.007357406068074</c:v>
                </c:pt>
                <c:pt idx="520">
                  <c:v>-60.207337657597691</c:v>
                </c:pt>
                <c:pt idx="521">
                  <c:v>-60.407318797870992</c:v>
                </c:pt>
                <c:pt idx="522">
                  <c:v>-60.607300786895465</c:v>
                </c:pt>
                <c:pt idx="523">
                  <c:v>-60.807283586477595</c:v>
                </c:pt>
                <c:pt idx="524">
                  <c:v>-61.007267160142433</c:v>
                </c:pt>
                <c:pt idx="525">
                  <c:v>-61.207251473056161</c:v>
                </c:pt>
                <c:pt idx="526">
                  <c:v>-61.40723649195219</c:v>
                </c:pt>
                <c:pt idx="527">
                  <c:v>-61.607222185060806</c:v>
                </c:pt>
                <c:pt idx="528">
                  <c:v>-61.807208522041492</c:v>
                </c:pt>
                <c:pt idx="529">
                  <c:v>-62.007195473919261</c:v>
                </c:pt>
                <c:pt idx="530">
                  <c:v>-62.207183013022636</c:v>
                </c:pt>
                <c:pt idx="531">
                  <c:v>-62.407171112925425</c:v>
                </c:pt>
                <c:pt idx="532">
                  <c:v>-62.607159748390345</c:v>
                </c:pt>
                <c:pt idx="533">
                  <c:v>-62.807148895315819</c:v>
                </c:pt>
                <c:pt idx="534">
                  <c:v>-63.007138530684841</c:v>
                </c:pt>
                <c:pt idx="535">
                  <c:v>-63.207128632515925</c:v>
                </c:pt>
                <c:pt idx="536">
                  <c:v>-63.40711917981703</c:v>
                </c:pt>
                <c:pt idx="537">
                  <c:v>-63.607110152540436</c:v>
                </c:pt>
                <c:pt idx="538">
                  <c:v>-63.80710153154071</c:v>
                </c:pt>
                <c:pt idx="539">
                  <c:v>-64.007093298533917</c:v>
                </c:pt>
                <c:pt idx="540">
                  <c:v>-64.207085436058804</c:v>
                </c:pt>
                <c:pt idx="541">
                  <c:v>-64.407077927440199</c:v>
                </c:pt>
              </c:numCache>
            </c:numRef>
          </c:yVal>
          <c:smooth val="1"/>
          <c:extLst>
            <c:ext xmlns:c16="http://schemas.microsoft.com/office/drawing/2014/chart" uri="{C3380CC4-5D6E-409C-BE32-E72D297353CC}">
              <c16:uniqueId val="{00000000-C95D-4273-8D1D-E8C586949522}"/>
            </c:ext>
          </c:extLst>
        </c:ser>
        <c:dLbls>
          <c:showLegendKey val="0"/>
          <c:showVal val="0"/>
          <c:showCatName val="0"/>
          <c:showSerName val="0"/>
          <c:showPercent val="0"/>
          <c:showBubbleSize val="0"/>
        </c:dLbls>
        <c:axId val="160531200"/>
        <c:axId val="160533120"/>
      </c:scatterChart>
      <c:scatterChart>
        <c:scatterStyle val="smoothMarker"/>
        <c:varyColors val="0"/>
        <c:ser>
          <c:idx val="1"/>
          <c:order val="1"/>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Loop_Modeling!$AR$19:$AR$560</c:f>
              <c:numCache>
                <c:formatCode>General</c:formatCode>
                <c:ptCount val="542"/>
                <c:pt idx="0">
                  <c:v>122.70234903304566</c:v>
                </c:pt>
                <c:pt idx="1">
                  <c:v>123.30446929009071</c:v>
                </c:pt>
                <c:pt idx="2">
                  <c:v>123.91208936211233</c:v>
                </c:pt>
                <c:pt idx="3">
                  <c:v>124.52498235059923</c:v>
                </c:pt>
                <c:pt idx="4">
                  <c:v>125.14290970427261</c:v>
                </c:pt>
                <c:pt idx="5">
                  <c:v>125.765621508034</c:v>
                </c:pt>
                <c:pt idx="6">
                  <c:v>126.39285682876557</c:v>
                </c:pt>
                <c:pt idx="7">
                  <c:v>127.02434411803178</c:v>
                </c:pt>
                <c:pt idx="8">
                  <c:v>127.6598016712298</c:v>
                </c:pt>
                <c:pt idx="9">
                  <c:v>128.2989381422334</c:v>
                </c:pt>
                <c:pt idx="10">
                  <c:v>128.9414531120272</c:v>
                </c:pt>
                <c:pt idx="11">
                  <c:v>129.58703770931433</c:v>
                </c:pt>
                <c:pt idx="12">
                  <c:v>130.2353752805333</c:v>
                </c:pt>
                <c:pt idx="13">
                  <c:v>130.88614210621367</c:v>
                </c:pt>
                <c:pt idx="14">
                  <c:v>131.53900816008772</c:v>
                </c:pt>
                <c:pt idx="15">
                  <c:v>132.19363790691722</c:v>
                </c:pt>
                <c:pt idx="16">
                  <c:v>132.84969113454321</c:v>
                </c:pt>
                <c:pt idx="17">
                  <c:v>133.50682381529268</c:v>
                </c:pt>
                <c:pt idx="18">
                  <c:v>134.16468899151468</c:v>
                </c:pt>
                <c:pt idx="19">
                  <c:v>134.82293767975742</c:v>
                </c:pt>
                <c:pt idx="20">
                  <c:v>135.48121978785517</c:v>
                </c:pt>
                <c:pt idx="21">
                  <c:v>136.13918503905657</c:v>
                </c:pt>
                <c:pt idx="22">
                  <c:v>136.79648389723138</c:v>
                </c:pt>
                <c:pt idx="23">
                  <c:v>137.45276848718626</c:v>
                </c:pt>
                <c:pt idx="24">
                  <c:v>138.10769350417092</c:v>
                </c:pt>
                <c:pt idx="25">
                  <c:v>138.76091710679569</c:v>
                </c:pt>
                <c:pt idx="26">
                  <c:v>139.41210178776586</c:v>
                </c:pt>
                <c:pt idx="27">
                  <c:v>140.06091521711238</c:v>
                </c:pt>
                <c:pt idx="28">
                  <c:v>140.70703105290838</c:v>
                </c:pt>
                <c:pt idx="29">
                  <c:v>141.35012971484147</c:v>
                </c:pt>
                <c:pt idx="30">
                  <c:v>141.98989911643025</c:v>
                </c:pt>
                <c:pt idx="31">
                  <c:v>142.62603535213319</c:v>
                </c:pt>
                <c:pt idx="32">
                  <c:v>143.25824333608657</c:v>
                </c:pt>
                <c:pt idx="33">
                  <c:v>143.88623738972865</c:v>
                </c:pt>
                <c:pt idx="34">
                  <c:v>144.5097417760829</c:v>
                </c:pt>
                <c:pt idx="35">
                  <c:v>145.12849117901902</c:v>
                </c:pt>
                <c:pt idx="36">
                  <c:v>145.74223112633391</c:v>
                </c:pt>
                <c:pt idx="37">
                  <c:v>146.35071835601735</c:v>
                </c:pt>
                <c:pt idx="38">
                  <c:v>146.95372112557601</c:v>
                </c:pt>
                <c:pt idx="39">
                  <c:v>147.5510194647654</c:v>
                </c:pt>
                <c:pt idx="40">
                  <c:v>148.14240537253593</c:v>
                </c:pt>
                <c:pt idx="41">
                  <c:v>148.72768295941947</c:v>
                </c:pt>
                <c:pt idx="42">
                  <c:v>149.30666853696044</c:v>
                </c:pt>
                <c:pt idx="43">
                  <c:v>149.87919065614318</c:v>
                </c:pt>
                <c:pt idx="44">
                  <c:v>150.44509009706576</c:v>
                </c:pt>
                <c:pt idx="45">
                  <c:v>151.00421981236514</c:v>
                </c:pt>
                <c:pt idx="46">
                  <c:v>151.55644482711736</c:v>
                </c:pt>
                <c:pt idx="47">
                  <c:v>152.10164209810227</c:v>
                </c:pt>
                <c:pt idx="48">
                  <c:v>152.63970033545488</c:v>
                </c:pt>
                <c:pt idx="49">
                  <c:v>153.17051978981192</c:v>
                </c:pt>
                <c:pt idx="50">
                  <c:v>153.69401200811637</c:v>
                </c:pt>
                <c:pt idx="51">
                  <c:v>154.21009956125212</c:v>
                </c:pt>
                <c:pt idx="52">
                  <c:v>154.71871574667139</c:v>
                </c:pt>
                <c:pt idx="53">
                  <c:v>155.21980426912739</c:v>
                </c:pt>
                <c:pt idx="54">
                  <c:v>155.71331890255024</c:v>
                </c:pt>
                <c:pt idx="55">
                  <c:v>156.19922313601529</c:v>
                </c:pt>
                <c:pt idx="56">
                  <c:v>156.67748980663305</c:v>
                </c:pt>
                <c:pt idx="57">
                  <c:v>157.14810072206245</c:v>
                </c:pt>
                <c:pt idx="58">
                  <c:v>157.61104627520484</c:v>
                </c:pt>
                <c:pt idx="59">
                  <c:v>158.06632505348114</c:v>
                </c:pt>
                <c:pt idx="60">
                  <c:v>158.51394344493778</c:v>
                </c:pt>
                <c:pt idx="61">
                  <c:v>158.95391524325606</c:v>
                </c:pt>
                <c:pt idx="62">
                  <c:v>159.38626125357723</c:v>
                </c:pt>
                <c:pt idx="63">
                  <c:v>159.81100890088359</c:v>
                </c:pt>
                <c:pt idx="64">
                  <c:v>160.22819184251168</c:v>
                </c:pt>
                <c:pt idx="65">
                  <c:v>160.63784958620954</c:v>
                </c:pt>
                <c:pt idx="66">
                  <c:v>161.04002711499285</c:v>
                </c:pt>
                <c:pt idx="67">
                  <c:v>161.43477451989966</c:v>
                </c:pt>
                <c:pt idx="68">
                  <c:v>161.82214664159889</c:v>
                </c:pt>
                <c:pt idx="69">
                  <c:v>162.20220272167003</c:v>
                </c:pt>
                <c:pt idx="70">
                  <c:v>162.57500606423764</c:v>
                </c:pt>
                <c:pt idx="71">
                  <c:v>162.94062370852484</c:v>
                </c:pt>
                <c:pt idx="72">
                  <c:v>163.29912611277371</c:v>
                </c:pt>
                <c:pt idx="73">
                  <c:v>163.65058684987744</c:v>
                </c:pt>
                <c:pt idx="74">
                  <c:v>163.99508231496947</c:v>
                </c:pt>
                <c:pt idx="75">
                  <c:v>164.33269144512951</c:v>
                </c:pt>
                <c:pt idx="76">
                  <c:v>164.66349545128506</c:v>
                </c:pt>
                <c:pt idx="77">
                  <c:v>164.98757756231427</c:v>
                </c:pt>
                <c:pt idx="78">
                  <c:v>165.30502278129313</c:v>
                </c:pt>
                <c:pt idx="79">
                  <c:v>165.61591765377332</c:v>
                </c:pt>
                <c:pt idx="80">
                  <c:v>165.92035004792496</c:v>
                </c:pt>
                <c:pt idx="81">
                  <c:v>166.21840894633741</c:v>
                </c:pt>
                <c:pt idx="82">
                  <c:v>166.51018424923299</c:v>
                </c:pt>
                <c:pt idx="83">
                  <c:v>166.79576658881624</c:v>
                </c:pt>
                <c:pt idx="84">
                  <c:v>167.07524715445618</c:v>
                </c:pt>
                <c:pt idx="85">
                  <c:v>167.34871752837537</c:v>
                </c:pt>
                <c:pt idx="86">
                  <c:v>167.61626953150582</c:v>
                </c:pt>
                <c:pt idx="87">
                  <c:v>167.87799507915301</c:v>
                </c:pt>
                <c:pt idx="88">
                  <c:v>168.13398604610606</c:v>
                </c:pt>
                <c:pt idx="89">
                  <c:v>168.38433414082007</c:v>
                </c:pt>
                <c:pt idx="90">
                  <c:v>168.62913078829598</c:v>
                </c:pt>
                <c:pt idx="91">
                  <c:v>168.86846702128202</c:v>
                </c:pt>
                <c:pt idx="92">
                  <c:v>169.10243337941975</c:v>
                </c:pt>
                <c:pt idx="93">
                  <c:v>169.33111981596545</c:v>
                </c:pt>
                <c:pt idx="94">
                  <c:v>169.55461561171609</c:v>
                </c:pt>
                <c:pt idx="95">
                  <c:v>169.77300929578089</c:v>
                </c:pt>
                <c:pt idx="96">
                  <c:v>169.98638857284439</c:v>
                </c:pt>
                <c:pt idx="97">
                  <c:v>170.19484025657556</c:v>
                </c:pt>
                <c:pt idx="98">
                  <c:v>170.39845020884647</c:v>
                </c:pt>
                <c:pt idx="99">
                  <c:v>170.59730328443655</c:v>
                </c:pt>
                <c:pt idx="100">
                  <c:v>170.79148328090446</c:v>
                </c:pt>
                <c:pt idx="101">
                  <c:v>170.9810728933254</c:v>
                </c:pt>
                <c:pt idx="102">
                  <c:v>171.16615367360021</c:v>
                </c:pt>
                <c:pt idx="103">
                  <c:v>171.34680599405243</c:v>
                </c:pt>
                <c:pt idx="104">
                  <c:v>171.52310901504674</c:v>
                </c:pt>
                <c:pt idx="105">
                  <c:v>171.69514065636562</c:v>
                </c:pt>
                <c:pt idx="106">
                  <c:v>171.86297757210045</c:v>
                </c:pt>
                <c:pt idx="107">
                  <c:v>172.02669512881849</c:v>
                </c:pt>
                <c:pt idx="108">
                  <c:v>172.18636738678146</c:v>
                </c:pt>
                <c:pt idx="109">
                  <c:v>172.34206708400151</c:v>
                </c:pt>
                <c:pt idx="110">
                  <c:v>172.49386562293139</c:v>
                </c:pt>
                <c:pt idx="111">
                  <c:v>172.64183305959432</c:v>
                </c:pt>
                <c:pt idx="112">
                  <c:v>172.78603809497207</c:v>
                </c:pt>
                <c:pt idx="113">
                  <c:v>172.92654806847636</c:v>
                </c:pt>
                <c:pt idx="114">
                  <c:v>173.06342895334126</c:v>
                </c:pt>
                <c:pt idx="115">
                  <c:v>173.19674535377914</c:v>
                </c:pt>
                <c:pt idx="116">
                  <c:v>173.32656050375621</c:v>
                </c:pt>
                <c:pt idx="117">
                  <c:v>173.45293626724936</c:v>
                </c:pt>
                <c:pt idx="118">
                  <c:v>173.57593313985262</c:v>
                </c:pt>
                <c:pt idx="119">
                  <c:v>173.695610251613</c:v>
                </c:pt>
                <c:pt idx="120">
                  <c:v>173.81202537098017</c:v>
                </c:pt>
                <c:pt idx="121">
                  <c:v>173.92523490976109</c:v>
                </c:pt>
                <c:pt idx="122">
                  <c:v>174.03529392897937</c:v>
                </c:pt>
                <c:pt idx="123">
                  <c:v>174.14225614554337</c:v>
                </c:pt>
                <c:pt idx="124">
                  <c:v>174.24617393963473</c:v>
                </c:pt>
                <c:pt idx="125">
                  <c:v>174.3470983627324</c:v>
                </c:pt>
                <c:pt idx="126">
                  <c:v>174.44507914619652</c:v>
                </c:pt>
                <c:pt idx="127">
                  <c:v>174.54016471033603</c:v>
                </c:pt>
                <c:pt idx="128">
                  <c:v>174.63240217389398</c:v>
                </c:pt>
                <c:pt idx="129">
                  <c:v>174.72183736388664</c:v>
                </c:pt>
                <c:pt idx="130">
                  <c:v>174.80851482573536</c:v>
                </c:pt>
                <c:pt idx="131">
                  <c:v>174.89247783363774</c:v>
                </c:pt>
                <c:pt idx="132">
                  <c:v>174.97376840112486</c:v>
                </c:pt>
                <c:pt idx="133">
                  <c:v>175.0524272917576</c:v>
                </c:pt>
                <c:pt idx="134">
                  <c:v>175.12849402991654</c:v>
                </c:pt>
                <c:pt idx="135">
                  <c:v>175.20200691164433</c:v>
                </c:pt>
                <c:pt idx="136">
                  <c:v>175.27300301550133</c:v>
                </c:pt>
                <c:pt idx="137">
                  <c:v>175.34151821339964</c:v>
                </c:pt>
                <c:pt idx="138">
                  <c:v>175.40758718138053</c:v>
                </c:pt>
                <c:pt idx="139">
                  <c:v>175.47124341030664</c:v>
                </c:pt>
                <c:pt idx="140">
                  <c:v>175.5325192164382</c:v>
                </c:pt>
                <c:pt idx="141">
                  <c:v>175.59144575186826</c:v>
                </c:pt>
                <c:pt idx="142">
                  <c:v>175.6480530147918</c:v>
                </c:pt>
                <c:pt idx="143">
                  <c:v>175.70236985958616</c:v>
                </c:pt>
                <c:pt idx="144">
                  <c:v>175.75442400668231</c:v>
                </c:pt>
                <c:pt idx="145">
                  <c:v>175.80424205220692</c:v>
                </c:pt>
                <c:pt idx="146">
                  <c:v>175.85184947737815</c:v>
                </c:pt>
                <c:pt idx="147">
                  <c:v>175.89727065763867</c:v>
                </c:pt>
                <c:pt idx="148">
                  <c:v>175.94052887151028</c:v>
                </c:pt>
                <c:pt idx="149">
                  <c:v>175.98164630915713</c:v>
                </c:pt>
                <c:pt idx="150">
                  <c:v>176.02064408064425</c:v>
                </c:pt>
                <c:pt idx="151">
                  <c:v>176.05754222387986</c:v>
                </c:pt>
                <c:pt idx="152">
                  <c:v>176.09235971223089</c:v>
                </c:pt>
                <c:pt idx="153">
                  <c:v>176.12511446180193</c:v>
                </c:pt>
                <c:pt idx="154">
                  <c:v>176.15582333836844</c:v>
                </c:pt>
                <c:pt idx="155">
                  <c:v>176.18450216395638</c:v>
                </c:pt>
                <c:pt idx="156">
                  <c:v>176.21116572306099</c:v>
                </c:pt>
                <c:pt idx="157">
                  <c:v>176.23582776849724</c:v>
                </c:pt>
                <c:pt idx="158">
                  <c:v>176.2585010268771</c:v>
                </c:pt>
                <c:pt idx="159">
                  <c:v>176.2791972037067</c:v>
                </c:pt>
                <c:pt idx="160">
                  <c:v>176.29792698809985</c:v>
                </c:pt>
                <c:pt idx="161">
                  <c:v>176.31470005710239</c:v>
                </c:pt>
                <c:pt idx="162">
                  <c:v>176.32952507962418</c:v>
                </c:pt>
                <c:pt idx="163">
                  <c:v>176.34240971997468</c:v>
                </c:pt>
                <c:pt idx="164">
                  <c:v>176.35336064099977</c:v>
                </c:pt>
                <c:pt idx="165">
                  <c:v>176.36238350681614</c:v>
                </c:pt>
                <c:pt idx="166">
                  <c:v>176.36948298514233</c:v>
                </c:pt>
                <c:pt idx="167">
                  <c:v>176.37466274922303</c:v>
                </c:pt>
                <c:pt idx="168">
                  <c:v>176.37792547934666</c:v>
                </c:pt>
                <c:pt idx="169">
                  <c:v>176.37927286395336</c:v>
                </c:pt>
                <c:pt idx="170">
                  <c:v>176.3787056003344</c:v>
                </c:pt>
                <c:pt idx="171">
                  <c:v>176.3762233949204</c:v>
                </c:pt>
                <c:pt idx="172">
                  <c:v>176.37182496316032</c:v>
                </c:pt>
                <c:pt idx="173">
                  <c:v>176.36550802898904</c:v>
                </c:pt>
                <c:pt idx="174">
                  <c:v>176.35726932388621</c:v>
                </c:pt>
                <c:pt idx="175">
                  <c:v>176.34710458552505</c:v>
                </c:pt>
                <c:pt idx="176">
                  <c:v>176.33500855601386</c:v>
                </c:pt>
                <c:pt idx="177">
                  <c:v>176.32097497973032</c:v>
                </c:pt>
                <c:pt idx="178">
                  <c:v>176.30499660075134</c:v>
                </c:pt>
                <c:pt idx="179">
                  <c:v>176.28706515987977</c:v>
                </c:pt>
                <c:pt idx="180">
                  <c:v>176.26717139127092</c:v>
                </c:pt>
                <c:pt idx="181">
                  <c:v>176.24530501866195</c:v>
                </c:pt>
                <c:pt idx="182">
                  <c:v>176.22145475120655</c:v>
                </c:pt>
                <c:pt idx="183">
                  <c:v>176.19560827891985</c:v>
                </c:pt>
                <c:pt idx="184">
                  <c:v>176.16775226773666</c:v>
                </c:pt>
                <c:pt idx="185">
                  <c:v>176.13787235418869</c:v>
                </c:pt>
                <c:pt idx="186">
                  <c:v>176.10595313970535</c:v>
                </c:pt>
                <c:pt idx="187">
                  <c:v>176.07197818454426</c:v>
                </c:pt>
                <c:pt idx="188">
                  <c:v>176.03593000135783</c:v>
                </c:pt>
                <c:pt idx="189">
                  <c:v>175.99779004840315</c:v>
                </c:pt>
                <c:pt idx="190">
                  <c:v>175.9575387224028</c:v>
                </c:pt>
                <c:pt idx="191">
                  <c:v>175.91515535106549</c:v>
                </c:pt>
                <c:pt idx="192">
                  <c:v>175.87061818527556</c:v>
                </c:pt>
                <c:pt idx="193">
                  <c:v>175.8239043909619</c:v>
                </c:pt>
                <c:pt idx="194">
                  <c:v>175.77499004065749</c:v>
                </c:pt>
                <c:pt idx="195">
                  <c:v>175.72385010476185</c:v>
                </c:pt>
                <c:pt idx="196">
                  <c:v>175.67045844251967</c:v>
                </c:pt>
                <c:pt idx="197">
                  <c:v>175.61478779273034</c:v>
                </c:pt>
                <c:pt idx="198">
                  <c:v>175.5568097642039</c:v>
                </c:pt>
                <c:pt idx="199">
                  <c:v>175.49649482598119</c:v>
                </c:pt>
                <c:pt idx="200">
                  <c:v>175.43381229733589</c:v>
                </c:pt>
                <c:pt idx="201">
                  <c:v>175.36873033758005</c:v>
                </c:pt>
                <c:pt idx="202">
                  <c:v>175.30121593569345</c:v>
                </c:pt>
                <c:pt idx="203">
                  <c:v>175.23123489980162</c:v>
                </c:pt>
                <c:pt idx="204">
                  <c:v>175.15875184652791</c:v>
                </c:pt>
                <c:pt idx="205">
                  <c:v>175.08373019024691</c:v>
                </c:pt>
                <c:pt idx="206">
                  <c:v>175.00613213226976</c:v>
                </c:pt>
                <c:pt idx="207">
                  <c:v>174.92591864999301</c:v>
                </c:pt>
                <c:pt idx="208">
                  <c:v>174.84304948604651</c:v>
                </c:pt>
                <c:pt idx="209">
                  <c:v>174.7574831374771</c:v>
                </c:pt>
                <c:pt idx="210">
                  <c:v>174.66917684500899</c:v>
                </c:pt>
                <c:pt idx="211">
                  <c:v>174.57808658242436</c:v>
                </c:pt>
                <c:pt idx="212">
                  <c:v>174.48416704611029</c:v>
                </c:pt>
                <c:pt idx="213">
                  <c:v>174.38737164482274</c:v>
                </c:pt>
                <c:pt idx="214">
                  <c:v>174.28765248972149</c:v>
                </c:pt>
                <c:pt idx="215">
                  <c:v>174.18496038473322</c:v>
                </c:pt>
                <c:pt idx="216">
                  <c:v>174.07924481730549</c:v>
                </c:pt>
                <c:pt idx="217">
                  <c:v>173.97045394961745</c:v>
                </c:pt>
                <c:pt idx="218">
                  <c:v>173.85853461031846</c:v>
                </c:pt>
                <c:pt idx="219">
                  <c:v>173.74343228687104</c:v>
                </c:pt>
                <c:pt idx="220">
                  <c:v>173.62509111857847</c:v>
                </c:pt>
                <c:pt idx="221">
                  <c:v>173.5034538903852</c:v>
                </c:pt>
                <c:pt idx="222">
                  <c:v>173.37846202754145</c:v>
                </c:pt>
                <c:pt idx="223">
                  <c:v>173.25005559123139</c:v>
                </c:pt>
                <c:pt idx="224">
                  <c:v>173.11817327527035</c:v>
                </c:pt>
                <c:pt idx="225">
                  <c:v>172.98275240398257</c:v>
                </c:pt>
                <c:pt idx="226">
                  <c:v>172.84372893137981</c:v>
                </c:pt>
                <c:pt idx="227">
                  <c:v>172.70103744176566</c:v>
                </c:pt>
                <c:pt idx="228">
                  <c:v>172.55461115190298</c:v>
                </c:pt>
                <c:pt idx="229">
                  <c:v>172.40438191488406</c:v>
                </c:pt>
                <c:pt idx="230">
                  <c:v>172.25028022585815</c:v>
                </c:pt>
                <c:pt idx="231">
                  <c:v>172.09223522977328</c:v>
                </c:pt>
                <c:pt idx="232">
                  <c:v>171.93017473130558</c:v>
                </c:pt>
                <c:pt idx="233">
                  <c:v>171.7640252071518</c:v>
                </c:pt>
                <c:pt idx="234">
                  <c:v>171.59371182087625</c:v>
                </c:pt>
                <c:pt idx="235">
                  <c:v>171.4191584405109</c:v>
                </c:pt>
                <c:pt idx="236">
                  <c:v>171.24028765911862</c:v>
                </c:pt>
                <c:pt idx="237">
                  <c:v>171.05702081853957</c:v>
                </c:pt>
                <c:pt idx="238">
                  <c:v>170.86927803655291</c:v>
                </c:pt>
                <c:pt idx="239">
                  <c:v>170.67697823769711</c:v>
                </c:pt>
                <c:pt idx="240">
                  <c:v>170.48003918800256</c:v>
                </c:pt>
                <c:pt idx="241">
                  <c:v>170.27837753390094</c:v>
                </c:pt>
                <c:pt idx="242">
                  <c:v>170.07190884559182</c:v>
                </c:pt>
                <c:pt idx="243">
                  <c:v>169.86054766515159</c:v>
                </c:pt>
                <c:pt idx="244">
                  <c:v>169.64420755968632</c:v>
                </c:pt>
                <c:pt idx="245">
                  <c:v>169.42280117983964</c:v>
                </c:pt>
                <c:pt idx="246">
                  <c:v>169.19624032397627</c:v>
                </c:pt>
                <c:pt idx="247">
                  <c:v>168.96443600837361</c:v>
                </c:pt>
                <c:pt idx="248">
                  <c:v>168.72729854376379</c:v>
                </c:pt>
                <c:pt idx="249">
                  <c:v>168.48473761857451</c:v>
                </c:pt>
                <c:pt idx="250">
                  <c:v>168.23666238922854</c:v>
                </c:pt>
                <c:pt idx="251">
                  <c:v>167.98298157786698</c:v>
                </c:pt>
                <c:pt idx="252">
                  <c:v>167.72360357786502</c:v>
                </c:pt>
                <c:pt idx="253">
                  <c:v>167.45843656751657</c:v>
                </c:pt>
                <c:pt idx="254">
                  <c:v>167.18738863226284</c:v>
                </c:pt>
                <c:pt idx="255">
                  <c:v>166.91036789584032</c:v>
                </c:pt>
                <c:pt idx="256">
                  <c:v>166.62728266072421</c:v>
                </c:pt>
                <c:pt idx="257">
                  <c:v>166.33804155823239</c:v>
                </c:pt>
                <c:pt idx="258">
                  <c:v>166.04255370865167</c:v>
                </c:pt>
                <c:pt idx="259">
                  <c:v>165.7407288917351</c:v>
                </c:pt>
                <c:pt idx="260">
                  <c:v>165.43247772789996</c:v>
                </c:pt>
                <c:pt idx="261">
                  <c:v>165.11771187044334</c:v>
                </c:pt>
                <c:pt idx="262">
                  <c:v>164.79634420905887</c:v>
                </c:pt>
                <c:pt idx="263">
                  <c:v>164.46828908491713</c:v>
                </c:pt>
                <c:pt idx="264">
                  <c:v>164.13346251753063</c:v>
                </c:pt>
                <c:pt idx="265">
                  <c:v>163.79178244358928</c:v>
                </c:pt>
                <c:pt idx="266">
                  <c:v>163.44316896789792</c:v>
                </c:pt>
                <c:pt idx="267">
                  <c:v>163.08754462650151</c:v>
                </c:pt>
                <c:pt idx="268">
                  <c:v>162.72483466201479</c:v>
                </c:pt>
                <c:pt idx="269">
                  <c:v>162.35496731111155</c:v>
                </c:pt>
                <c:pt idx="270">
                  <c:v>161.97787410404464</c:v>
                </c:pt>
                <c:pt idx="271">
                  <c:v>161.59349017598959</c:v>
                </c:pt>
                <c:pt idx="272">
                  <c:v>161.20175458990877</c:v>
                </c:pt>
                <c:pt idx="273">
                  <c:v>160.80261067052851</c:v>
                </c:pt>
                <c:pt idx="274">
                  <c:v>160.39600634891664</c:v>
                </c:pt>
                <c:pt idx="275">
                  <c:v>159.98189451702447</c:v>
                </c:pt>
                <c:pt idx="276">
                  <c:v>159.56023339143115</c:v>
                </c:pt>
                <c:pt idx="277">
                  <c:v>159.13098688539552</c:v>
                </c:pt>
                <c:pt idx="278">
                  <c:v>158.69412498816953</c:v>
                </c:pt>
                <c:pt idx="279">
                  <c:v>158.24962415038925</c:v>
                </c:pt>
                <c:pt idx="280">
                  <c:v>157.79746767418928</c:v>
                </c:pt>
                <c:pt idx="281">
                  <c:v>157.33764610653921</c:v>
                </c:pt>
                <c:pt idx="282">
                  <c:v>156.87015763412055</c:v>
                </c:pt>
                <c:pt idx="283">
                  <c:v>156.39500847791084</c:v>
                </c:pt>
                <c:pt idx="284">
                  <c:v>155.91221328545925</c:v>
                </c:pt>
                <c:pt idx="285">
                  <c:v>155.42179551868037</c:v>
                </c:pt>
                <c:pt idx="286">
                  <c:v>154.923787834828</c:v>
                </c:pt>
                <c:pt idx="287">
                  <c:v>154.4182324581501</c:v>
                </c:pt>
                <c:pt idx="288">
                  <c:v>153.90518153958502</c:v>
                </c:pt>
                <c:pt idx="289">
                  <c:v>153.38469750171512</c:v>
                </c:pt>
                <c:pt idx="290">
                  <c:v>152.8568533660798</c:v>
                </c:pt>
                <c:pt idx="291">
                  <c:v>152.32173305984139</c:v>
                </c:pt>
                <c:pt idx="292">
                  <c:v>151.77943169871759</c:v>
                </c:pt>
                <c:pt idx="293">
                  <c:v>151.23005584303857</c:v>
                </c:pt>
                <c:pt idx="294">
                  <c:v>150.6737237237524</c:v>
                </c:pt>
                <c:pt idx="295">
                  <c:v>150.11056543521218</c:v>
                </c:pt>
                <c:pt idx="296">
                  <c:v>149.540723091606</c:v>
                </c:pt>
                <c:pt idx="297">
                  <c:v>148.96435094397094</c:v>
                </c:pt>
                <c:pt idx="298">
                  <c:v>148.38161545484004</c:v>
                </c:pt>
                <c:pt idx="299">
                  <c:v>147.79269532772796</c:v>
                </c:pt>
                <c:pt idx="300">
                  <c:v>147.19778148885456</c:v>
                </c:pt>
                <c:pt idx="301">
                  <c:v>146.5970770187474</c:v>
                </c:pt>
                <c:pt idx="302">
                  <c:v>145.99079703164574</c:v>
                </c:pt>
                <c:pt idx="303">
                  <c:v>145.37916850095419</c:v>
                </c:pt>
                <c:pt idx="304">
                  <c:v>144.7624300293615</c:v>
                </c:pt>
                <c:pt idx="305">
                  <c:v>144.14083156264323</c:v>
                </c:pt>
                <c:pt idx="306">
                  <c:v>143.5146340466076</c:v>
                </c:pt>
                <c:pt idx="307">
                  <c:v>142.8841090271163</c:v>
                </c:pt>
                <c:pt idx="308">
                  <c:v>142.24953819360326</c:v>
                </c:pt>
                <c:pt idx="309">
                  <c:v>141.61121286703559</c:v>
                </c:pt>
                <c:pt idx="310">
                  <c:v>140.96943343378476</c:v>
                </c:pt>
                <c:pt idx="311">
                  <c:v>140.32450872741225</c:v>
                </c:pt>
                <c:pt idx="312">
                  <c:v>139.676755360903</c:v>
                </c:pt>
                <c:pt idx="313">
                  <c:v>139.02649701240233</c:v>
                </c:pt>
                <c:pt idx="314">
                  <c:v>138.37406366800937</c:v>
                </c:pt>
                <c:pt idx="315">
                  <c:v>137.71979082565892</c:v>
                </c:pt>
                <c:pt idx="316">
                  <c:v>137.06401866455363</c:v>
                </c:pt>
                <c:pt idx="317">
                  <c:v>136.40709118500874</c:v>
                </c:pt>
                <c:pt idx="318">
                  <c:v>135.7493553239124</c:v>
                </c:pt>
                <c:pt idx="319">
                  <c:v>135.09116005128951</c:v>
                </c:pt>
                <c:pt idx="320">
                  <c:v>134.43285545368104</c:v>
                </c:pt>
                <c:pt idx="321">
                  <c:v>133.77479181021261</c:v>
                </c:pt>
                <c:pt idx="322">
                  <c:v>133.1173186673027</c:v>
                </c:pt>
                <c:pt idx="323">
                  <c:v>132.46078391799381</c:v>
                </c:pt>
                <c:pt idx="324">
                  <c:v>131.80553289181194</c:v>
                </c:pt>
                <c:pt idx="325">
                  <c:v>131.15190746095897</c:v>
                </c:pt>
                <c:pt idx="326">
                  <c:v>130.50024516842853</c:v>
                </c:pt>
                <c:pt idx="327">
                  <c:v>129.85087838338404</c:v>
                </c:pt>
                <c:pt idx="328">
                  <c:v>129.20413348882681</c:v>
                </c:pt>
                <c:pt idx="329">
                  <c:v>128.56033010619214</c:v>
                </c:pt>
                <c:pt idx="330">
                  <c:v>127.91978036111811</c:v>
                </c:pt>
                <c:pt idx="331">
                  <c:v>127.28278819414551</c:v>
                </c:pt>
                <c:pt idx="332">
                  <c:v>126.64964871964376</c:v>
                </c:pt>
                <c:pt idx="333">
                  <c:v>126.02064763572284</c:v>
                </c:pt>
                <c:pt idx="334">
                  <c:v>125.39606068738433</c:v>
                </c:pt>
                <c:pt idx="335">
                  <c:v>124.77615318461304</c:v>
                </c:pt>
                <c:pt idx="336">
                  <c:v>124.16117957659372</c:v>
                </c:pt>
                <c:pt idx="337">
                  <c:v>123.55138308270699</c:v>
                </c:pt>
                <c:pt idx="338">
                  <c:v>122.94699538045185</c:v>
                </c:pt>
                <c:pt idx="339">
                  <c:v>122.34823634997045</c:v>
                </c:pt>
                <c:pt idx="340">
                  <c:v>121.75531387438001</c:v>
                </c:pt>
                <c:pt idx="341">
                  <c:v>121.16842369471033</c:v>
                </c:pt>
                <c:pt idx="342">
                  <c:v>120.58774931785325</c:v>
                </c:pt>
                <c:pt idx="343">
                  <c:v>120.01346197558783</c:v>
                </c:pt>
                <c:pt idx="344">
                  <c:v>119.44572063244529</c:v>
                </c:pt>
                <c:pt idx="345">
                  <c:v>118.88467203991338</c:v>
                </c:pt>
                <c:pt idx="346">
                  <c:v>118.33045083427051</c:v>
                </c:pt>
                <c:pt idx="347">
                  <c:v>117.78317967516426</c:v>
                </c:pt>
                <c:pt idx="348">
                  <c:v>117.24296942191376</c:v>
                </c:pt>
                <c:pt idx="349">
                  <c:v>116.70991934443481</c:v>
                </c:pt>
                <c:pt idx="350">
                  <c:v>116.1841173656244</c:v>
                </c:pt>
                <c:pt idx="351">
                  <c:v>115.66564033203095</c:v>
                </c:pt>
                <c:pt idx="352">
                  <c:v>115.15455430964573</c:v>
                </c:pt>
                <c:pt idx="353">
                  <c:v>114.65091490170552</c:v>
                </c:pt>
                <c:pt idx="354">
                  <c:v>114.15476758545512</c:v>
                </c:pt>
                <c:pt idx="355">
                  <c:v>113.66614806492454</c:v>
                </c:pt>
                <c:pt idx="356">
                  <c:v>113.18508263688122</c:v>
                </c:pt>
                <c:pt idx="357">
                  <c:v>112.71158856725052</c:v>
                </c:pt>
                <c:pt idx="358">
                  <c:v>112.2456744754403</c:v>
                </c:pt>
                <c:pt idx="359">
                  <c:v>111.78734072415946</c:v>
                </c:pt>
                <c:pt idx="360">
                  <c:v>111.3365798124787</c:v>
                </c:pt>
                <c:pt idx="361">
                  <c:v>110.89337677004863</c:v>
                </c:pt>
                <c:pt idx="362">
                  <c:v>110.45770955055906</c:v>
                </c:pt>
                <c:pt idx="363">
                  <c:v>110.0295494226873</c:v>
                </c:pt>
                <c:pt idx="364">
                  <c:v>109.60886135695461</c:v>
                </c:pt>
                <c:pt idx="365">
                  <c:v>109.1956044070711</c:v>
                </c:pt>
                <c:pt idx="366">
                  <c:v>108.78973208450502</c:v>
                </c:pt>
                <c:pt idx="367">
                  <c:v>108.39119272517398</c:v>
                </c:pt>
                <c:pt idx="368">
                  <c:v>107.99992984728924</c:v>
                </c:pt>
                <c:pt idx="369">
                  <c:v>107.61588249953806</c:v>
                </c:pt>
                <c:pt idx="370">
                  <c:v>107.23898559890688</c:v>
                </c:pt>
                <c:pt idx="371">
                  <c:v>106.86917025758041</c:v>
                </c:pt>
                <c:pt idx="372">
                  <c:v>106.50636409845983</c:v>
                </c:pt>
                <c:pt idx="373">
                  <c:v>106.15049155895409</c:v>
                </c:pt>
                <c:pt idx="374">
                  <c:v>105.80147418279066</c:v>
                </c:pt>
                <c:pt idx="375">
                  <c:v>105.4592308996838</c:v>
                </c:pt>
                <c:pt idx="376">
                  <c:v>105.12367829277845</c:v>
                </c:pt>
                <c:pt idx="377">
                  <c:v>104.79473085385757</c:v>
                </c:pt>
                <c:pt idx="378">
                  <c:v>104.47230122636981</c:v>
                </c:pt>
                <c:pt idx="379">
                  <c:v>104.15630043638562</c:v>
                </c:pt>
                <c:pt idx="380">
                  <c:v>103.84663811164663</c:v>
                </c:pt>
                <c:pt idx="381">
                  <c:v>103.54322268891212</c:v>
                </c:pt>
                <c:pt idx="382">
                  <c:v>103.24596160984451</c:v>
                </c:pt>
                <c:pt idx="383">
                  <c:v>102.95476150571116</c:v>
                </c:pt>
                <c:pt idx="384">
                  <c:v>102.66952837120219</c:v>
                </c:pt>
                <c:pt idx="385">
                  <c:v>102.39016772768763</c:v>
                </c:pt>
                <c:pt idx="386">
                  <c:v>102.1165847762561</c:v>
                </c:pt>
                <c:pt idx="387">
                  <c:v>101.8486845408876</c:v>
                </c:pt>
                <c:pt idx="388">
                  <c:v>101.58637200212483</c:v>
                </c:pt>
                <c:pt idx="389">
                  <c:v>101.32955222161539</c:v>
                </c:pt>
                <c:pt idx="390">
                  <c:v>101.07813045789634</c:v>
                </c:pt>
                <c:pt idx="391">
                  <c:v>100.83201227379944</c:v>
                </c:pt>
                <c:pt idx="392">
                  <c:v>100.59110363585015</c:v>
                </c:pt>
                <c:pt idx="393">
                  <c:v>100.35531100603143</c:v>
                </c:pt>
                <c:pt idx="394">
                  <c:v>100.12454142628049</c:v>
                </c:pt>
                <c:pt idx="395">
                  <c:v>99.898702596077584</c:v>
                </c:pt>
                <c:pt idx="396">
                  <c:v>99.677702943480753</c:v>
                </c:pt>
                <c:pt idx="397">
                  <c:v>99.461451689950735</c:v>
                </c:pt>
                <c:pt idx="398">
                  <c:v>99.249858909301082</c:v>
                </c:pt>
                <c:pt idx="399">
                  <c:v>99.042835581099439</c:v>
                </c:pt>
                <c:pt idx="400">
                  <c:v>98.840293638833927</c:v>
                </c:pt>
                <c:pt idx="401">
                  <c:v>98.642146013148547</c:v>
                </c:pt>
                <c:pt idx="402">
                  <c:v>98.448306670440701</c:v>
                </c:pt>
                <c:pt idx="403">
                  <c:v>98.258690647101204</c:v>
                </c:pt>
                <c:pt idx="404">
                  <c:v>98.073214079667551</c:v>
                </c:pt>
                <c:pt idx="405">
                  <c:v>97.891794231146321</c:v>
                </c:pt>
                <c:pt idx="406">
                  <c:v>97.714349513754513</c:v>
                </c:pt>
                <c:pt idx="407">
                  <c:v>97.54079950831273</c:v>
                </c:pt>
                <c:pt idx="408">
                  <c:v>97.371064980516081</c:v>
                </c:pt>
                <c:pt idx="409">
                  <c:v>97.20506789429416</c:v>
                </c:pt>
                <c:pt idx="410">
                  <c:v>97.042731422465934</c:v>
                </c:pt>
                <c:pt idx="411">
                  <c:v>96.883979954877532</c:v>
                </c:pt>
                <c:pt idx="412">
                  <c:v>96.728739104209552</c:v>
                </c:pt>
                <c:pt idx="413">
                  <c:v>96.576935709622987</c:v>
                </c:pt>
                <c:pt idx="414">
                  <c:v>96.42849783840775</c:v>
                </c:pt>
                <c:pt idx="415">
                  <c:v>96.283354785787992</c:v>
                </c:pt>
                <c:pt idx="416">
                  <c:v>96.141437073028925</c:v>
                </c:pt>
                <c:pt idx="417">
                  <c:v>96.002676443981969</c:v>
                </c:pt>
                <c:pt idx="418">
                  <c:v>95.867005860196457</c:v>
                </c:pt>
                <c:pt idx="419">
                  <c:v>95.734359494718902</c:v>
                </c:pt>
                <c:pt idx="420">
                  <c:v>95.604672724694481</c:v>
                </c:pt>
                <c:pt idx="421">
                  <c:v>95.47788212287557</c:v>
                </c:pt>
                <c:pt idx="422">
                  <c:v>95.353925448138369</c:v>
                </c:pt>
                <c:pt idx="423">
                  <c:v>95.232741635101149</c:v>
                </c:pt>
                <c:pt idx="424">
                  <c:v>95.114270782931214</c:v>
                </c:pt>
                <c:pt idx="425">
                  <c:v>94.998454143422691</c:v>
                </c:pt>
                <c:pt idx="426">
                  <c:v>94.885234108421514</c:v>
                </c:pt>
                <c:pt idx="427">
                  <c:v>94.774554196669072</c:v>
                </c:pt>
                <c:pt idx="428">
                  <c:v>94.666359040130942</c:v>
                </c:pt>
                <c:pt idx="429">
                  <c:v>94.560594369871865</c:v>
                </c:pt>
                <c:pt idx="430">
                  <c:v>94.45720700153602</c:v>
                </c:pt>
                <c:pt idx="431">
                  <c:v>94.35614482048473</c:v>
                </c:pt>
                <c:pt idx="432">
                  <c:v>94.257356766642189</c:v>
                </c:pt>
                <c:pt idx="433">
                  <c:v>94.160792819094354</c:v>
                </c:pt>
                <c:pt idx="434">
                  <c:v>94.066403980484807</c:v>
                </c:pt>
                <c:pt idx="435">
                  <c:v>93.974142261246143</c:v>
                </c:pt>
                <c:pt idx="436">
                  <c:v>93.883960663703604</c:v>
                </c:pt>
                <c:pt idx="437">
                  <c:v>93.795813166085225</c:v>
                </c:pt>
                <c:pt idx="438">
                  <c:v>93.709654706468214</c:v>
                </c:pt>
                <c:pt idx="439">
                  <c:v>93.625441166691729</c:v>
                </c:pt>
                <c:pt idx="440">
                  <c:v>93.543129356261076</c:v>
                </c:pt>
                <c:pt idx="441">
                  <c:v>93.462676996267774</c:v>
                </c:pt>
                <c:pt idx="442">
                  <c:v>93.384042703347859</c:v>
                </c:pt>
                <c:pt idx="443">
                  <c:v>93.307185973698196</c:v>
                </c:pt>
                <c:pt idx="444">
                  <c:v>93.232067167169305</c:v>
                </c:pt>
                <c:pt idx="445">
                  <c:v>93.158647491451362</c:v>
                </c:pt>
                <c:pt idx="446">
                  <c:v>93.086888986368905</c:v>
                </c:pt>
                <c:pt idx="447">
                  <c:v>93.016754508297595</c:v>
                </c:pt>
                <c:pt idx="448">
                  <c:v>92.948207714715593</c:v>
                </c:pt>
                <c:pt idx="449">
                  <c:v>92.881213048900875</c:v>
                </c:pt>
                <c:pt idx="450">
                  <c:v>92.815735724784417</c:v>
                </c:pt>
                <c:pt idx="451">
                  <c:v>92.751741711968165</c:v>
                </c:pt>
                <c:pt idx="452">
                  <c:v>92.689197720915672</c:v>
                </c:pt>
                <c:pt idx="453">
                  <c:v>92.628071188322465</c:v>
                </c:pt>
                <c:pt idx="454">
                  <c:v>92.568330262672774</c:v>
                </c:pt>
                <c:pt idx="455">
                  <c:v>92.509943789986792</c:v>
                </c:pt>
                <c:pt idx="456">
                  <c:v>92.452881299764712</c:v>
                </c:pt>
                <c:pt idx="457">
                  <c:v>92.397112991129887</c:v>
                </c:pt>
                <c:pt idx="458">
                  <c:v>92.342609719175599</c:v>
                </c:pt>
                <c:pt idx="459">
                  <c:v>92.289342981517521</c:v>
                </c:pt>
                <c:pt idx="460">
                  <c:v>92.237284905054338</c:v>
                </c:pt>
                <c:pt idx="461">
                  <c:v>92.186408232938106</c:v>
                </c:pt>
                <c:pt idx="462">
                  <c:v>92.136686311755668</c:v>
                </c:pt>
                <c:pt idx="463">
                  <c:v>92.088093078921773</c:v>
                </c:pt>
                <c:pt idx="464">
                  <c:v>92.040603050284645</c:v>
                </c:pt>
                <c:pt idx="465">
                  <c:v>91.994191307943723</c:v>
                </c:pt>
                <c:pt idx="466">
                  <c:v>91.948833488279632</c:v>
                </c:pt>
                <c:pt idx="467">
                  <c:v>91.904505770195684</c:v>
                </c:pt>
                <c:pt idx="468">
                  <c:v>91.861184863570116</c:v>
                </c:pt>
                <c:pt idx="469">
                  <c:v>91.818847997918184</c:v>
                </c:pt>
                <c:pt idx="470">
                  <c:v>91.777472911262478</c:v>
                </c:pt>
                <c:pt idx="471">
                  <c:v>91.737037839210458</c:v>
                </c:pt>
                <c:pt idx="472">
                  <c:v>91.697521504237258</c:v>
                </c:pt>
                <c:pt idx="473">
                  <c:v>91.658903105171945</c:v>
                </c:pt>
                <c:pt idx="474">
                  <c:v>91.621162306885495</c:v>
                </c:pt>
                <c:pt idx="475">
                  <c:v>91.58427923017797</c:v>
                </c:pt>
                <c:pt idx="476">
                  <c:v>91.548234441863357</c:v>
                </c:pt>
                <c:pt idx="477">
                  <c:v>91.513008945049037</c:v>
                </c:pt>
                <c:pt idx="478">
                  <c:v>91.478584169607871</c:v>
                </c:pt>
                <c:pt idx="479">
                  <c:v>91.444941962840531</c:v>
                </c:pt>
                <c:pt idx="480">
                  <c:v>91.412064580325193</c:v>
                </c:pt>
                <c:pt idx="481">
                  <c:v>91.379934676952146</c:v>
                </c:pt>
                <c:pt idx="482">
                  <c:v>91.348535298140717</c:v>
                </c:pt>
                <c:pt idx="483">
                  <c:v>91.317849871235765</c:v>
                </c:pt>
                <c:pt idx="484">
                  <c:v>91.287862197080926</c:v>
                </c:pt>
                <c:pt idx="485">
                  <c:v>91.258556441765961</c:v>
                </c:pt>
                <c:pt idx="486">
                  <c:v>91.229917128545296</c:v>
                </c:pt>
                <c:pt idx="487">
                  <c:v>91.20192912992529</c:v>
                </c:pt>
                <c:pt idx="488">
                  <c:v>91.174577659916707</c:v>
                </c:pt>
                <c:pt idx="489">
                  <c:v>91.14784826645058</c:v>
                </c:pt>
                <c:pt idx="490">
                  <c:v>91.121726823953736</c:v>
                </c:pt>
                <c:pt idx="491">
                  <c:v>91.096199526081691</c:v>
                </c:pt>
                <c:pt idx="492">
                  <c:v>91.071252878606046</c:v>
                </c:pt>
                <c:pt idx="493">
                  <c:v>91.046873692453431</c:v>
                </c:pt>
                <c:pt idx="494">
                  <c:v>91.023049076893415</c:v>
                </c:pt>
                <c:pt idx="495">
                  <c:v>90.999766432872519</c:v>
                </c:pt>
                <c:pt idx="496">
                  <c:v>90.977013446491625</c:v>
                </c:pt>
                <c:pt idx="497">
                  <c:v>90.954778082624074</c:v>
                </c:pt>
                <c:pt idx="498">
                  <c:v>90.93304857867183</c:v>
                </c:pt>
                <c:pt idx="499">
                  <c:v>90.911813438456861</c:v>
                </c:pt>
                <c:pt idx="500">
                  <c:v>90.891061426245386</c:v>
                </c:pt>
                <c:pt idx="501">
                  <c:v>90.870781560902202</c:v>
                </c:pt>
                <c:pt idx="502">
                  <c:v>90.850963110172415</c:v>
                </c:pt>
                <c:pt idx="503">
                  <c:v>90.831595585088479</c:v>
                </c:pt>
                <c:pt idx="504">
                  <c:v>90.812668734499368</c:v>
                </c:pt>
                <c:pt idx="505">
                  <c:v>90.794172539720222</c:v>
                </c:pt>
                <c:pt idx="506">
                  <c:v>90.776097209299166</c:v>
                </c:pt>
                <c:pt idx="507">
                  <c:v>90.758433173899675</c:v>
                </c:pt>
                <c:pt idx="508">
                  <c:v>90.741171081295676</c:v>
                </c:pt>
                <c:pt idx="509">
                  <c:v>90.724301791477046</c:v>
                </c:pt>
                <c:pt idx="510">
                  <c:v>90.707816371863501</c:v>
                </c:pt>
                <c:pt idx="511">
                  <c:v>90.691706092624528</c:v>
                </c:pt>
                <c:pt idx="512">
                  <c:v>90.675962422102799</c:v>
                </c:pt>
                <c:pt idx="513">
                  <c:v>90.660577022339439</c:v>
                </c:pt>
                <c:pt idx="514">
                  <c:v>90.645541744698704</c:v>
                </c:pt>
                <c:pt idx="515">
                  <c:v>90.630848625589834</c:v>
                </c:pt>
                <c:pt idx="516">
                  <c:v>90.616489882284412</c:v>
                </c:pt>
                <c:pt idx="517">
                  <c:v>90.60245790882675</c:v>
                </c:pt>
                <c:pt idx="518">
                  <c:v>90.588745272035808</c:v>
                </c:pt>
                <c:pt idx="519">
                  <c:v>90.575344707596116</c:v>
                </c:pt>
                <c:pt idx="520">
                  <c:v>90.562249116236273</c:v>
                </c:pt>
                <c:pt idx="521">
                  <c:v>90.54945155999296</c:v>
                </c:pt>
                <c:pt idx="522">
                  <c:v>90.536945258558404</c:v>
                </c:pt>
                <c:pt idx="523">
                  <c:v>90.524723585709992</c:v>
                </c:pt>
                <c:pt idx="524">
                  <c:v>90.512780065819641</c:v>
                </c:pt>
                <c:pt idx="525">
                  <c:v>90.501108370441727</c:v>
                </c:pt>
                <c:pt idx="526">
                  <c:v>90.489702314977549</c:v>
                </c:pt>
                <c:pt idx="527">
                  <c:v>90.478555855414584</c:v>
                </c:pt>
                <c:pt idx="528">
                  <c:v>90.467663085139449</c:v>
                </c:pt>
                <c:pt idx="529">
                  <c:v>90.457018231822005</c:v>
                </c:pt>
                <c:pt idx="530">
                  <c:v>90.446615654370106</c:v>
                </c:pt>
                <c:pt idx="531">
                  <c:v>90.436449839952573</c:v>
                </c:pt>
                <c:pt idx="532">
                  <c:v>90.426515401089375</c:v>
                </c:pt>
                <c:pt idx="533">
                  <c:v>90.41680707280743</c:v>
                </c:pt>
                <c:pt idx="534">
                  <c:v>90.407319709860403</c:v>
                </c:pt>
                <c:pt idx="535">
                  <c:v>90.398048284011367</c:v>
                </c:pt>
                <c:pt idx="536">
                  <c:v>90.388987881376735</c:v>
                </c:pt>
                <c:pt idx="537">
                  <c:v>90.380133699830125</c:v>
                </c:pt>
                <c:pt idx="538">
                  <c:v>90.371481046464893</c:v>
                </c:pt>
                <c:pt idx="539">
                  <c:v>90.363025335114045</c:v>
                </c:pt>
                <c:pt idx="540">
                  <c:v>90.354762083926062</c:v>
                </c:pt>
                <c:pt idx="541">
                  <c:v>90.346686912995708</c:v>
                </c:pt>
              </c:numCache>
            </c:numRef>
          </c:yVal>
          <c:smooth val="1"/>
          <c:extLst>
            <c:ext xmlns:c16="http://schemas.microsoft.com/office/drawing/2014/chart" uri="{C3380CC4-5D6E-409C-BE32-E72D297353CC}">
              <c16:uniqueId val="{00000001-C95D-4273-8D1D-E8C586949522}"/>
            </c:ext>
          </c:extLst>
        </c:ser>
        <c:dLbls>
          <c:showLegendKey val="0"/>
          <c:showVal val="0"/>
          <c:showCatName val="0"/>
          <c:showSerName val="0"/>
          <c:showPercent val="0"/>
          <c:showBubbleSize val="0"/>
        </c:dLbls>
        <c:axId val="160545024"/>
        <c:axId val="160543488"/>
      </c:scatterChart>
      <c:valAx>
        <c:axId val="160531200"/>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60533120"/>
        <c:crosses val="autoZero"/>
        <c:crossBetween val="midCat"/>
      </c:valAx>
      <c:valAx>
        <c:axId val="160533120"/>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160531200"/>
        <c:crosses val="autoZero"/>
        <c:crossBetween val="midCat"/>
        <c:majorUnit val="20"/>
        <c:minorUnit val="10"/>
      </c:valAx>
      <c:valAx>
        <c:axId val="160543488"/>
        <c:scaling>
          <c:orientation val="minMax"/>
          <c:max val="180"/>
          <c:min val="-180"/>
        </c:scaling>
        <c:delete val="0"/>
        <c:axPos val="r"/>
        <c:numFmt formatCode="General" sourceLinked="1"/>
        <c:majorTickMark val="out"/>
        <c:minorTickMark val="none"/>
        <c:tickLblPos val="nextTo"/>
        <c:crossAx val="160545024"/>
        <c:crosses val="max"/>
        <c:crossBetween val="midCat"/>
        <c:majorUnit val="90"/>
        <c:minorUnit val="45"/>
      </c:valAx>
      <c:valAx>
        <c:axId val="160545024"/>
        <c:scaling>
          <c:logBase val="10"/>
          <c:orientation val="minMax"/>
        </c:scaling>
        <c:delete val="1"/>
        <c:axPos val="b"/>
        <c:numFmt formatCode="0.00" sourceLinked="1"/>
        <c:majorTickMark val="out"/>
        <c:minorTickMark val="none"/>
        <c:tickLblPos val="nextTo"/>
        <c:crossAx val="160543488"/>
        <c:crosses val="autoZero"/>
        <c:crossBetween val="midCat"/>
      </c:valAx>
    </c:plotArea>
    <c:legend>
      <c:legendPos val="r"/>
      <c:layout>
        <c:manualLayout>
          <c:xMode val="edge"/>
          <c:yMode val="edge"/>
          <c:x val="0.79880558209512509"/>
          <c:y val="0.14321997959862004"/>
          <c:w val="0.13485048155591431"/>
          <c:h val="0.10528624969913696"/>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Control Loop Transfer Function</a:t>
            </a:r>
          </a:p>
        </c:rich>
      </c:tx>
      <c:overlay val="0"/>
    </c:title>
    <c:autoTitleDeleted val="0"/>
    <c:plotArea>
      <c:layout/>
      <c:scatterChart>
        <c:scatterStyle val="smoothMarker"/>
        <c:varyColors val="0"/>
        <c:ser>
          <c:idx val="0"/>
          <c:order val="0"/>
          <c:tx>
            <c:v>Gain (dB)</c:v>
          </c:tx>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Loop_Modeling!$AT$19:$AT$560</c:f>
              <c:numCache>
                <c:formatCode>0.000</c:formatCode>
                <c:ptCount val="542"/>
                <c:pt idx="0">
                  <c:v>38.924669807279912</c:v>
                </c:pt>
                <c:pt idx="1">
                  <c:v>38.623105316232675</c:v>
                </c:pt>
                <c:pt idx="2">
                  <c:v>38.322057690541641</c:v>
                </c:pt>
                <c:pt idx="3">
                  <c:v>38.021602137363629</c:v>
                </c:pt>
                <c:pt idx="4">
                  <c:v>37.721812370781919</c:v>
                </c:pt>
                <c:pt idx="5">
                  <c:v>37.422760431881066</c:v>
                </c:pt>
                <c:pt idx="6">
                  <c:v>37.124516515316223</c:v>
                </c:pt>
                <c:pt idx="7">
                  <c:v>36.827148803103867</c:v>
                </c:pt>
                <c:pt idx="8">
                  <c:v>36.530723306341123</c:v>
                </c:pt>
                <c:pt idx="9">
                  <c:v>36.235303715538137</c:v>
                </c:pt>
                <c:pt idx="10">
                  <c:v>35.94095126022151</c:v>
                </c:pt>
                <c:pt idx="11">
                  <c:v>35.647724578428353</c:v>
                </c:pt>
                <c:pt idx="12">
                  <c:v>35.35567959667425</c:v>
                </c:pt>
                <c:pt idx="13">
                  <c:v>35.064869420929071</c:v>
                </c:pt>
                <c:pt idx="14">
                  <c:v>34.775344239080283</c:v>
                </c:pt>
                <c:pt idx="15">
                  <c:v>34.487151235304438</c:v>
                </c:pt>
                <c:pt idx="16">
                  <c:v>34.20033451670173</c:v>
                </c:pt>
                <c:pt idx="17">
                  <c:v>33.91493505247314</c:v>
                </c:pt>
                <c:pt idx="18">
                  <c:v>33.630990625848568</c:v>
                </c:pt>
                <c:pt idx="19">
                  <c:v>33.348535798885671</c:v>
                </c:pt>
                <c:pt idx="20">
                  <c:v>33.067601890180804</c:v>
                </c:pt>
                <c:pt idx="21">
                  <c:v>32.788216965443539</c:v>
                </c:pt>
                <c:pt idx="22">
                  <c:v>32.510405840798285</c:v>
                </c:pt>
                <c:pt idx="23">
                  <c:v>32.234190098589586</c:v>
                </c:pt>
                <c:pt idx="24">
                  <c:v>31.959588115380519</c:v>
                </c:pt>
                <c:pt idx="25">
                  <c:v>31.686615101750462</c:v>
                </c:pt>
                <c:pt idx="26">
                  <c:v>31.415283153417292</c:v>
                </c:pt>
                <c:pt idx="27">
                  <c:v>31.145601313135355</c:v>
                </c:pt>
                <c:pt idx="28">
                  <c:v>30.877575642751292</c:v>
                </c:pt>
                <c:pt idx="29">
                  <c:v>30.611209304736615</c:v>
                </c:pt>
                <c:pt idx="30">
                  <c:v>30.346502652464196</c:v>
                </c:pt>
                <c:pt idx="31">
                  <c:v>30.083453328448794</c:v>
                </c:pt>
                <c:pt idx="32">
                  <c:v>29.822056369734476</c:v>
                </c:pt>
                <c:pt idx="33">
                  <c:v>29.562304319586865</c:v>
                </c:pt>
                <c:pt idx="34">
                  <c:v>29.304187344627934</c:v>
                </c:pt>
                <c:pt idx="35">
                  <c:v>29.047693356544141</c:v>
                </c:pt>
                <c:pt idx="36">
                  <c:v>28.792808137498227</c:v>
                </c:pt>
                <c:pt idx="37">
                  <c:v>28.539515468385229</c:v>
                </c:pt>
                <c:pt idx="38">
                  <c:v>28.287797259091402</c:v>
                </c:pt>
                <c:pt idx="39">
                  <c:v>28.037633679938953</c:v>
                </c:pt>
                <c:pt idx="40">
                  <c:v>27.78900329353176</c:v>
                </c:pt>
                <c:pt idx="41">
                  <c:v>27.541883186258737</c:v>
                </c:pt>
                <c:pt idx="42">
                  <c:v>27.296249098750231</c:v>
                </c:pt>
                <c:pt idx="43">
                  <c:v>27.052075554636271</c:v>
                </c:pt>
                <c:pt idx="44">
                  <c:v>26.80933598700264</c:v>
                </c:pt>
                <c:pt idx="45">
                  <c:v>26.568002861997773</c:v>
                </c:pt>
                <c:pt idx="46">
                  <c:v>26.328047799099309</c:v>
                </c:pt>
                <c:pt idx="47">
                  <c:v>26.089441687603685</c:v>
                </c:pt>
                <c:pt idx="48">
                  <c:v>25.852154798961923</c:v>
                </c:pt>
                <c:pt idx="49">
                  <c:v>25.616156894638902</c:v>
                </c:pt>
                <c:pt idx="50">
                  <c:v>25.381417329229436</c:v>
                </c:pt>
                <c:pt idx="51">
                  <c:v>25.147905148618797</c:v>
                </c:pt>
                <c:pt idx="52">
                  <c:v>24.915589183022448</c:v>
                </c:pt>
                <c:pt idx="53">
                  <c:v>24.684438134793055</c:v>
                </c:pt>
                <c:pt idx="54">
                  <c:v>24.45442066092415</c:v>
                </c:pt>
                <c:pt idx="55">
                  <c:v>24.225505450224027</c:v>
                </c:pt>
                <c:pt idx="56">
                  <c:v>23.997661295169578</c:v>
                </c:pt>
                <c:pt idx="57">
                  <c:v>23.770857158487324</c:v>
                </c:pt>
                <c:pt idx="58">
                  <c:v>23.545062234539106</c:v>
                </c:pt>
                <c:pt idx="59">
                  <c:v>23.320246005616433</c:v>
                </c:pt>
                <c:pt idx="60">
                  <c:v>23.096378293273368</c:v>
                </c:pt>
                <c:pt idx="61">
                  <c:v>22.873429304848266</c:v>
                </c:pt>
                <c:pt idx="62">
                  <c:v>22.651369675341705</c:v>
                </c:pt>
                <c:pt idx="63">
                  <c:v>22.43017050483175</c:v>
                </c:pt>
                <c:pt idx="64">
                  <c:v>22.209803391621428</c:v>
                </c:pt>
                <c:pt idx="65">
                  <c:v>21.990240461319281</c:v>
                </c:pt>
                <c:pt idx="66">
                  <c:v>21.771454392061848</c:v>
                </c:pt>
                <c:pt idx="67">
                  <c:v>21.553418436089778</c:v>
                </c:pt>
                <c:pt idx="68">
                  <c:v>21.336106437892507</c:v>
                </c:pt>
                <c:pt idx="69">
                  <c:v>21.119492849134396</c:v>
                </c:pt>
                <c:pt idx="70">
                  <c:v>20.903552740575289</c:v>
                </c:pt>
                <c:pt idx="71">
                  <c:v>20.688261811195559</c:v>
                </c:pt>
                <c:pt idx="72">
                  <c:v>20.473596394728052</c:v>
                </c:pt>
                <c:pt idx="73">
                  <c:v>20.259533463799638</c:v>
                </c:pt>
                <c:pt idx="74">
                  <c:v>20.046050631873861</c:v>
                </c:pt>
                <c:pt idx="75">
                  <c:v>19.833126153180775</c:v>
                </c:pt>
                <c:pt idx="76">
                  <c:v>19.62073892081424</c:v>
                </c:pt>
                <c:pt idx="77">
                  <c:v>19.408868463166598</c:v>
                </c:pt>
                <c:pt idx="78">
                  <c:v>19.197494938863372</c:v>
                </c:pt>
                <c:pt idx="79">
                  <c:v>18.986599130352868</c:v>
                </c:pt>
                <c:pt idx="80">
                  <c:v>18.776162436296072</c:v>
                </c:pt>
                <c:pt idx="81">
                  <c:v>18.566166862892999</c:v>
                </c:pt>
                <c:pt idx="82">
                  <c:v>18.356595014276799</c:v>
                </c:pt>
                <c:pt idx="83">
                  <c:v>18.147430082092157</c:v>
                </c:pt>
                <c:pt idx="84">
                  <c:v>17.938655834373961</c:v>
                </c:pt>
                <c:pt idx="85">
                  <c:v>17.730256603826593</c:v>
                </c:pt>
                <c:pt idx="86">
                  <c:v>17.522217275604262</c:v>
                </c:pt>
                <c:pt idx="87">
                  <c:v>17.314523274677121</c:v>
                </c:pt>
                <c:pt idx="88">
                  <c:v>17.107160552868098</c:v>
                </c:pt>
                <c:pt idx="89">
                  <c:v>16.900115575634306</c:v>
                </c:pt>
                <c:pt idx="90">
                  <c:v>16.693375308661416</c:v>
                </c:pt>
                <c:pt idx="91">
                  <c:v>16.486927204333476</c:v>
                </c:pt>
                <c:pt idx="92">
                  <c:v>16.280759188134773</c:v>
                </c:pt>
                <c:pt idx="93">
                  <c:v>16.074859645035499</c:v>
                </c:pt>
                <c:pt idx="94">
                  <c:v>15.869217405905598</c:v>
                </c:pt>
                <c:pt idx="95">
                  <c:v>15.663821734000097</c:v>
                </c:pt>
                <c:pt idx="96">
                  <c:v>15.458662311550311</c:v>
                </c:pt>
                <c:pt idx="97">
                  <c:v>15.253729226496036</c:v>
                </c:pt>
                <c:pt idx="98">
                  <c:v>15.049012959384971</c:v>
                </c:pt>
                <c:pt idx="99">
                  <c:v>14.844504370466382</c:v>
                </c:pt>
                <c:pt idx="100">
                  <c:v>14.640194686999257</c:v>
                </c:pt>
                <c:pt idx="101">
                  <c:v>14.436075490795538</c:v>
                </c:pt>
                <c:pt idx="102">
                  <c:v>14.232138706012506</c:v>
                </c:pt>
                <c:pt idx="103">
                  <c:v>14.028376587209788</c:v>
                </c:pt>
                <c:pt idx="104">
                  <c:v>13.824781707679538</c:v>
                </c:pt>
                <c:pt idx="105">
                  <c:v>13.621346948061966</c:v>
                </c:pt>
                <c:pt idx="106">
                  <c:v>13.418065485250688</c:v>
                </c:pt>
                <c:pt idx="107">
                  <c:v>13.214930781594687</c:v>
                </c:pt>
                <c:pt idx="108">
                  <c:v>13.01193657439978</c:v>
                </c:pt>
                <c:pt idx="109">
                  <c:v>12.809076865733239</c:v>
                </c:pt>
                <c:pt idx="110">
                  <c:v>12.606345912531287</c:v>
                </c:pt>
                <c:pt idx="111">
                  <c:v>12.403738217010487</c:v>
                </c:pt>
                <c:pt idx="112">
                  <c:v>12.20124851738162</c:v>
                </c:pt>
                <c:pt idx="113">
                  <c:v>11.998871778864208</c:v>
                </c:pt>
                <c:pt idx="114">
                  <c:v>11.79660318499927</c:v>
                </c:pt>
                <c:pt idx="115">
                  <c:v>11.594438129256591</c:v>
                </c:pt>
                <c:pt idx="116">
                  <c:v>11.392372206933549</c:v>
                </c:pt>
                <c:pt idx="117">
                  <c:v>11.190401207339606</c:v>
                </c:pt>
                <c:pt idx="118">
                  <c:v>10.988521106263358</c:v>
                </c:pt>
                <c:pt idx="119">
                  <c:v>10.786728058715383</c:v>
                </c:pt>
                <c:pt idx="120">
                  <c:v>10.585018391943297</c:v>
                </c:pt>
                <c:pt idx="121">
                  <c:v>10.383388598711036</c:v>
                </c:pt>
                <c:pt idx="122">
                  <c:v>10.181835330838602</c:v>
                </c:pt>
                <c:pt idx="123">
                  <c:v>9.9803553929952464</c:v>
                </c:pt>
                <c:pt idx="124">
                  <c:v>9.7789457367397237</c:v>
                </c:pt>
                <c:pt idx="125">
                  <c:v>9.5776034548024374</c:v>
                </c:pt>
                <c:pt idx="126">
                  <c:v>9.3763257756022078</c:v>
                </c:pt>
                <c:pt idx="127">
                  <c:v>9.1751100579924731</c:v>
                </c:pt>
                <c:pt idx="128">
                  <c:v>8.9739537862301475</c:v>
                </c:pt>
                <c:pt idx="129">
                  <c:v>8.7728545651605891</c:v>
                </c:pt>
                <c:pt idx="130">
                  <c:v>8.5718101156143671</c:v>
                </c:pt>
                <c:pt idx="131">
                  <c:v>8.3708182700079057</c:v>
                </c:pt>
                <c:pt idx="132">
                  <c:v>8.1698769681433099</c:v>
                </c:pt>
                <c:pt idx="133">
                  <c:v>7.9689842532020192</c:v>
                </c:pt>
                <c:pt idx="134">
                  <c:v>7.7681382679247175</c:v>
                </c:pt>
                <c:pt idx="135">
                  <c:v>7.5673372509754069</c:v>
                </c:pt>
                <c:pt idx="136">
                  <c:v>7.3665795334809889</c:v>
                </c:pt>
                <c:pt idx="137">
                  <c:v>7.1658635357437204</c:v>
                </c:pt>
                <c:pt idx="138">
                  <c:v>6.9651877641201523</c:v>
                </c:pt>
                <c:pt idx="139">
                  <c:v>6.7645508080630847</c:v>
                </c:pt>
                <c:pt idx="140">
                  <c:v>6.5639513373200149</c:v>
                </c:pt>
                <c:pt idx="141">
                  <c:v>6.3633880992864613</c:v>
                </c:pt>
                <c:pt idx="142">
                  <c:v>6.1628599165074309</c:v>
                </c:pt>
                <c:pt idx="143">
                  <c:v>5.9623656843247055</c:v>
                </c:pt>
                <c:pt idx="144">
                  <c:v>5.7619043686648839</c:v>
                </c:pt>
                <c:pt idx="145">
                  <c:v>5.5614750039659953</c:v>
                </c:pt>
                <c:pt idx="146">
                  <c:v>5.3610766912377823</c:v>
                </c:pt>
                <c:pt idx="147">
                  <c:v>5.1607085962539001</c:v>
                </c:pt>
                <c:pt idx="148">
                  <c:v>4.9603699478714569</c:v>
                </c:pt>
                <c:pt idx="149">
                  <c:v>4.76006003647651</c:v>
                </c:pt>
                <c:pt idx="150">
                  <c:v>4.5597782125522279</c:v>
                </c:pt>
                <c:pt idx="151">
                  <c:v>4.3595238853667331</c:v>
                </c:pt>
                <c:pt idx="152">
                  <c:v>4.1592965217801634</c:v>
                </c:pt>
                <c:pt idx="153">
                  <c:v>3.9590956451660819</c:v>
                </c:pt>
                <c:pt idx="154">
                  <c:v>3.7589208344489728</c:v>
                </c:pt>
                <c:pt idx="155">
                  <c:v>3.5587717232525429</c:v>
                </c:pt>
                <c:pt idx="156">
                  <c:v>3.3586479991603833</c:v>
                </c:pt>
                <c:pt idx="157">
                  <c:v>3.158549403085301</c:v>
                </c:pt>
                <c:pt idx="158">
                  <c:v>2.9584757287488284</c:v>
                </c:pt>
                <c:pt idx="159">
                  <c:v>2.7584268222666291</c:v>
                </c:pt>
                <c:pt idx="160">
                  <c:v>2.5584025818435752</c:v>
                </c:pt>
                <c:pt idx="161">
                  <c:v>2.3584029575731784</c:v>
                </c:pt>
                <c:pt idx="162">
                  <c:v>2.1584279513448217</c:v>
                </c:pt>
                <c:pt idx="163">
                  <c:v>1.9584776168574063</c:v>
                </c:pt>
                <c:pt idx="164">
                  <c:v>1.7585520597385615</c:v>
                </c:pt>
                <c:pt idx="165">
                  <c:v>1.5586514377708092</c:v>
                </c:pt>
                <c:pt idx="166">
                  <c:v>1.3587759612266945</c:v>
                </c:pt>
                <c:pt idx="167">
                  <c:v>1.1589258933083659</c:v>
                </c:pt>
                <c:pt idx="168">
                  <c:v>0.95910155070002845</c:v>
                </c:pt>
                <c:pt idx="169">
                  <c:v>0.75930330422748005</c:v>
                </c:pt>
                <c:pt idx="170">
                  <c:v>0.5595315796296616</c:v>
                </c:pt>
                <c:pt idx="171">
                  <c:v>0.35978685844412944</c:v>
                </c:pt>
                <c:pt idx="172">
                  <c:v>0.16006967900505675</c:v>
                </c:pt>
                <c:pt idx="173">
                  <c:v>-3.9619362440722956E-2</c:v>
                </c:pt>
                <c:pt idx="174">
                  <c:v>-0.23927961049921648</c:v>
                </c:pt>
                <c:pt idx="175">
                  <c:v>-0.4389103492751516</c:v>
                </c:pt>
                <c:pt idx="176">
                  <c:v>-0.63851080089289791</c:v>
                </c:pt>
                <c:pt idx="177">
                  <c:v>-0.83808012389137465</c:v>
                </c:pt>
                <c:pt idx="178">
                  <c:v>-1.0376174114900525</c:v>
                </c:pt>
                <c:pt idx="179">
                  <c:v>-1.2371216897217092</c:v>
                </c:pt>
                <c:pt idx="180">
                  <c:v>-1.4365919154293372</c:v>
                </c:pt>
                <c:pt idx="181">
                  <c:v>-1.6360269741239959</c:v>
                </c:pt>
                <c:pt idx="182">
                  <c:v>-1.8354256776962981</c:v>
                </c:pt>
                <c:pt idx="183">
                  <c:v>-2.0347867619832001</c:v>
                </c:pt>
                <c:pt idx="184">
                  <c:v>-2.2341088841795154</c:v>
                </c:pt>
                <c:pt idx="185">
                  <c:v>-2.4333906200935904</c:v>
                </c:pt>
                <c:pt idx="186">
                  <c:v>-2.6326304612407085</c:v>
                </c:pt>
                <c:pt idx="187">
                  <c:v>-2.8318268117679151</c:v>
                </c:pt>
                <c:pt idx="188">
                  <c:v>-3.0309779852073575</c:v>
                </c:pt>
                <c:pt idx="189">
                  <c:v>-3.2300822010497274</c:v>
                </c:pt>
                <c:pt idx="190">
                  <c:v>-3.4291375811338201</c:v>
                </c:pt>
                <c:pt idx="191">
                  <c:v>-3.6281421458438707</c:v>
                </c:pt>
                <c:pt idx="192">
                  <c:v>-3.8270938101104974</c:v>
                </c:pt>
                <c:pt idx="193">
                  <c:v>-4.0259903792059246</c:v>
                </c:pt>
                <c:pt idx="194">
                  <c:v>-4.2248295443278501</c:v>
                </c:pt>
                <c:pt idx="195">
                  <c:v>-4.4236088779646003</c:v>
                </c:pt>
                <c:pt idx="196">
                  <c:v>-4.6223258290322553</c:v>
                </c:pt>
                <c:pt idx="197">
                  <c:v>-4.8209777177777342</c:v>
                </c:pt>
                <c:pt idx="198">
                  <c:v>-5.0195617304380633</c:v>
                </c:pt>
                <c:pt idx="199">
                  <c:v>-5.2180749136477669</c:v>
                </c:pt>
                <c:pt idx="200">
                  <c:v>-5.4165141685854508</c:v>
                </c:pt>
                <c:pt idx="201">
                  <c:v>-5.6148762448502376</c:v>
                </c:pt>
                <c:pt idx="202">
                  <c:v>-5.813157734059077</c:v>
                </c:pt>
                <c:pt idx="203">
                  <c:v>-6.0113550631537871</c:v>
                </c:pt>
                <c:pt idx="204">
                  <c:v>-6.2094644874101244</c:v>
                </c:pt>
                <c:pt idx="205">
                  <c:v>-6.4074820831357364</c:v>
                </c:pt>
                <c:pt idx="206">
                  <c:v>-6.6054037400492502</c:v>
                </c:pt>
                <c:pt idx="207">
                  <c:v>-6.8032251533272508</c:v>
                </c:pt>
                <c:pt idx="208">
                  <c:v>-7.0009418153099814</c:v>
                </c:pt>
                <c:pt idx="209">
                  <c:v>-7.1985490068529003</c:v>
                </c:pt>
                <c:pt idx="210">
                  <c:v>-7.3960417883140757</c:v>
                </c:pt>
                <c:pt idx="211">
                  <c:v>-7.5934149901643426</c:v>
                </c:pt>
                <c:pt idx="212">
                  <c:v>-7.7906632032096077</c:v>
                </c:pt>
                <c:pt idx="213">
                  <c:v>-7.9877807684125433</c:v>
                </c:pt>
                <c:pt idx="214">
                  <c:v>-8.1847617663010599</c:v>
                </c:pt>
                <c:pt idx="215">
                  <c:v>-8.3816000059530733</c:v>
                </c:pt>
                <c:pt idx="216">
                  <c:v>-8.578289013543122</c:v>
                </c:pt>
                <c:pt idx="217">
                  <c:v>-8.7748220204402703</c:v>
                </c:pt>
                <c:pt idx="218">
                  <c:v>-8.9711919508434903</c:v>
                </c:pt>
                <c:pt idx="219">
                  <c:v>-9.1673914089436543</c:v>
                </c:pt>
                <c:pt idx="220">
                  <c:v>-9.3634126655986201</c:v>
                </c:pt>
                <c:pt idx="221">
                  <c:v>-9.5592476445099415</c:v>
                </c:pt>
                <c:pt idx="222">
                  <c:v>-9.7548879078899198</c:v>
                </c:pt>
                <c:pt idx="223">
                  <c:v>-9.9503246416052917</c:v>
                </c:pt>
                <c:pt idx="224">
                  <c:v>-10.145548639788988</c:v>
                </c:pt>
                <c:pt idx="225">
                  <c:v>-10.340550288905524</c:v>
                </c:pt>
                <c:pt idx="226">
                  <c:v>-10.535319551263168</c:v>
                </c:pt>
                <c:pt idx="227">
                  <c:v>-10.729845947958133</c:v>
                </c:pt>
                <c:pt idx="228">
                  <c:v>-10.924118541244997</c:v>
                </c:pt>
                <c:pt idx="229">
                  <c:v>-11.118125916321564</c:v>
                </c:pt>
                <c:pt idx="230">
                  <c:v>-11.311856162520135</c:v>
                </c:pt>
                <c:pt idx="231">
                  <c:v>-11.505296853897484</c:v>
                </c:pt>
                <c:pt idx="232">
                  <c:v>-11.698435029214817</c:v>
                </c:pt>
                <c:pt idx="233">
                  <c:v>-11.891257171302561</c:v>
                </c:pt>
                <c:pt idx="234">
                  <c:v>-12.083749185802864</c:v>
                </c:pt>
                <c:pt idx="235">
                  <c:v>-12.275896379283539</c:v>
                </c:pt>
                <c:pt idx="236">
                  <c:v>-12.467683436720904</c:v>
                </c:pt>
                <c:pt idx="237">
                  <c:v>-12.659094398344726</c:v>
                </c:pt>
                <c:pt idx="238">
                  <c:v>-12.850112635843537</c:v>
                </c:pt>
                <c:pt idx="239">
                  <c:v>-13.040720827926052</c:v>
                </c:pt>
                <c:pt idx="240">
                  <c:v>-13.230900935236559</c:v>
                </c:pt>
                <c:pt idx="241">
                  <c:v>-13.420634174619872</c:v>
                </c:pt>
                <c:pt idx="242">
                  <c:v>-13.609900992734874</c:v>
                </c:pt>
                <c:pt idx="243">
                  <c:v>-13.798681039012202</c:v>
                </c:pt>
                <c:pt idx="244">
                  <c:v>-13.98695313795085</c:v>
                </c:pt>
                <c:pt idx="245">
                  <c:v>-14.174695260750603</c:v>
                </c:pt>
                <c:pt idx="246">
                  <c:v>-14.361884496270644</c:v>
                </c:pt>
                <c:pt idx="247">
                  <c:v>-14.548497021305371</c:v>
                </c:pt>
                <c:pt idx="248">
                  <c:v>-14.734508070165045</c:v>
                </c:pt>
                <c:pt idx="249">
                  <c:v>-14.919891903542389</c:v>
                </c:pt>
                <c:pt idx="250">
                  <c:v>-15.104621776644775</c:v>
                </c:pt>
                <c:pt idx="251">
                  <c:v>-15.288669906560822</c:v>
                </c:pt>
                <c:pt idx="252">
                  <c:v>-15.472007438826548</c:v>
                </c:pt>
                <c:pt idx="253">
                  <c:v>-15.654604413143582</c:v>
                </c:pt>
                <c:pt idx="254">
                  <c:v>-15.836429728192229</c:v>
                </c:pt>
                <c:pt idx="255">
                  <c:v>-16.017451105467767</c:v>
                </c:pt>
                <c:pt idx="256">
                  <c:v>-16.197635052053421</c:v>
                </c:pt>
                <c:pt idx="257">
                  <c:v>-16.376946822224166</c:v>
                </c:pt>
                <c:pt idx="258">
                  <c:v>-16.555350377753019</c:v>
                </c:pt>
                <c:pt idx="259">
                  <c:v>-16.732808346768802</c:v>
                </c:pt>
                <c:pt idx="260">
                  <c:v>-16.909281980983046</c:v>
                </c:pt>
                <c:pt idx="261">
                  <c:v>-17.084731111070568</c:v>
                </c:pt>
                <c:pt idx="262">
                  <c:v>-17.259114099953649</c:v>
                </c:pt>
                <c:pt idx="263">
                  <c:v>-17.432387793691269</c:v>
                </c:pt>
                <c:pt idx="264">
                  <c:v>-17.604507469630789</c:v>
                </c:pt>
                <c:pt idx="265">
                  <c:v>-17.775426781421622</c:v>
                </c:pt>
                <c:pt idx="266">
                  <c:v>-17.945097700428729</c:v>
                </c:pt>
                <c:pt idx="267">
                  <c:v>-18.113470453014592</c:v>
                </c:pt>
                <c:pt idx="268">
                  <c:v>-18.280493453078705</c:v>
                </c:pt>
                <c:pt idx="269">
                  <c:v>-18.446113229158627</c:v>
                </c:pt>
                <c:pt idx="270">
                  <c:v>-18.610274345295544</c:v>
                </c:pt>
                <c:pt idx="271">
                  <c:v>-18.772919314763318</c:v>
                </c:pt>
                <c:pt idx="272">
                  <c:v>-18.933988505636229</c:v>
                </c:pt>
                <c:pt idx="273">
                  <c:v>-19.093420037039614</c:v>
                </c:pt>
                <c:pt idx="274">
                  <c:v>-19.251149664777646</c:v>
                </c:pt>
                <c:pt idx="275">
                  <c:v>-19.407110654873062</c:v>
                </c:pt>
                <c:pt idx="276">
                  <c:v>-19.56123364336834</c:v>
                </c:pt>
                <c:pt idx="277">
                  <c:v>-19.713446480541588</c:v>
                </c:pt>
                <c:pt idx="278">
                  <c:v>-19.863674057468685</c:v>
                </c:pt>
                <c:pt idx="279">
                  <c:v>-20.011838112618925</c:v>
                </c:pt>
                <c:pt idx="280">
                  <c:v>-20.157857015899225</c:v>
                </c:pt>
                <c:pt idx="281">
                  <c:v>-20.301645527262764</c:v>
                </c:pt>
                <c:pt idx="282">
                  <c:v>-20.443114526663742</c:v>
                </c:pt>
                <c:pt idx="283">
                  <c:v>-20.582170711763176</c:v>
                </c:pt>
                <c:pt idx="284">
                  <c:v>-20.718716259377125</c:v>
                </c:pt>
                <c:pt idx="285">
                  <c:v>-20.852648446185995</c:v>
                </c:pt>
                <c:pt idx="286">
                  <c:v>-20.983859223694431</c:v>
                </c:pt>
                <c:pt idx="287">
                  <c:v>-21.112234741832161</c:v>
                </c:pt>
                <c:pt idx="288">
                  <c:v>-21.23765481490252</c:v>
                </c:pt>
                <c:pt idx="289">
                  <c:v>-21.359992322804654</c:v>
                </c:pt>
                <c:pt idx="290">
                  <c:v>-21.479112539558667</c:v>
                </c:pt>
                <c:pt idx="291">
                  <c:v>-21.594872380124372</c:v>
                </c:pt>
                <c:pt idx="292">
                  <c:v>-21.707119555306488</c:v>
                </c:pt>
                <c:pt idx="293">
                  <c:v>-21.815691623130906</c:v>
                </c:pt>
                <c:pt idx="294">
                  <c:v>-21.920414923440411</c:v>
                </c:pt>
                <c:pt idx="295">
                  <c:v>-22.021103380519303</c:v>
                </c:pt>
                <c:pt idx="296">
                  <c:v>-22.117557156276479</c:v>
                </c:pt>
                <c:pt idx="297">
                  <c:v>-22.209561133801188</c:v>
                </c:pt>
                <c:pt idx="298">
                  <c:v>-22.296883207877404</c:v>
                </c:pt>
                <c:pt idx="299">
                  <c:v>-22.379272355175431</c:v>
                </c:pt>
                <c:pt idx="300">
                  <c:v>-22.456456452198047</c:v>
                </c:pt>
                <c:pt idx="301">
                  <c:v>-22.528139803469074</c:v>
                </c:pt>
                <c:pt idx="302">
                  <c:v>-22.59400033568528</c:v>
                </c:pt>
                <c:pt idx="303">
                  <c:v>-22.653686405348953</c:v>
                </c:pt>
                <c:pt idx="304">
                  <c:v>-22.706813157407026</c:v>
                </c:pt>
                <c:pt idx="305">
                  <c:v>-22.75295836021424</c:v>
                </c:pt>
                <c:pt idx="306">
                  <c:v>-22.791657627181849</c:v>
                </c:pt>
                <c:pt idx="307">
                  <c:v>-22.822398917077116</c:v>
                </c:pt>
                <c:pt idx="308">
                  <c:v>-22.844616182266009</c:v>
                </c:pt>
                <c:pt idx="309">
                  <c:v>-22.857682006146621</c:v>
                </c:pt>
                <c:pt idx="310">
                  <c:v>-22.860899036280546</c:v>
                </c:pt>
                <c:pt idx="311">
                  <c:v>-22.853489976598791</c:v>
                </c:pt>
                <c:pt idx="312">
                  <c:v>-22.834585848500723</c:v>
                </c:pt>
                <c:pt idx="313">
                  <c:v>-22.803212164193685</c:v>
                </c:pt>
                <c:pt idx="314">
                  <c:v>-22.758272573390347</c:v>
                </c:pt>
                <c:pt idx="315">
                  <c:v>-22.698529443424022</c:v>
                </c:pt>
                <c:pt idx="316">
                  <c:v>-22.622580710176898</c:v>
                </c:pt>
                <c:pt idx="317">
                  <c:v>-22.528832191637331</c:v>
                </c:pt>
                <c:pt idx="318">
                  <c:v>-22.415464390096442</c:v>
                </c:pt>
                <c:pt idx="319">
                  <c:v>-22.2803926351035</c:v>
                </c:pt>
                <c:pt idx="320">
                  <c:v>-22.121219270135803</c:v>
                </c:pt>
                <c:pt idx="321">
                  <c:v>-21.935176538379825</c:v>
                </c:pt>
                <c:pt idx="322">
                  <c:v>-21.719059046719241</c:v>
                </c:pt>
                <c:pt idx="323">
                  <c:v>-21.469145546889465</c:v>
                </c:pt>
                <c:pt idx="324">
                  <c:v>-21.181112047574043</c:v>
                </c:pt>
                <c:pt idx="325">
                  <c:v>-20.849943626783801</c:v>
                </c:pt>
                <c:pt idx="326">
                  <c:v>-20.469864343421278</c:v>
                </c:pt>
                <c:pt idx="327">
                  <c:v>-20.03433118809404</c:v>
                </c:pt>
                <c:pt idx="328">
                  <c:v>-19.536196330807691</c:v>
                </c:pt>
                <c:pt idx="329">
                  <c:v>-18.968270121799936</c:v>
                </c:pt>
                <c:pt idx="330">
                  <c:v>-18.324797809345093</c:v>
                </c:pt>
                <c:pt idx="331">
                  <c:v>-17.604960484732146</c:v>
                </c:pt>
                <c:pt idx="332">
                  <c:v>-16.820672854177324</c:v>
                </c:pt>
                <c:pt idx="333">
                  <c:v>-16.012594752398254</c:v>
                </c:pt>
                <c:pt idx="334">
                  <c:v>-15.277568355417092</c:v>
                </c:pt>
                <c:pt idx="335">
                  <c:v>-14.795217032186244</c:v>
                </c:pt>
                <c:pt idx="336">
                  <c:v>-14.796082793648893</c:v>
                </c:pt>
                <c:pt idx="337">
                  <c:v>-15.413789755674731</c:v>
                </c:pt>
                <c:pt idx="338">
                  <c:v>-16.557935290737944</c:v>
                </c:pt>
                <c:pt idx="339">
                  <c:v>-18.003020901350482</c:v>
                </c:pt>
                <c:pt idx="340">
                  <c:v>-19.552204929157163</c:v>
                </c:pt>
                <c:pt idx="341">
                  <c:v>-21.092493277678077</c:v>
                </c:pt>
                <c:pt idx="342">
                  <c:v>-22.57390788161759</c:v>
                </c:pt>
                <c:pt idx="343">
                  <c:v>-23.980121397805302</c:v>
                </c:pt>
                <c:pt idx="344">
                  <c:v>-25.310111014128196</c:v>
                </c:pt>
                <c:pt idx="345">
                  <c:v>-26.568987304386429</c:v>
                </c:pt>
                <c:pt idx="346">
                  <c:v>-27.76381922735056</c:v>
                </c:pt>
                <c:pt idx="347">
                  <c:v>-28.901847574372063</c:v>
                </c:pt>
                <c:pt idx="348">
                  <c:v>-29.989783938122841</c:v>
                </c:pt>
                <c:pt idx="349">
                  <c:v>-31.033588854749201</c:v>
                </c:pt>
                <c:pt idx="350">
                  <c:v>-32.038453605727035</c:v>
                </c:pt>
                <c:pt idx="351">
                  <c:v>-33.008861821724402</c:v>
                </c:pt>
                <c:pt idx="352">
                  <c:v>-33.948676030106256</c:v>
                </c:pt>
                <c:pt idx="353">
                  <c:v>-34.861225690326542</c:v>
                </c:pt>
                <c:pt idx="354">
                  <c:v>-35.749387518598347</c:v>
                </c:pt>
                <c:pt idx="355">
                  <c:v>-36.61565528604023</c:v>
                </c:pt>
                <c:pt idx="356">
                  <c:v>-37.46219902340242</c:v>
                </c:pt>
                <c:pt idx="357">
                  <c:v>-38.290914641797556</c:v>
                </c:pt>
                <c:pt idx="358">
                  <c:v>-39.103465298304528</c:v>
                </c:pt>
                <c:pt idx="359">
                  <c:v>-39.901315827002811</c:v>
                </c:pt>
                <c:pt idx="360">
                  <c:v>-40.685761420019105</c:v>
                </c:pt>
                <c:pt idx="361">
                  <c:v>-41.457951570866442</c:v>
                </c:pt>
                <c:pt idx="362">
                  <c:v>-42.218910123409714</c:v>
                </c:pt>
                <c:pt idx="363">
                  <c:v>-42.969552119507874</c:v>
                </c:pt>
                <c:pt idx="364">
                  <c:v>-43.710698010889445</c:v>
                </c:pt>
                <c:pt idx="365">
                  <c:v>-44.443085695370229</c:v>
                </c:pt>
                <c:pt idx="366">
                  <c:v>-45.167380751528235</c:v>
                </c:pt>
                <c:pt idx="367">
                  <c:v>-45.884185176337709</c:v>
                </c:pt>
                <c:pt idx="368">
                  <c:v>-46.594044874133552</c:v>
                </c:pt>
                <c:pt idx="369">
                  <c:v>-47.297456100042368</c:v>
                </c:pt>
                <c:pt idx="370">
                  <c:v>-47.994871024563821</c:v>
                </c:pt>
                <c:pt idx="371">
                  <c:v>-48.686702556546123</c:v>
                </c:pt>
                <c:pt idx="372">
                  <c:v>-49.373328537973194</c:v>
                </c:pt>
                <c:pt idx="373">
                  <c:v>-50.055095404639289</c:v>
                </c:pt>
                <c:pt idx="374">
                  <c:v>-50.732321391040884</c:v>
                </c:pt>
                <c:pt idx="375">
                  <c:v>-51.405299344941895</c:v>
                </c:pt>
                <c:pt idx="376">
                  <c:v>-52.074299206519129</c:v>
                </c:pt>
                <c:pt idx="377">
                  <c:v>-52.739570198308463</c:v>
                </c:pt>
                <c:pt idx="378">
                  <c:v>-53.401342764999164</c:v>
                </c:pt>
                <c:pt idx="379">
                  <c:v>-54.059830296181524</c:v>
                </c:pt>
                <c:pt idx="380">
                  <c:v>-54.715230660203119</c:v>
                </c:pt>
                <c:pt idx="381">
                  <c:v>-55.367727573163961</c:v>
                </c:pt>
                <c:pt idx="382">
                  <c:v>-56.017491823621995</c:v>
                </c:pt>
                <c:pt idx="383">
                  <c:v>-56.664682370673617</c:v>
                </c:pt>
                <c:pt idx="384">
                  <c:v>-57.309447330624906</c:v>
                </c:pt>
                <c:pt idx="385">
                  <c:v>-57.951924865394687</c:v>
                </c:pt>
                <c:pt idx="386">
                  <c:v>-58.59224398403407</c:v>
                </c:pt>
                <c:pt idx="387">
                  <c:v>-59.230525267249099</c:v>
                </c:pt>
                <c:pt idx="388">
                  <c:v>-59.866881523533984</c:v>
                </c:pt>
                <c:pt idx="389">
                  <c:v>-60.501418384434515</c:v>
                </c:pt>
                <c:pt idx="390">
                  <c:v>-61.134234845512793</c:v>
                </c:pt>
                <c:pt idx="391">
                  <c:v>-61.765423758787605</c:v>
                </c:pt>
                <c:pt idx="392">
                  <c:v>-62.395072281718782</c:v>
                </c:pt>
                <c:pt idx="393">
                  <c:v>-63.023262287205071</c:v>
                </c:pt>
                <c:pt idx="394">
                  <c:v>-63.650070738541075</c:v>
                </c:pt>
                <c:pt idx="395">
                  <c:v>-64.275570032824149</c:v>
                </c:pt>
                <c:pt idx="396">
                  <c:v>-64.899828315905197</c:v>
                </c:pt>
                <c:pt idx="397">
                  <c:v>-65.522909771633181</c:v>
                </c:pt>
                <c:pt idx="398">
                  <c:v>-66.144874887838952</c:v>
                </c:pt>
                <c:pt idx="399">
                  <c:v>-66.765780701238015</c:v>
                </c:pt>
                <c:pt idx="400">
                  <c:v>-67.385681023201528</c:v>
                </c:pt>
                <c:pt idx="401">
                  <c:v>-68.004626648135925</c:v>
                </c:pt>
                <c:pt idx="402">
                  <c:v>-68.622665546031854</c:v>
                </c:pt>
                <c:pt idx="403">
                  <c:v>-69.239843040585455</c:v>
                </c:pt>
                <c:pt idx="404">
                  <c:v>-69.856201974148433</c:v>
                </c:pt>
                <c:pt idx="405">
                  <c:v>-70.471782860641042</c:v>
                </c:pt>
                <c:pt idx="406">
                  <c:v>-71.086624027450512</c:v>
                </c:pt>
                <c:pt idx="407">
                  <c:v>-71.700761747236498</c:v>
                </c:pt>
                <c:pt idx="408">
                  <c:v>-72.314230360478263</c:v>
                </c:pt>
                <c:pt idx="409">
                  <c:v>-72.927062389515868</c:v>
                </c:pt>
                <c:pt idx="410">
                  <c:v>-73.539288644774402</c:v>
                </c:pt>
                <c:pt idx="411">
                  <c:v>-74.150938323785752</c:v>
                </c:pt>
                <c:pt idx="412">
                  <c:v>-74.762039103579013</c:v>
                </c:pt>
                <c:pt idx="413">
                  <c:v>-75.372617226946616</c:v>
                </c:pt>
                <c:pt idx="414">
                  <c:v>-75.982697583058069</c:v>
                </c:pt>
                <c:pt idx="415">
                  <c:v>-76.592303782845917</c:v>
                </c:pt>
                <c:pt idx="416">
                  <c:v>-77.201458229553282</c:v>
                </c:pt>
                <c:pt idx="417">
                  <c:v>-77.810182184799459</c:v>
                </c:pt>
                <c:pt idx="418">
                  <c:v>-78.418495830487686</c:v>
                </c:pt>
                <c:pt idx="419">
                  <c:v>-79.026418326854412</c:v>
                </c:pt>
                <c:pt idx="420">
                  <c:v>-79.633967866934228</c:v>
                </c:pt>
                <c:pt idx="421">
                  <c:v>-80.24116172768808</c:v>
                </c:pt>
                <c:pt idx="422">
                  <c:v>-80.848016318028911</c:v>
                </c:pt>
                <c:pt idx="423">
                  <c:v>-81.454547223953867</c:v>
                </c:pt>
                <c:pt idx="424">
                  <c:v>-82.060769250979945</c:v>
                </c:pt>
                <c:pt idx="425">
                  <c:v>-82.666696464061218</c:v>
                </c:pt>
                <c:pt idx="426">
                  <c:v>-83.272342225155114</c:v>
                </c:pt>
                <c:pt idx="427">
                  <c:v>-83.877719228587978</c:v>
                </c:pt>
                <c:pt idx="428">
                  <c:v>-84.482839534362085</c:v>
                </c:pt>
                <c:pt idx="429">
                  <c:v>-85.087714599538657</c:v>
                </c:pt>
                <c:pt idx="430">
                  <c:v>-85.692355307808782</c:v>
                </c:pt>
                <c:pt idx="431">
                  <c:v>-86.296771997373014</c:v>
                </c:pt>
                <c:pt idx="432">
                  <c:v>-86.90097448722625</c:v>
                </c:pt>
                <c:pt idx="433">
                  <c:v>-87.504972101949363</c:v>
                </c:pt>
                <c:pt idx="434">
                  <c:v>-88.108773695092026</c:v>
                </c:pt>
                <c:pt idx="435">
                  <c:v>-88.712387671231397</c:v>
                </c:pt>
                <c:pt idx="436">
                  <c:v>-89.315822006784188</c:v>
                </c:pt>
                <c:pt idx="437">
                  <c:v>-89.919084269640734</c:v>
                </c:pt>
                <c:pt idx="438">
                  <c:v>-90.522181637691148</c:v>
                </c:pt>
                <c:pt idx="439">
                  <c:v>-91.125120916300432</c:v>
                </c:pt>
                <c:pt idx="440">
                  <c:v>-91.72790855479407</c:v>
                </c:pt>
                <c:pt idx="441">
                  <c:v>-92.33055066200599</c:v>
                </c:pt>
                <c:pt idx="442">
                  <c:v>-92.93305302093728</c:v>
                </c:pt>
                <c:pt idx="443">
                  <c:v>-93.535421102574148</c:v>
                </c:pt>
                <c:pt idx="444">
                  <c:v>-94.137660078906947</c:v>
                </c:pt>
                <c:pt idx="445">
                  <c:v>-94.739774835191142</c:v>
                </c:pt>
                <c:pt idx="446">
                  <c:v>-95.341769981486451</c:v>
                </c:pt>
                <c:pt idx="447">
                  <c:v>-95.94364986351124</c:v>
                </c:pt>
                <c:pt idx="448">
                  <c:v>-96.545418572841996</c:v>
                </c:pt>
                <c:pt idx="449">
                  <c:v>-97.147079956491083</c:v>
                </c:pt>
                <c:pt idx="450">
                  <c:v>-97.748637625888307</c:v>
                </c:pt>
                <c:pt idx="451">
                  <c:v>-98.350094965294588</c:v>
                </c:pt>
                <c:pt idx="452">
                  <c:v>-98.951455139670244</c:v>
                </c:pt>
                <c:pt idx="453">
                  <c:v>-99.552721102023582</c:v>
                </c:pt>
                <c:pt idx="454">
                  <c:v>-100.15389560025774</c:v>
                </c:pt>
                <c:pt idx="455">
                  <c:v>-100.75498118353728</c:v>
                </c:pt>
                <c:pt idx="456">
                  <c:v>-101.35598020819133</c:v>
                </c:pt>
                <c:pt idx="457">
                  <c:v>-101.95689484317258</c:v>
                </c:pt>
                <c:pt idx="458">
                  <c:v>-102.5577270750849</c:v>
                </c:pt>
                <c:pt idx="459">
                  <c:v>-103.15847871279558</c:v>
                </c:pt>
                <c:pt idx="460">
                  <c:v>-103.75915139164503</c:v>
                </c:pt>
                <c:pt idx="461">
                  <c:v>-104.35974657726575</c:v>
                </c:pt>
                <c:pt idx="462">
                  <c:v>-104.96026556902237</c:v>
                </c:pt>
                <c:pt idx="463">
                  <c:v>-105.56070950308245</c:v>
                </c:pt>
                <c:pt idx="464">
                  <c:v>-106.16107935512743</c:v>
                </c:pt>
                <c:pt idx="465">
                  <c:v>-106.76137594271108</c:v>
                </c:pt>
                <c:pt idx="466">
                  <c:v>-107.36159992727565</c:v>
                </c:pt>
                <c:pt idx="467">
                  <c:v>-107.96175181582852</c:v>
                </c:pt>
                <c:pt idx="468">
                  <c:v>-108.56183196228835</c:v>
                </c:pt>
                <c:pt idx="469">
                  <c:v>-109.1618405685049</c:v>
                </c:pt>
                <c:pt idx="470">
                  <c:v>-109.76177768495603</c:v>
                </c:pt>
                <c:pt idx="471">
                  <c:v>-110.36164321112791</c:v>
                </c:pt>
                <c:pt idx="472">
                  <c:v>-110.96143689557763</c:v>
                </c:pt>
                <c:pt idx="473">
                  <c:v>-111.56115833568589</c:v>
                </c:pt>
                <c:pt idx="474">
                  <c:v>-112.16080697709629</c:v>
                </c:pt>
                <c:pt idx="475">
                  <c:v>-112.76038211284742</c:v>
                </c:pt>
                <c:pt idx="476">
                  <c:v>-113.35988288219363</c:v>
                </c:pt>
                <c:pt idx="477">
                  <c:v>-113.95930826911929</c:v>
                </c:pt>
                <c:pt idx="478">
                  <c:v>-114.55865710054196</c:v>
                </c:pt>
                <c:pt idx="479">
                  <c:v>-115.15792804420701</c:v>
                </c:pt>
                <c:pt idx="480">
                  <c:v>-115.75711960627062</c:v>
                </c:pt>
                <c:pt idx="481">
                  <c:v>-116.35623012856874</c:v>
                </c:pt>
                <c:pt idx="482">
                  <c:v>-116.95525778557257</c:v>
                </c:pt>
                <c:pt idx="483">
                  <c:v>-117.55420058102446</c:v>
                </c:pt>
                <c:pt idx="484">
                  <c:v>-118.15305634425312</c:v>
                </c:pt>
                <c:pt idx="485">
                  <c:v>-118.7518227261661</c:v>
                </c:pt>
                <c:pt idx="486">
                  <c:v>-119.35049719491134</c:v>
                </c:pt>
                <c:pt idx="487">
                  <c:v>-119.94907703121035</c:v>
                </c:pt>
                <c:pt idx="488">
                  <c:v>-120.54755932335081</c:v>
                </c:pt>
                <c:pt idx="489">
                  <c:v>-121.14594096184254</c:v>
                </c:pt>
                <c:pt idx="490">
                  <c:v>-121.74421863372457</c:v>
                </c:pt>
                <c:pt idx="491">
                  <c:v>-122.34238881652374</c:v>
                </c:pt>
                <c:pt idx="492">
                  <c:v>-122.94044777185634</c:v>
                </c:pt>
                <c:pt idx="493">
                  <c:v>-123.53839153867064</c:v>
                </c:pt>
                <c:pt idx="494">
                  <c:v>-124.13621592612165</c:v>
                </c:pt>
                <c:pt idx="495">
                  <c:v>-124.73391650607621</c:v>
                </c:pt>
                <c:pt idx="496">
                  <c:v>-125.33148860524219</c:v>
                </c:pt>
                <c:pt idx="497">
                  <c:v>-125.92892729691499</c:v>
                </c:pt>
                <c:pt idx="498">
                  <c:v>-126.52622739234067</c:v>
                </c:pt>
                <c:pt idx="499">
                  <c:v>-127.12338343168688</c:v>
                </c:pt>
                <c:pt idx="500">
                  <c:v>-127.72038967462058</c:v>
                </c:pt>
                <c:pt idx="501">
                  <c:v>-128.31724009048739</c:v>
                </c:pt>
                <c:pt idx="502">
                  <c:v>-128.91392834809039</c:v>
                </c:pt>
                <c:pt idx="503">
                  <c:v>-129.51044780506518</c:v>
                </c:pt>
                <c:pt idx="504">
                  <c:v>-130.10679149684981</c:v>
                </c:pt>
                <c:pt idx="505">
                  <c:v>-130.70295212524942</c:v>
                </c:pt>
                <c:pt idx="506">
                  <c:v>-131.29892204659481</c:v>
                </c:pt>
                <c:pt idx="507">
                  <c:v>-131.89469325949642</c:v>
                </c:pt>
                <c:pt idx="508">
                  <c:v>-132.49025739219871</c:v>
                </c:pt>
                <c:pt idx="509">
                  <c:v>-133.08560568953538</c:v>
                </c:pt>
                <c:pt idx="510">
                  <c:v>-133.68072899949487</c:v>
                </c:pt>
                <c:pt idx="511">
                  <c:v>-134.27561775940126</c:v>
                </c:pt>
                <c:pt idx="512">
                  <c:v>-134.87026198172305</c:v>
                </c:pt>
                <c:pt idx="513">
                  <c:v>-135.4646512395193</c:v>
                </c:pt>
                <c:pt idx="514">
                  <c:v>-136.05877465153964</c:v>
                </c:pt>
                <c:pt idx="515">
                  <c:v>-136.65262086699497</c:v>
                </c:pt>
                <c:pt idx="516">
                  <c:v>-137.24617805001861</c:v>
                </c:pt>
                <c:pt idx="517">
                  <c:v>-137.83943386384351</c:v>
                </c:pt>
                <c:pt idx="518">
                  <c:v>-138.43237545472024</c:v>
                </c:pt>
                <c:pt idx="519">
                  <c:v>-139.024989435609</c:v>
                </c:pt>
                <c:pt idx="520">
                  <c:v>-139.61726186968073</c:v>
                </c:pt>
                <c:pt idx="521">
                  <c:v>-140.2091782536651</c:v>
                </c:pt>
                <c:pt idx="522">
                  <c:v>-140.80072350109376</c:v>
                </c:pt>
                <c:pt idx="523">
                  <c:v>-141.39188192548434</c:v>
                </c:pt>
                <c:pt idx="524">
                  <c:v>-141.98263722352462</c:v>
                </c:pt>
                <c:pt idx="525">
                  <c:v>-142.57297245831546</c:v>
                </c:pt>
                <c:pt idx="526">
                  <c:v>-143.16287004273954</c:v>
                </c:pt>
                <c:pt idx="527">
                  <c:v>-143.75231172303305</c:v>
                </c:pt>
                <c:pt idx="528">
                  <c:v>-144.34127856263518</c:v>
                </c:pt>
                <c:pt idx="529">
                  <c:v>-144.92975092641211</c:v>
                </c:pt>
                <c:pt idx="530">
                  <c:v>-145.51770846533984</c:v>
                </c:pt>
                <c:pt idx="531">
                  <c:v>-146.10513010175927</c:v>
                </c:pt>
                <c:pt idx="532">
                  <c:v>-146.69199401530636</c:v>
                </c:pt>
                <c:pt idx="533">
                  <c:v>-147.2782776296437</c:v>
                </c:pt>
                <c:pt idx="534">
                  <c:v>-147.8639576001147</c:v>
                </c:pt>
                <c:pt idx="535">
                  <c:v>-148.44900980246041</c:v>
                </c:pt>
                <c:pt idx="536">
                  <c:v>-149.03340932274159</c:v>
                </c:pt>
                <c:pt idx="537">
                  <c:v>-149.61713044861926</c:v>
                </c:pt>
                <c:pt idx="538">
                  <c:v>-150.20014666215491</c:v>
                </c:pt>
                <c:pt idx="539">
                  <c:v>-150.78243063429829</c:v>
                </c:pt>
                <c:pt idx="540">
                  <c:v>-151.36395422123999</c:v>
                </c:pt>
                <c:pt idx="541">
                  <c:v>-151.94468846281342</c:v>
                </c:pt>
              </c:numCache>
            </c:numRef>
          </c:yVal>
          <c:smooth val="1"/>
          <c:extLst>
            <c:ext xmlns:c16="http://schemas.microsoft.com/office/drawing/2014/chart" uri="{C3380CC4-5D6E-409C-BE32-E72D297353CC}">
              <c16:uniqueId val="{00000000-F188-4D39-B62C-FFCB026FFDB3}"/>
            </c:ext>
          </c:extLst>
        </c:ser>
        <c:dLbls>
          <c:showLegendKey val="0"/>
          <c:showVal val="0"/>
          <c:showCatName val="0"/>
          <c:showSerName val="0"/>
          <c:showPercent val="0"/>
          <c:showBubbleSize val="0"/>
        </c:dLbls>
        <c:axId val="160959104"/>
        <c:axId val="160985856"/>
      </c:scatterChart>
      <c:scatterChart>
        <c:scatterStyle val="smoothMarker"/>
        <c:varyColors val="0"/>
        <c:ser>
          <c:idx val="1"/>
          <c:order val="1"/>
          <c:tx>
            <c:v>Phase (deg)</c:v>
          </c:tx>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Loop_Modeling!$AU$19:$AU$560</c:f>
              <c:numCache>
                <c:formatCode>General</c:formatCode>
                <c:ptCount val="542"/>
                <c:pt idx="0">
                  <c:v>59.10456377780077</c:v>
                </c:pt>
                <c:pt idx="1">
                  <c:v>59.182757215999743</c:v>
                </c:pt>
                <c:pt idx="2">
                  <c:v>59.273795241015712</c:v>
                </c:pt>
                <c:pt idx="3">
                  <c:v>59.377510388856599</c:v>
                </c:pt>
                <c:pt idx="4">
                  <c:v>59.493713246521565</c:v>
                </c:pt>
                <c:pt idx="5">
                  <c:v>59.622193085967275</c:v>
                </c:pt>
                <c:pt idx="6">
                  <c:v>59.76271856941915</c:v>
                </c:pt>
                <c:pt idx="7">
                  <c:v>59.915038523307487</c:v>
                </c:pt>
                <c:pt idx="8">
                  <c:v>60.078882777739175</c:v>
                </c:pt>
                <c:pt idx="9">
                  <c:v>60.25396306806995</c:v>
                </c:pt>
                <c:pt idx="10">
                  <c:v>60.439973994742907</c:v>
                </c:pt>
                <c:pt idx="11">
                  <c:v>60.636594037213392</c:v>
                </c:pt>
                <c:pt idx="12">
                  <c:v>60.843486617401524</c:v>
                </c:pt>
                <c:pt idx="13">
                  <c:v>61.060301207768156</c:v>
                </c:pt>
                <c:pt idx="14">
                  <c:v>61.286674478774337</c:v>
                </c:pt>
                <c:pt idx="15">
                  <c:v>61.522231480183564</c:v>
                </c:pt>
                <c:pt idx="16">
                  <c:v>61.766586850382701</c:v>
                </c:pt>
                <c:pt idx="17">
                  <c:v>62.019346047670659</c:v>
                </c:pt>
                <c:pt idx="18">
                  <c:v>62.280106597262105</c:v>
                </c:pt>
                <c:pt idx="19">
                  <c:v>62.548459347628196</c:v>
                </c:pt>
                <c:pt idx="20">
                  <c:v>62.823989729689622</c:v>
                </c:pt>
                <c:pt idx="21">
                  <c:v>63.1062790123691</c:v>
                </c:pt>
                <c:pt idx="22">
                  <c:v>63.394905548034821</c:v>
                </c:pt>
                <c:pt idx="23">
                  <c:v>63.68944600146115</c:v>
                </c:pt>
                <c:pt idx="24">
                  <c:v>63.989476556100527</c:v>
                </c:pt>
                <c:pt idx="25">
                  <c:v>64.294574091675869</c:v>
                </c:pt>
                <c:pt idx="26">
                  <c:v>64.604317327382716</c:v>
                </c:pt>
                <c:pt idx="27">
                  <c:v>64.918287925337552</c:v>
                </c:pt>
                <c:pt idx="28">
                  <c:v>65.236071549282883</c:v>
                </c:pt>
                <c:pt idx="29">
                  <c:v>65.557258874007502</c:v>
                </c:pt>
                <c:pt idx="30">
                  <c:v>65.881446541405452</c:v>
                </c:pt>
                <c:pt idx="31">
                  <c:v>66.208238059610366</c:v>
                </c:pt>
                <c:pt idx="32">
                  <c:v>66.537244642165021</c:v>
                </c:pt>
                <c:pt idx="33">
                  <c:v>66.868085984742393</c:v>
                </c:pt>
                <c:pt idx="34">
                  <c:v>67.200390977484616</c:v>
                </c:pt>
                <c:pt idx="35">
                  <c:v>67.533798351586952</c:v>
                </c:pt>
                <c:pt idx="36">
                  <c:v>67.867957259302116</c:v>
                </c:pt>
                <c:pt idx="37">
                  <c:v>68.202527787082488</c:v>
                </c:pt>
                <c:pt idx="38">
                  <c:v>68.537181402085807</c:v>
                </c:pt>
                <c:pt idx="39">
                  <c:v>68.87160133276781</c:v>
                </c:pt>
                <c:pt idx="40">
                  <c:v>69.205482884736227</c:v>
                </c:pt>
                <c:pt idx="41">
                  <c:v>69.538533693469574</c:v>
                </c:pt>
                <c:pt idx="42">
                  <c:v>69.870473915879231</c:v>
                </c:pt>
                <c:pt idx="43">
                  <c:v>70.20103636303817</c:v>
                </c:pt>
                <c:pt idx="44">
                  <c:v>70.529966576695443</c:v>
                </c:pt>
                <c:pt idx="45">
                  <c:v>70.85702285244578</c:v>
                </c:pt>
                <c:pt idx="46">
                  <c:v>71.181976212631611</c:v>
                </c:pt>
                <c:pt idx="47">
                  <c:v>71.504610332217354</c:v>
                </c:pt>
                <c:pt idx="48">
                  <c:v>71.824721420995658</c:v>
                </c:pt>
                <c:pt idx="49">
                  <c:v>72.1421180655651</c:v>
                </c:pt>
                <c:pt idx="50">
                  <c:v>72.456621034559191</c:v>
                </c:pt>
                <c:pt idx="51">
                  <c:v>72.768063050609967</c:v>
                </c:pt>
                <c:pt idx="52">
                  <c:v>73.076288532503</c:v>
                </c:pt>
                <c:pt idx="53">
                  <c:v>73.38115331092429</c:v>
                </c:pt>
                <c:pt idx="54">
                  <c:v>73.682524321111345</c:v>
                </c:pt>
                <c:pt idx="55">
                  <c:v>73.980279275618884</c:v>
                </c:pt>
                <c:pt idx="56">
                  <c:v>74.274306320282108</c:v>
                </c:pt>
                <c:pt idx="57">
                  <c:v>74.564503676316761</c:v>
                </c:pt>
                <c:pt idx="58">
                  <c:v>74.850779271344464</c:v>
                </c:pt>
                <c:pt idx="59">
                  <c:v>75.133050361962461</c:v>
                </c:pt>
                <c:pt idx="60">
                  <c:v>75.411243150308934</c:v>
                </c:pt>
                <c:pt idx="61">
                  <c:v>75.685292396898419</c:v>
                </c:pt>
                <c:pt idx="62">
                  <c:v>75.955141031821427</c:v>
                </c:pt>
                <c:pt idx="63">
                  <c:v>76.220739766228064</c:v>
                </c:pt>
                <c:pt idx="64">
                  <c:v>76.482046705836652</c:v>
                </c:pt>
                <c:pt idx="65">
                  <c:v>76.739026968036853</c:v>
                </c:pt>
                <c:pt idx="66">
                  <c:v>76.991652303990463</c:v>
                </c:pt>
                <c:pt idx="67">
                  <c:v>77.239900726969012</c:v>
                </c:pt>
                <c:pt idx="68">
                  <c:v>77.48375614801634</c:v>
                </c:pt>
                <c:pt idx="69">
                  <c:v>77.723208019874392</c:v>
                </c:pt>
                <c:pt idx="70">
                  <c:v>77.958250989973962</c:v>
                </c:pt>
                <c:pt idx="71">
                  <c:v>78.188884563163981</c:v>
                </c:pt>
                <c:pt idx="72">
                  <c:v>78.415112774727589</c:v>
                </c:pt>
                <c:pt idx="73">
                  <c:v>78.636943874125265</c:v>
                </c:pt>
                <c:pt idx="74">
                  <c:v>78.85439001980258</c:v>
                </c:pt>
                <c:pt idx="75">
                  <c:v>79.067466985301877</c:v>
                </c:pt>
                <c:pt idx="76">
                  <c:v>79.276193876837056</c:v>
                </c:pt>
                <c:pt idx="77">
                  <c:v>79.480592862409921</c:v>
                </c:pt>
                <c:pt idx="78">
                  <c:v>79.680688912476271</c:v>
                </c:pt>
                <c:pt idx="79">
                  <c:v>79.876509552114456</c:v>
                </c:pt>
                <c:pt idx="80">
                  <c:v>80.068084624586234</c:v>
                </c:pt>
                <c:pt idx="81">
                  <c:v>80.255446066138575</c:v>
                </c:pt>
                <c:pt idx="82">
                  <c:v>80.438627691851465</c:v>
                </c:pt>
                <c:pt idx="83">
                  <c:v>80.617664992300604</c:v>
                </c:pt>
                <c:pt idx="84">
                  <c:v>80.792594940775643</c:v>
                </c:pt>
                <c:pt idx="85">
                  <c:v>80.963455810767286</c:v>
                </c:pt>
                <c:pt idx="86">
                  <c:v>81.130287003420023</c:v>
                </c:pt>
                <c:pt idx="87">
                  <c:v>81.293128884625332</c:v>
                </c:pt>
                <c:pt idx="88">
                  <c:v>81.452022631424299</c:v>
                </c:pt>
                <c:pt idx="89">
                  <c:v>81.607010087373808</c:v>
                </c:pt>
                <c:pt idx="90">
                  <c:v>81.758133626528206</c:v>
                </c:pt>
                <c:pt idx="91">
                  <c:v>81.90543602568313</c:v>
                </c:pt>
                <c:pt idx="92">
                  <c:v>82.048960344527003</c:v>
                </c:pt>
                <c:pt idx="93">
                  <c:v>82.188749813349716</c:v>
                </c:pt>
                <c:pt idx="94">
                  <c:v>82.324847727955955</c:v>
                </c:pt>
                <c:pt idx="95">
                  <c:v>82.457297351439919</c:v>
                </c:pt>
                <c:pt idx="96">
                  <c:v>82.586141822481267</c:v>
                </c:pt>
                <c:pt idx="97">
                  <c:v>82.711424069830485</c:v>
                </c:pt>
                <c:pt idx="98">
                  <c:v>82.833186732657708</c:v>
                </c:pt>
                <c:pt idx="99">
                  <c:v>82.951472086451375</c:v>
                </c:pt>
                <c:pt idx="100">
                  <c:v>83.066321974157958</c:v>
                </c:pt>
                <c:pt idx="101">
                  <c:v>83.177777742267509</c:v>
                </c:pt>
                <c:pt idx="102">
                  <c:v>83.285880181558397</c:v>
                </c:pt>
                <c:pt idx="103">
                  <c:v>83.390669472223436</c:v>
                </c:pt>
                <c:pt idx="104">
                  <c:v>83.492185133114262</c:v>
                </c:pt>
                <c:pt idx="105">
                  <c:v>83.590465974846026</c:v>
                </c:pt>
                <c:pt idx="106">
                  <c:v>83.685550056520398</c:v>
                </c:pt>
                <c:pt idx="107">
                  <c:v>83.777474645831632</c:v>
                </c:pt>
                <c:pt idx="108">
                  <c:v>83.866276182332044</c:v>
                </c:pt>
                <c:pt idx="109">
                  <c:v>83.951990243644147</c:v>
                </c:pt>
                <c:pt idx="110">
                  <c:v>84.034651514416424</c:v>
                </c:pt>
                <c:pt idx="111">
                  <c:v>84.114293757828108</c:v>
                </c:pt>
                <c:pt idx="112">
                  <c:v>84.190949789460348</c:v>
                </c:pt>
                <c:pt idx="113">
                  <c:v>84.264651453358169</c:v>
                </c:pt>
                <c:pt idx="114">
                  <c:v>84.335429600118573</c:v>
                </c:pt>
                <c:pt idx="115">
                  <c:v>84.403314066846036</c:v>
                </c:pt>
                <c:pt idx="116">
                  <c:v>84.468333658828385</c:v>
                </c:pt>
                <c:pt idx="117">
                  <c:v>84.530516132791718</c:v>
                </c:pt>
                <c:pt idx="118">
                  <c:v>84.589888181600614</c:v>
                </c:pt>
                <c:pt idx="119">
                  <c:v>84.64647542027879</c:v>
                </c:pt>
                <c:pt idx="120">
                  <c:v>84.700302373231693</c:v>
                </c:pt>
                <c:pt idx="121">
                  <c:v>84.751392462557462</c:v>
                </c:pt>
                <c:pt idx="122">
                  <c:v>84.799767997343082</c:v>
                </c:pt>
                <c:pt idx="123">
                  <c:v>84.845450163843708</c:v>
                </c:pt>
                <c:pt idx="124">
                  <c:v>84.888459016453538</c:v>
                </c:pt>
                <c:pt idx="125">
                  <c:v>84.928813469377914</c:v>
                </c:pt>
                <c:pt idx="126">
                  <c:v>84.966531288926063</c:v>
                </c:pt>
                <c:pt idx="127">
                  <c:v>85.001629086343584</c:v>
                </c:pt>
                <c:pt idx="128">
                  <c:v>85.034122311113066</c:v>
                </c:pt>
                <c:pt idx="129">
                  <c:v>85.064025244653479</c:v>
                </c:pt>
                <c:pt idx="130">
                  <c:v>85.091350994352396</c:v>
                </c:pt>
                <c:pt idx="131">
                  <c:v>85.116111487871464</c:v>
                </c:pt>
                <c:pt idx="132">
                  <c:v>85.138317467666383</c:v>
                </c:pt>
                <c:pt idx="133">
                  <c:v>85.15797848566875</c:v>
                </c:pt>
                <c:pt idx="134">
                  <c:v>85.175102898078421</c:v>
                </c:pt>
                <c:pt idx="135">
                  <c:v>85.189697860219269</c:v>
                </c:pt>
                <c:pt idx="136">
                  <c:v>85.20176932141365</c:v>
                </c:pt>
                <c:pt idx="137">
                  <c:v>85.211322019833815</c:v>
                </c:pt>
                <c:pt idx="138">
                  <c:v>85.218359477290718</c:v>
                </c:pt>
                <c:pt idx="139">
                  <c:v>85.222883993923915</c:v>
                </c:pt>
                <c:pt idx="140">
                  <c:v>85.224896642757116</c:v>
                </c:pt>
                <c:pt idx="141">
                  <c:v>85.2243972640876</c:v>
                </c:pt>
                <c:pt idx="142">
                  <c:v>85.221384459678688</c:v>
                </c:pt>
                <c:pt idx="143">
                  <c:v>85.215855586726363</c:v>
                </c:pt>
                <c:pt idx="144">
                  <c:v>85.207806751573571</c:v>
                </c:pt>
                <c:pt idx="145">
                  <c:v>85.197232803146761</c:v>
                </c:pt>
                <c:pt idx="146">
                  <c:v>85.184127326090703</c:v>
                </c:pt>
                <c:pt idx="147">
                  <c:v>85.168482633579615</c:v>
                </c:pt>
                <c:pt idx="148">
                  <c:v>85.150289759783661</c:v>
                </c:pt>
                <c:pt idx="149">
                  <c:v>85.129538451970845</c:v>
                </c:pt>
                <c:pt idx="150">
                  <c:v>85.106217162226287</c:v>
                </c:pt>
                <c:pt idx="151">
                  <c:v>85.080313038771294</c:v>
                </c:pt>
                <c:pt idx="152">
                  <c:v>85.051811916866129</c:v>
                </c:pt>
                <c:pt idx="153">
                  <c:v>85.020698309281087</c:v>
                </c:pt>
                <c:pt idx="154">
                  <c:v>84.986955396322145</c:v>
                </c:pt>
                <c:pt idx="155">
                  <c:v>84.950565015397004</c:v>
                </c:pt>
                <c:pt idx="156">
                  <c:v>84.911507650110238</c:v>
                </c:pt>
                <c:pt idx="157">
                  <c:v>84.869762418874458</c:v>
                </c:pt>
                <c:pt idx="158">
                  <c:v>84.825307063028731</c:v>
                </c:pt>
                <c:pt idx="159">
                  <c:v>84.77811793445187</c:v>
                </c:pt>
                <c:pt idx="160">
                  <c:v>84.728169982663843</c:v>
                </c:pt>
                <c:pt idx="161">
                  <c:v>84.675436741404738</c:v>
                </c:pt>
                <c:pt idx="162">
                  <c:v>84.619890314684966</c:v>
                </c:pt>
                <c:pt idx="163">
                  <c:v>84.561501362299367</c:v>
                </c:pt>
                <c:pt idx="164">
                  <c:v>84.500239084798523</c:v>
                </c:pt>
                <c:pt idx="165">
                  <c:v>84.436071207912306</c:v>
                </c:pt>
                <c:pt idx="166">
                  <c:v>84.368963966421035</c:v>
                </c:pt>
                <c:pt idx="167">
                  <c:v>84.298882087469721</c:v>
                </c:pt>
                <c:pt idx="168">
                  <c:v>84.225788773322549</c:v>
                </c:pt>
                <c:pt idx="169">
                  <c:v>84.149645683555406</c:v>
                </c:pt>
                <c:pt idx="170">
                  <c:v>84.070412916684248</c:v>
                </c:pt>
                <c:pt idx="171">
                  <c:v>83.988048991229249</c:v>
                </c:pt>
                <c:pt idx="172">
                  <c:v>83.902510826215092</c:v>
                </c:pt>
                <c:pt idx="173">
                  <c:v>83.813753721107318</c:v>
                </c:pt>
                <c:pt idx="174">
                  <c:v>83.721731335188835</c:v>
                </c:pt>
                <c:pt idx="175">
                  <c:v>83.626395666377903</c:v>
                </c:pt>
                <c:pt idx="176">
                  <c:v>83.527697029493453</c:v>
                </c:pt>
                <c:pt idx="177">
                  <c:v>83.425584033972058</c:v>
                </c:pt>
                <c:pt idx="178">
                  <c:v>83.32000356104453</c:v>
                </c:pt>
                <c:pt idx="179">
                  <c:v>83.210900740379202</c:v>
                </c:pt>
                <c:pt idx="180">
                  <c:v>83.098218926202264</c:v>
                </c:pt>
                <c:pt idx="181">
                  <c:v>82.981899672905797</c:v>
                </c:pt>
                <c:pt idx="182">
                  <c:v>82.861882710156593</c:v>
                </c:pt>
                <c:pt idx="183">
                  <c:v>82.738105917519846</c:v>
                </c:pt>
                <c:pt idx="184">
                  <c:v>82.610505298614825</c:v>
                </c:pt>
                <c:pt idx="185">
                  <c:v>82.479014954819803</c:v>
                </c:pt>
                <c:pt idx="186">
                  <c:v>82.343567058547961</c:v>
                </c:pt>
                <c:pt idx="187">
                  <c:v>82.204091826116297</c:v>
                </c:pt>
                <c:pt idx="188">
                  <c:v>82.06051749023311</c:v>
                </c:pt>
                <c:pt idx="189">
                  <c:v>81.912770272131993</c:v>
                </c:pt>
                <c:pt idx="190">
                  <c:v>81.760774353382644</c:v>
                </c:pt>
                <c:pt idx="191">
                  <c:v>81.604451847413131</c:v>
                </c:pt>
                <c:pt idx="192">
                  <c:v>81.443722770779345</c:v>
                </c:pt>
                <c:pt idx="193">
                  <c:v>81.278505014222901</c:v>
                </c:pt>
                <c:pt idx="194">
                  <c:v>81.108714313561165</c:v>
                </c:pt>
                <c:pt idx="195">
                  <c:v>80.934264220457095</c:v>
                </c:pt>
                <c:pt idx="196">
                  <c:v>80.755066073121412</c:v>
                </c:pt>
                <c:pt idx="197">
                  <c:v>80.571028967003173</c:v>
                </c:pt>
                <c:pt idx="198">
                  <c:v>80.382059725530269</c:v>
                </c:pt>
                <c:pt idx="199">
                  <c:v>80.188062870965652</c:v>
                </c:pt>
                <c:pt idx="200">
                  <c:v>79.988940595451396</c:v>
                </c:pt>
                <c:pt idx="201">
                  <c:v>79.78459273231752</c:v>
                </c:pt>
                <c:pt idx="202">
                  <c:v>79.574916727738383</c:v>
                </c:pt>
                <c:pt idx="203">
                  <c:v>79.359807612827552</c:v>
                </c:pt>
                <c:pt idx="204">
                  <c:v>79.13915797626575</c:v>
                </c:pt>
                <c:pt idx="205">
                  <c:v>78.912857937567381</c:v>
                </c:pt>
                <c:pt idx="206">
                  <c:v>78.680795121094746</c:v>
                </c:pt>
                <c:pt idx="207">
                  <c:v>78.442854630940417</c:v>
                </c:pt>
                <c:pt idx="208">
                  <c:v>78.198919026805498</c:v>
                </c:pt>
                <c:pt idx="209">
                  <c:v>77.948868301008417</c:v>
                </c:pt>
                <c:pt idx="210">
                  <c:v>77.692579856772312</c:v>
                </c:pt>
                <c:pt idx="211">
                  <c:v>77.42992848794492</c:v>
                </c:pt>
                <c:pt idx="212">
                  <c:v>77.160786360317715</c:v>
                </c:pt>
                <c:pt idx="213">
                  <c:v>76.885022994720103</c:v>
                </c:pt>
                <c:pt idx="214">
                  <c:v>76.602505252079069</c:v>
                </c:pt>
                <c:pt idx="215">
                  <c:v>76.313097320640253</c:v>
                </c:pt>
                <c:pt idx="216">
                  <c:v>76.016660705566792</c:v>
                </c:pt>
                <c:pt idx="217">
                  <c:v>75.71305422113771</c:v>
                </c:pt>
                <c:pt idx="218">
                  <c:v>75.402133985786023</c:v>
                </c:pt>
                <c:pt idx="219">
                  <c:v>75.083753420228334</c:v>
                </c:pt>
                <c:pt idx="220">
                  <c:v>74.757763248950738</c:v>
                </c:pt>
                <c:pt idx="221">
                  <c:v>74.424011505334633</c:v>
                </c:pt>
                <c:pt idx="222">
                  <c:v>74.082343540716565</c:v>
                </c:pt>
                <c:pt idx="223">
                  <c:v>73.732602037693454</c:v>
                </c:pt>
                <c:pt idx="224">
                  <c:v>73.374627028001996</c:v>
                </c:pt>
                <c:pt idx="225">
                  <c:v>73.008255915313484</c:v>
                </c:pt>
                <c:pt idx="226">
                  <c:v>72.633323503303998</c:v>
                </c:pt>
                <c:pt idx="227">
                  <c:v>72.24966202937641</c:v>
                </c:pt>
                <c:pt idx="228">
                  <c:v>71.85710120442387</c:v>
                </c:pt>
                <c:pt idx="229">
                  <c:v>71.455468259042632</c:v>
                </c:pt>
                <c:pt idx="230">
                  <c:v>71.044587996620351</c:v>
                </c:pt>
                <c:pt idx="231">
                  <c:v>70.624282853732836</c:v>
                </c:pt>
                <c:pt idx="232">
                  <c:v>70.194372968309366</c:v>
                </c:pt>
                <c:pt idx="233">
                  <c:v>69.754676256027338</c:v>
                </c:pt>
                <c:pt idx="234">
                  <c:v>69.305008495419926</c:v>
                </c:pt>
                <c:pt idx="235">
                  <c:v>68.845183422188057</c:v>
                </c:pt>
                <c:pt idx="236">
                  <c:v>68.375012833216317</c:v>
                </c:pt>
                <c:pt idx="237">
                  <c:v>67.894306700804179</c:v>
                </c:pt>
                <c:pt idx="238">
                  <c:v>67.402873297625817</c:v>
                </c:pt>
                <c:pt idx="239">
                  <c:v>66.90051933294086</c:v>
                </c:pt>
                <c:pt idx="240">
                  <c:v>66.387050100571358</c:v>
                </c:pt>
                <c:pt idx="241">
                  <c:v>65.862269639161312</c:v>
                </c:pt>
                <c:pt idx="242">
                  <c:v>65.325980905230594</c:v>
                </c:pt>
                <c:pt idx="243">
                  <c:v>64.777985959515931</c:v>
                </c:pt>
                <c:pt idx="244">
                  <c:v>64.218086167082973</c:v>
                </c:pt>
                <c:pt idx="245">
                  <c:v>63.646082411664572</c:v>
                </c:pt>
                <c:pt idx="246">
                  <c:v>63.061775324656395</c:v>
                </c:pt>
                <c:pt idx="247">
                  <c:v>62.464965529163813</c:v>
                </c:pt>
                <c:pt idx="248">
                  <c:v>61.855453899448797</c:v>
                </c:pt>
                <c:pt idx="249">
                  <c:v>61.23304183607766</c:v>
                </c:pt>
                <c:pt idx="250">
                  <c:v>60.597531557003101</c:v>
                </c:pt>
                <c:pt idx="251">
                  <c:v>59.948726404750801</c:v>
                </c:pt>
                <c:pt idx="252">
                  <c:v>59.286431169789353</c:v>
                </c:pt>
                <c:pt idx="253">
                  <c:v>58.610452430074503</c:v>
                </c:pt>
                <c:pt idx="254">
                  <c:v>57.920598906649268</c:v>
                </c:pt>
                <c:pt idx="255">
                  <c:v>57.216681835056491</c:v>
                </c:pt>
                <c:pt idx="256">
                  <c:v>56.498515352192882</c:v>
                </c:pt>
                <c:pt idx="257">
                  <c:v>55.765916898069591</c:v>
                </c:pt>
                <c:pt idx="258">
                  <c:v>55.018707631789155</c:v>
                </c:pt>
                <c:pt idx="259">
                  <c:v>54.256712860851067</c:v>
                </c:pt>
                <c:pt idx="260">
                  <c:v>53.479762482697829</c:v>
                </c:pt>
                <c:pt idx="261">
                  <c:v>52.68769143719458</c:v>
                </c:pt>
                <c:pt idx="262">
                  <c:v>51.880340168474973</c:v>
                </c:pt>
                <c:pt idx="263">
                  <c:v>51.05755509433763</c:v>
                </c:pt>
                <c:pt idx="264">
                  <c:v>50.219189081076657</c:v>
                </c:pt>
                <c:pt idx="265">
                  <c:v>49.365101921323252</c:v>
                </c:pt>
                <c:pt idx="266">
                  <c:v>48.495160812137811</c:v>
                </c:pt>
                <c:pt idx="267">
                  <c:v>47.609240830235279</c:v>
                </c:pt>
                <c:pt idx="268">
                  <c:v>46.707225400833863</c:v>
                </c:pt>
                <c:pt idx="269">
                  <c:v>45.789006756213446</c:v>
                </c:pt>
                <c:pt idx="270">
                  <c:v>44.854486379622372</c:v>
                </c:pt>
                <c:pt idx="271">
                  <c:v>43.903575429702947</c:v>
                </c:pt>
                <c:pt idx="272">
                  <c:v>42.93619514011003</c:v>
                </c:pt>
                <c:pt idx="273">
                  <c:v>41.952277188453657</c:v>
                </c:pt>
                <c:pt idx="274">
                  <c:v>40.951764028134974</c:v>
                </c:pt>
                <c:pt idx="275">
                  <c:v>39.934609176029738</c:v>
                </c:pt>
                <c:pt idx="276">
                  <c:v>38.900777448320994</c:v>
                </c:pt>
                <c:pt idx="277">
                  <c:v>37.850245136078392</c:v>
                </c:pt>
                <c:pt idx="278">
                  <c:v>36.783000111414637</c:v>
                </c:pt>
                <c:pt idx="279">
                  <c:v>35.69904185422719</c:v>
                </c:pt>
                <c:pt idx="280">
                  <c:v>34.598381388613518</c:v>
                </c:pt>
                <c:pt idx="281">
                  <c:v>33.481041117053046</c:v>
                </c:pt>
                <c:pt idx="282">
                  <c:v>32.347054539313127</c:v>
                </c:pt>
                <c:pt idx="283">
                  <c:v>31.196465841794243</c:v>
                </c:pt>
                <c:pt idx="284">
                  <c:v>30.029329341579825</c:v>
                </c:pt>
                <c:pt idx="285">
                  <c:v>28.845708767827809</c:v>
                </c:pt>
                <c:pt idx="286">
                  <c:v>27.645676361244107</c:v>
                </c:pt>
                <c:pt idx="287">
                  <c:v>26.429311770158307</c:v>
                </c:pt>
                <c:pt idx="288">
                  <c:v>25.196700719137691</c:v>
                </c:pt>
                <c:pt idx="289">
                  <c:v>23.947933422984338</c:v>
                </c:pt>
                <c:pt idx="290">
                  <c:v>22.683102715298947</c:v>
                </c:pt>
                <c:pt idx="291">
                  <c:v>21.402301856394615</c:v>
                </c:pt>
                <c:pt idx="292">
                  <c:v>20.10562198003468</c:v>
                </c:pt>
                <c:pt idx="293">
                  <c:v>18.793149132041862</c:v>
                </c:pt>
                <c:pt idx="294">
                  <c:v>17.464960845995712</c:v>
                </c:pt>
                <c:pt idx="295">
                  <c:v>16.121122191669393</c:v>
                </c:pt>
                <c:pt idx="296">
                  <c:v>14.761681220096881</c:v>
                </c:pt>
                <c:pt idx="297">
                  <c:v>13.386663714699411</c:v>
                </c:pt>
                <c:pt idx="298">
                  <c:v>11.996067139955048</c:v>
                </c:pt>
                <c:pt idx="299">
                  <c:v>10.589853656850233</c:v>
                </c:pt>
                <c:pt idx="300">
                  <c:v>9.167942046545793</c:v>
                </c:pt>
                <c:pt idx="301">
                  <c:v>7.7301983488642509</c:v>
                </c:pt>
                <c:pt idx="302">
                  <c:v>6.2764249783335524</c:v>
                </c:pt>
                <c:pt idx="303">
                  <c:v>4.8063480249881883</c:v>
                </c:pt>
                <c:pt idx="304">
                  <c:v>3.3196023764604656</c:v>
                </c:pt>
                <c:pt idx="305">
                  <c:v>1.8157142074421553</c:v>
                </c:pt>
                <c:pt idx="306">
                  <c:v>0.29408026611496757</c:v>
                </c:pt>
                <c:pt idx="307">
                  <c:v>-1.2460567638213857</c:v>
                </c:pt>
                <c:pt idx="308">
                  <c:v>-2.805637743971523</c:v>
                </c:pt>
                <c:pt idx="309">
                  <c:v>-4.3858225824551402</c:v>
                </c:pt>
                <c:pt idx="310">
                  <c:v>-5.9880332764622102</c:v>
                </c:pt>
                <c:pt idx="311">
                  <c:v>-7.6140064760027402</c:v>
                </c:pt>
                <c:pt idx="312">
                  <c:v>-9.2658581674489486</c:v>
                </c:pt>
                <c:pt idx="313">
                  <c:v>-10.946163917569114</c:v>
                </c:pt>
                <c:pt idx="314">
                  <c:v>-12.658059276342696</c:v>
                </c:pt>
                <c:pt idx="315">
                  <c:v>-14.405366544908921</c:v>
                </c:pt>
                <c:pt idx="316">
                  <c:v>-16.192756373932177</c:v>
                </c:pt>
                <c:pt idx="317">
                  <c:v>-18.025955868275421</c:v>
                </c:pt>
                <c:pt idx="318">
                  <c:v>-19.912019493845335</c:v>
                </c:pt>
                <c:pt idx="319">
                  <c:v>-21.859685816863447</c:v>
                </c:pt>
                <c:pt idx="320">
                  <c:v>-23.879853054915717</c:v>
                </c:pt>
                <c:pt idx="321">
                  <c:v>-25.986221321131094</c:v>
                </c:pt>
                <c:pt idx="322">
                  <c:v>-28.19617207438942</c:v>
                </c:pt>
                <c:pt idx="323">
                  <c:v>-30.531990122638426</c:v>
                </c:pt>
                <c:pt idx="324">
                  <c:v>-33.022587794612093</c:v>
                </c:pt>
                <c:pt idx="325">
                  <c:v>-35.705976213523826</c:v>
                </c:pt>
                <c:pt idx="326">
                  <c:v>-38.632863139339968</c:v>
                </c:pt>
                <c:pt idx="327">
                  <c:v>-41.87196692040866</c:v>
                </c:pt>
                <c:pt idx="328">
                  <c:v>-45.517951866019281</c:v>
                </c:pt>
                <c:pt idx="329">
                  <c:v>-49.703314302872734</c:v>
                </c:pt>
                <c:pt idx="330">
                  <c:v>-54.615920720862903</c:v>
                </c:pt>
                <c:pt idx="331">
                  <c:v>-60.523404824759595</c:v>
                </c:pt>
                <c:pt idx="332">
                  <c:v>-67.801201292831607</c:v>
                </c:pt>
                <c:pt idx="333">
                  <c:v>-76.943148359167495</c:v>
                </c:pt>
                <c:pt idx="334">
                  <c:v>-88.482160219784419</c:v>
                </c:pt>
                <c:pt idx="335">
                  <c:v>-102.66758114112744</c:v>
                </c:pt>
                <c:pt idx="336">
                  <c:v>-118.85365411097111</c:v>
                </c:pt>
                <c:pt idx="337">
                  <c:v>-135.25382239738863</c:v>
                </c:pt>
                <c:pt idx="338">
                  <c:v>-149.92718881610026</c:v>
                </c:pt>
                <c:pt idx="339">
                  <c:v>-161.96949128598087</c:v>
                </c:pt>
                <c:pt idx="340">
                  <c:v>-171.49468314060761</c:v>
                </c:pt>
                <c:pt idx="341">
                  <c:v>-179.01397114559967</c:v>
                </c:pt>
                <c:pt idx="342">
                  <c:v>174.95815508274742</c:v>
                </c:pt>
                <c:pt idx="343">
                  <c:v>170.02019933802839</c:v>
                </c:pt>
                <c:pt idx="344">
                  <c:v>165.88352084470097</c:v>
                </c:pt>
                <c:pt idx="345">
                  <c:v>162.34518563657412</c:v>
                </c:pt>
                <c:pt idx="346">
                  <c:v>159.2622212795992</c:v>
                </c:pt>
                <c:pt idx="347">
                  <c:v>156.5326606435986</c:v>
                </c:pt>
                <c:pt idx="348">
                  <c:v>154.08259911778964</c:v>
                </c:pt>
                <c:pt idx="349">
                  <c:v>151.85754417116121</c:v>
                </c:pt>
                <c:pt idx="350">
                  <c:v>149.81663204320628</c:v>
                </c:pt>
                <c:pt idx="351">
                  <c:v>147.92872341587352</c:v>
                </c:pt>
                <c:pt idx="352">
                  <c:v>146.1697308607672</c:v>
                </c:pt>
                <c:pt idx="353">
                  <c:v>144.52076110659942</c:v>
                </c:pt>
                <c:pt idx="354">
                  <c:v>142.96680335302983</c:v>
                </c:pt>
                <c:pt idx="355">
                  <c:v>141.49578889515661</c:v>
                </c:pt>
                <c:pt idx="356">
                  <c:v>140.09790705950817</c:v>
                </c:pt>
                <c:pt idx="357">
                  <c:v>138.76510070963772</c:v>
                </c:pt>
                <c:pt idx="358">
                  <c:v>137.49068936698146</c:v>
                </c:pt>
                <c:pt idx="359">
                  <c:v>136.26908426671628</c:v>
                </c:pt>
                <c:pt idx="360">
                  <c:v>135.09557050133199</c:v>
                </c:pt>
                <c:pt idx="361">
                  <c:v>133.96613871601687</c:v>
                </c:pt>
                <c:pt idx="362">
                  <c:v>132.87735382162563</c:v>
                </c:pt>
                <c:pt idx="363">
                  <c:v>131.82625165755246</c:v>
                </c:pt>
                <c:pt idx="364">
                  <c:v>130.81025696957755</c:v>
                </c:pt>
                <c:pt idx="365">
                  <c:v>129.82711779545679</c:v>
                </c:pt>
                <c:pt idx="366">
                  <c:v>128.87485259191877</c:v>
                </c:pt>
                <c:pt idx="367">
                  <c:v>127.95170733760762</c:v>
                </c:pt>
                <c:pt idx="368">
                  <c:v>127.05612050717625</c:v>
                </c:pt>
                <c:pt idx="369">
                  <c:v>126.18669430094296</c:v>
                </c:pt>
                <c:pt idx="370">
                  <c:v>125.34217088005273</c:v>
                </c:pt>
                <c:pt idx="371">
                  <c:v>124.52141263258834</c:v>
                </c:pt>
                <c:pt idx="372">
                  <c:v>123.72338570541466</c:v>
                </c:pt>
                <c:pt idx="373">
                  <c:v>122.9471461968473</c:v>
                </c:pt>
                <c:pt idx="374">
                  <c:v>122.19182852889158</c:v>
                </c:pt>
                <c:pt idx="375">
                  <c:v>121.45663561386556</c:v>
                </c:pt>
                <c:pt idx="376">
                  <c:v>120.74083050533432</c:v>
                </c:pt>
                <c:pt idx="377">
                  <c:v>120.04372928239066</c:v>
                </c:pt>
                <c:pt idx="378">
                  <c:v>119.36469496312212</c:v>
                </c:pt>
                <c:pt idx="379">
                  <c:v>118.70313228034775</c:v>
                </c:pt>
                <c:pt idx="380">
                  <c:v>118.05848318254897</c:v>
                </c:pt>
                <c:pt idx="381">
                  <c:v>117.43022294690689</c:v>
                </c:pt>
                <c:pt idx="382">
                  <c:v>116.8178568107712</c:v>
                </c:pt>
                <c:pt idx="383">
                  <c:v>116.22091704365822</c:v>
                </c:pt>
                <c:pt idx="384">
                  <c:v>115.63896039474054</c:v>
                </c:pt>
                <c:pt idx="385">
                  <c:v>115.0715658613412</c:v>
                </c:pt>
                <c:pt idx="386">
                  <c:v>114.51833273263037</c:v>
                </c:pt>
                <c:pt idx="387">
                  <c:v>113.97887886989264</c:v>
                </c:pt>
                <c:pt idx="388">
                  <c:v>113.45283919068461</c:v>
                </c:pt>
                <c:pt idx="389">
                  <c:v>112.93986432915737</c:v>
                </c:pt>
                <c:pt idx="390">
                  <c:v>112.43961944894563</c:v>
                </c:pt>
                <c:pt idx="391">
                  <c:v>111.95178318850284</c:v>
                </c:pt>
                <c:pt idx="392">
                  <c:v>111.47604672166385</c:v>
                </c:pt>
                <c:pt idx="393">
                  <c:v>111.01211291867642</c:v>
                </c:pt>
                <c:pt idx="394">
                  <c:v>110.55969559502061</c:v>
                </c:pt>
                <c:pt idx="395">
                  <c:v>110.11851883709069</c:v>
                </c:pt>
                <c:pt idx="396">
                  <c:v>109.68831639531288</c:v>
                </c:pt>
                <c:pt idx="397">
                  <c:v>109.26883113654488</c:v>
                </c:pt>
                <c:pt idx="398">
                  <c:v>108.85981454869268</c:v>
                </c:pt>
                <c:pt idx="399">
                  <c:v>108.46102629141065</c:v>
                </c:pt>
                <c:pt idx="400">
                  <c:v>108.07223378755089</c:v>
                </c:pt>
                <c:pt idx="401">
                  <c:v>107.69321185071449</c:v>
                </c:pt>
                <c:pt idx="402">
                  <c:v>107.32374234484907</c:v>
                </c:pt>
                <c:pt idx="403">
                  <c:v>106.96361387234759</c:v>
                </c:pt>
                <c:pt idx="404">
                  <c:v>106.61262148754633</c:v>
                </c:pt>
                <c:pt idx="405">
                  <c:v>106.27056643289762</c:v>
                </c:pt>
                <c:pt idx="406">
                  <c:v>105.93725589543263</c:v>
                </c:pt>
                <c:pt idx="407">
                  <c:v>105.61250278140979</c:v>
                </c:pt>
                <c:pt idx="408">
                  <c:v>105.29612550730084</c:v>
                </c:pt>
                <c:pt idx="409">
                  <c:v>104.98794780547975</c:v>
                </c:pt>
                <c:pt idx="410">
                  <c:v>104.68779854317918</c:v>
                </c:pt>
                <c:pt idx="411">
                  <c:v>104.39551155343445</c:v>
                </c:pt>
                <c:pt idx="412">
                  <c:v>104.11092547689209</c:v>
                </c:pt>
                <c:pt idx="413">
                  <c:v>103.8338836134804</c:v>
                </c:pt>
                <c:pt idx="414">
                  <c:v>103.56423378305415</c:v>
                </c:pt>
                <c:pt idx="415">
                  <c:v>103.30182819422639</c:v>
                </c:pt>
                <c:pt idx="416">
                  <c:v>103.04652332068186</c:v>
                </c:pt>
                <c:pt idx="417">
                  <c:v>102.79817978434916</c:v>
                </c:pt>
                <c:pt idx="418">
                  <c:v>102.55666224487074</c:v>
                </c:pt>
                <c:pt idx="419">
                  <c:v>102.32183929487167</c:v>
                </c:pt>
                <c:pt idx="420">
                  <c:v>102.09358336058214</c:v>
                </c:pt>
                <c:pt idx="421">
                  <c:v>101.87177060741068</c:v>
                </c:pt>
                <c:pt idx="422">
                  <c:v>101.65628085011038</c:v>
                </c:pt>
                <c:pt idx="423">
                  <c:v>101.44699746721517</c:v>
                </c:pt>
                <c:pt idx="424">
                  <c:v>101.24380731945553</c:v>
                </c:pt>
                <c:pt idx="425">
                  <c:v>101.04660067189035</c:v>
                </c:pt>
                <c:pt idx="426">
                  <c:v>100.85527111952082</c:v>
                </c:pt>
                <c:pt idx="427">
                  <c:v>100.66971551617092</c:v>
                </c:pt>
                <c:pt idx="428">
                  <c:v>100.4898339064417</c:v>
                </c:pt>
                <c:pt idx="429">
                  <c:v>100.31552946056298</c:v>
                </c:pt>
                <c:pt idx="430">
                  <c:v>100.1467084119849</c:v>
                </c:pt>
                <c:pt idx="431">
                  <c:v>99.98327999756151</c:v>
                </c:pt>
                <c:pt idx="432">
                  <c:v>99.825156400196789</c:v>
                </c:pt>
                <c:pt idx="433">
                  <c:v>99.672252693830117</c:v>
                </c:pt>
                <c:pt idx="434">
                  <c:v>99.524486790652176</c:v>
                </c:pt>
                <c:pt idx="435">
                  <c:v>99.38177939044914</c:v>
                </c:pt>
                <c:pt idx="436">
                  <c:v>99.244053931981966</c:v>
                </c:pt>
                <c:pt idx="437">
                  <c:v>99.111236546316135</c:v>
                </c:pt>
                <c:pt idx="438">
                  <c:v>98.983256012021215</c:v>
                </c:pt>
                <c:pt idx="439">
                  <c:v>98.860043712168661</c:v>
                </c:pt>
                <c:pt idx="440">
                  <c:v>98.741533593059742</c:v>
                </c:pt>
                <c:pt idx="441">
                  <c:v>98.627662124620031</c:v>
                </c:pt>
                <c:pt idx="442">
                  <c:v>98.518368262403001</c:v>
                </c:pt>
                <c:pt idx="443">
                  <c:v>98.413593411147943</c:v>
                </c:pt>
                <c:pt idx="444">
                  <c:v>98.313281389840526</c:v>
                </c:pt>
                <c:pt idx="445">
                  <c:v>98.21737839822886</c:v>
                </c:pt>
                <c:pt idx="446">
                  <c:v>98.125832984749735</c:v>
                </c:pt>
                <c:pt idx="447">
                  <c:v>98.038596015822392</c:v>
                </c:pt>
                <c:pt idx="448">
                  <c:v>97.955620646469924</c:v>
                </c:pt>
                <c:pt idx="449">
                  <c:v>97.876862292230442</c:v>
                </c:pt>
                <c:pt idx="450">
                  <c:v>97.802278602320499</c:v>
                </c:pt>
                <c:pt idx="451">
                  <c:v>97.731829434017413</c:v>
                </c:pt>
                <c:pt idx="452">
                  <c:v>97.66547682822663</c:v>
                </c:pt>
                <c:pt idx="453">
                  <c:v>97.603184986201597</c:v>
                </c:pt>
                <c:pt idx="454">
                  <c:v>97.544920247386543</c:v>
                </c:pt>
                <c:pt idx="455">
                  <c:v>97.490651068350402</c:v>
                </c:pt>
                <c:pt idx="456">
                  <c:v>97.440348002784077</c:v>
                </c:pt>
                <c:pt idx="457">
                  <c:v>97.393983682531697</c:v>
                </c:pt>
                <c:pt idx="458">
                  <c:v>97.351532799628202</c:v>
                </c:pt>
                <c:pt idx="459">
                  <c:v>97.312972089314826</c:v>
                </c:pt>
                <c:pt idx="460">
                  <c:v>97.27828031400594</c:v>
                </c:pt>
                <c:pt idx="461">
                  <c:v>97.247438248179549</c:v>
                </c:pt>
                <c:pt idx="462">
                  <c:v>97.220428664163535</c:v>
                </c:pt>
                <c:pt idx="463">
                  <c:v>97.19723631879134</c:v>
                </c:pt>
                <c:pt idx="464">
                  <c:v>97.177847940898673</c:v>
                </c:pt>
                <c:pt idx="465">
                  <c:v>97.162252219633103</c:v>
                </c:pt>
                <c:pt idx="466">
                  <c:v>97.150439793548813</c:v>
                </c:pt>
                <c:pt idx="467">
                  <c:v>97.14240324045673</c:v>
                </c:pt>
                <c:pt idx="468">
                  <c:v>97.138137068000574</c:v>
                </c:pt>
                <c:pt idx="469">
                  <c:v>97.137637704928324</c:v>
                </c:pt>
                <c:pt idx="470">
                  <c:v>97.140903493026769</c:v>
                </c:pt>
                <c:pt idx="471">
                  <c:v>97.147934679687637</c:v>
                </c:pt>
                <c:pt idx="472">
                  <c:v>97.158733411070074</c:v>
                </c:pt>
                <c:pt idx="473">
                  <c:v>97.173303725824766</c:v>
                </c:pt>
                <c:pt idx="474">
                  <c:v>97.19165154934278</c:v>
                </c:pt>
                <c:pt idx="475">
                  <c:v>97.213784688490065</c:v>
                </c:pt>
                <c:pt idx="476">
                  <c:v>97.239712826787553</c:v>
                </c:pt>
                <c:pt idx="477">
                  <c:v>97.26944751999396</c:v>
                </c:pt>
                <c:pt idx="478">
                  <c:v>97.303002192046407</c:v>
                </c:pt>
                <c:pt idx="479">
                  <c:v>97.340392131312271</c:v>
                </c:pt>
                <c:pt idx="480">
                  <c:v>97.381634487101522</c:v>
                </c:pt>
                <c:pt idx="481">
                  <c:v>97.426748266387719</c:v>
                </c:pt>
                <c:pt idx="482">
                  <c:v>97.475754330681397</c:v>
                </c:pt>
                <c:pt idx="483">
                  <c:v>97.528675392997386</c:v>
                </c:pt>
                <c:pt idx="484">
                  <c:v>97.585536014853531</c:v>
                </c:pt>
                <c:pt idx="485">
                  <c:v>97.646362603234508</c:v>
                </c:pt>
                <c:pt idx="486">
                  <c:v>97.711183407450733</c:v>
                </c:pt>
                <c:pt idx="487">
                  <c:v>97.780028515818415</c:v>
                </c:pt>
                <c:pt idx="488">
                  <c:v>97.852929852081076</c:v>
                </c:pt>
                <c:pt idx="489">
                  <c:v>97.929921171489752</c:v>
                </c:pt>
                <c:pt idx="490">
                  <c:v>98.011038056452847</c:v>
                </c:pt>
                <c:pt idx="491">
                  <c:v>98.096317911660989</c:v>
                </c:pt>
                <c:pt idx="492">
                  <c:v>98.185799958587864</c:v>
                </c:pt>
                <c:pt idx="493">
                  <c:v>98.279525229260727</c:v>
                </c:pt>
                <c:pt idx="494">
                  <c:v>98.377536559188272</c:v>
                </c:pt>
                <c:pt idx="495">
                  <c:v>98.479878579326879</c:v>
                </c:pt>
                <c:pt idx="496">
                  <c:v>98.586597706959978</c:v>
                </c:pt>
                <c:pt idx="497">
                  <c:v>98.697742135355725</c:v>
                </c:pt>
                <c:pt idx="498">
                  <c:v>98.813361822063115</c:v>
                </c:pt>
                <c:pt idx="499">
                  <c:v>98.93350847569684</c:v>
                </c:pt>
                <c:pt idx="500">
                  <c:v>99.058235541052866</c:v>
                </c:pt>
                <c:pt idx="501">
                  <c:v>99.187598182387859</c:v>
                </c:pt>
                <c:pt idx="502">
                  <c:v>99.321653264688095</c:v>
                </c:pt>
                <c:pt idx="503">
                  <c:v>99.460459332741252</c:v>
                </c:pt>
                <c:pt idx="504">
                  <c:v>99.604076587815399</c:v>
                </c:pt>
                <c:pt idx="505">
                  <c:v>99.752566861742253</c:v>
                </c:pt>
                <c:pt idx="506">
                  <c:v>99.905993588186448</c:v>
                </c:pt>
                <c:pt idx="507">
                  <c:v>100.06442177087496</c:v>
                </c:pt>
                <c:pt idx="508">
                  <c:v>100.22791794855114</c:v>
                </c:pt>
                <c:pt idx="509">
                  <c:v>100.39655015640162</c:v>
                </c:pt>
                <c:pt idx="510">
                  <c:v>100.5703878836986</c:v>
                </c:pt>
                <c:pt idx="511">
                  <c:v>100.7495020273855</c:v>
                </c:pt>
                <c:pt idx="512">
                  <c:v>100.9339648413235</c:v>
                </c:pt>
                <c:pt idx="513">
                  <c:v>101.12384988090487</c:v>
                </c:pt>
                <c:pt idx="514">
                  <c:v>101.31923194272765</c:v>
                </c:pt>
                <c:pt idx="515">
                  <c:v>101.52018699901774</c:v>
                </c:pt>
                <c:pt idx="516">
                  <c:v>101.7267921264679</c:v>
                </c:pt>
                <c:pt idx="517">
                  <c:v>101.93912542916188</c:v>
                </c:pt>
                <c:pt idx="518">
                  <c:v>102.15726595523236</c:v>
                </c:pt>
                <c:pt idx="519">
                  <c:v>102.38129360690318</c:v>
                </c:pt>
                <c:pt idx="520">
                  <c:v>102.61128904354945</c:v>
                </c:pt>
                <c:pt idx="521">
                  <c:v>102.84733357740807</c:v>
                </c:pt>
                <c:pt idx="522">
                  <c:v>103.08950906156551</c:v>
                </c:pt>
                <c:pt idx="523">
                  <c:v>103.33789776984322</c:v>
                </c:pt>
                <c:pt idx="524">
                  <c:v>103.59258226820401</c:v>
                </c:pt>
                <c:pt idx="525">
                  <c:v>103.85364527729855</c:v>
                </c:pt>
                <c:pt idx="526">
                  <c:v>104.12116952577735</c:v>
                </c:pt>
                <c:pt idx="527">
                  <c:v>104.3952375939987</c:v>
                </c:pt>
                <c:pt idx="528">
                  <c:v>104.67593174777051</c:v>
                </c:pt>
                <c:pt idx="529">
                  <c:v>104.96333376177982</c:v>
                </c:pt>
                <c:pt idx="530">
                  <c:v>105.25752473237304</c:v>
                </c:pt>
                <c:pt idx="531">
                  <c:v>105.55858487938217</c:v>
                </c:pt>
                <c:pt idx="532">
                  <c:v>105.86659333670235</c:v>
                </c:pt>
                <c:pt idx="533">
                  <c:v>106.18162793137212</c:v>
                </c:pt>
                <c:pt idx="534">
                  <c:v>106.50376495093039</c:v>
                </c:pt>
                <c:pt idx="535">
                  <c:v>106.83307889887473</c:v>
                </c:pt>
                <c:pt idx="536">
                  <c:v>107.16964223808971</c:v>
                </c:pt>
                <c:pt idx="537">
                  <c:v>107.51352512217073</c:v>
                </c:pt>
                <c:pt idx="538">
                  <c:v>107.8647951146299</c:v>
                </c:pt>
                <c:pt idx="539">
                  <c:v>108.22351689604126</c:v>
                </c:pt>
                <c:pt idx="540">
                  <c:v>108.58975195926062</c:v>
                </c:pt>
                <c:pt idx="541">
                  <c:v>108.96355829294234</c:v>
                </c:pt>
              </c:numCache>
            </c:numRef>
          </c:yVal>
          <c:smooth val="1"/>
          <c:extLst>
            <c:ext xmlns:c16="http://schemas.microsoft.com/office/drawing/2014/chart" uri="{C3380CC4-5D6E-409C-BE32-E72D297353CC}">
              <c16:uniqueId val="{00000001-F188-4D39-B62C-FFCB026FFDB3}"/>
            </c:ext>
          </c:extLst>
        </c:ser>
        <c:dLbls>
          <c:showLegendKey val="0"/>
          <c:showVal val="0"/>
          <c:showCatName val="0"/>
          <c:showSerName val="0"/>
          <c:showPercent val="0"/>
          <c:showBubbleSize val="0"/>
        </c:dLbls>
        <c:axId val="161005952"/>
        <c:axId val="160987776"/>
      </c:scatterChart>
      <c:valAx>
        <c:axId val="160959104"/>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60985856"/>
        <c:crosses val="autoZero"/>
        <c:crossBetween val="midCat"/>
      </c:valAx>
      <c:valAx>
        <c:axId val="160985856"/>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US"/>
          </a:p>
        </c:txPr>
        <c:crossAx val="160959104"/>
        <c:crosses val="autoZero"/>
        <c:crossBetween val="midCat"/>
        <c:majorUnit val="20"/>
        <c:minorUnit val="10"/>
      </c:valAx>
      <c:valAx>
        <c:axId val="160987776"/>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US"/>
          </a:p>
        </c:txPr>
        <c:crossAx val="161005952"/>
        <c:crosses val="max"/>
        <c:crossBetween val="midCat"/>
        <c:majorUnit val="90"/>
        <c:minorUnit val="45"/>
      </c:valAx>
      <c:valAx>
        <c:axId val="161005952"/>
        <c:scaling>
          <c:logBase val="10"/>
          <c:orientation val="minMax"/>
        </c:scaling>
        <c:delete val="1"/>
        <c:axPos val="b"/>
        <c:numFmt formatCode="0.00" sourceLinked="1"/>
        <c:majorTickMark val="out"/>
        <c:minorTickMark val="none"/>
        <c:tickLblPos val="nextTo"/>
        <c:crossAx val="160987776"/>
        <c:crosses val="autoZero"/>
        <c:crossBetween val="midCat"/>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2.24E-4</c:v>
                </c:pt>
                <c:pt idx="2">
                  <c:v>4.4799999999999999E-4</c:v>
                </c:pt>
                <c:pt idx="3">
                  <c:v>6.7199999999999996E-4</c:v>
                </c:pt>
                <c:pt idx="4">
                  <c:v>8.9599999999999999E-4</c:v>
                </c:pt>
                <c:pt idx="5">
                  <c:v>1.1199999999999999E-3</c:v>
                </c:pt>
                <c:pt idx="6">
                  <c:v>1.3439999999999999E-3</c:v>
                </c:pt>
                <c:pt idx="7">
                  <c:v>1.5679999999999999E-3</c:v>
                </c:pt>
                <c:pt idx="8">
                  <c:v>1.792E-3</c:v>
                </c:pt>
                <c:pt idx="9">
                  <c:v>2.016E-3</c:v>
                </c:pt>
                <c:pt idx="10">
                  <c:v>2.2399999999999998E-3</c:v>
                </c:pt>
                <c:pt idx="11">
                  <c:v>2.464E-3</c:v>
                </c:pt>
                <c:pt idx="12">
                  <c:v>2.6879999999999999E-3</c:v>
                </c:pt>
                <c:pt idx="13">
                  <c:v>2.9120000000000001E-3</c:v>
                </c:pt>
                <c:pt idx="14">
                  <c:v>3.1359999999999999E-3</c:v>
                </c:pt>
                <c:pt idx="15">
                  <c:v>3.3600000000000001E-3</c:v>
                </c:pt>
                <c:pt idx="16">
                  <c:v>3.5839999999999999E-3</c:v>
                </c:pt>
                <c:pt idx="17">
                  <c:v>3.8079999999999998E-3</c:v>
                </c:pt>
                <c:pt idx="18">
                  <c:v>4.032E-3</c:v>
                </c:pt>
                <c:pt idx="19">
                  <c:v>4.2560000000000002E-3</c:v>
                </c:pt>
                <c:pt idx="20">
                  <c:v>4.4799999999999996E-3</c:v>
                </c:pt>
                <c:pt idx="21">
                  <c:v>4.7039999999999998E-3</c:v>
                </c:pt>
                <c:pt idx="22">
                  <c:v>4.9280000000000001E-3</c:v>
                </c:pt>
                <c:pt idx="23">
                  <c:v>5.1520000000000003E-3</c:v>
                </c:pt>
                <c:pt idx="24">
                  <c:v>5.3759999999999997E-3</c:v>
                </c:pt>
                <c:pt idx="25">
                  <c:v>5.5999999999999999E-3</c:v>
                </c:pt>
                <c:pt idx="26">
                  <c:v>5.8240000000000002E-3</c:v>
                </c:pt>
                <c:pt idx="27">
                  <c:v>6.0479999999999996E-3</c:v>
                </c:pt>
                <c:pt idx="28">
                  <c:v>6.2719999999999998E-3</c:v>
                </c:pt>
                <c:pt idx="29">
                  <c:v>6.496E-3</c:v>
                </c:pt>
                <c:pt idx="30">
                  <c:v>6.7200000000000003E-3</c:v>
                </c:pt>
                <c:pt idx="31">
                  <c:v>6.9439999999999997E-3</c:v>
                </c:pt>
                <c:pt idx="32">
                  <c:v>7.1679999999999999E-3</c:v>
                </c:pt>
                <c:pt idx="33">
                  <c:v>7.3920000000000001E-3</c:v>
                </c:pt>
                <c:pt idx="34">
                  <c:v>7.6159999999999995E-3</c:v>
                </c:pt>
                <c:pt idx="35">
                  <c:v>7.8399999999999997E-3</c:v>
                </c:pt>
                <c:pt idx="36">
                  <c:v>8.064E-3</c:v>
                </c:pt>
                <c:pt idx="37">
                  <c:v>8.2880000000000002E-3</c:v>
                </c:pt>
                <c:pt idx="38">
                  <c:v>8.5120000000000005E-3</c:v>
                </c:pt>
                <c:pt idx="39">
                  <c:v>8.7360000000000007E-3</c:v>
                </c:pt>
                <c:pt idx="40">
                  <c:v>8.9599999999999992E-3</c:v>
                </c:pt>
                <c:pt idx="41">
                  <c:v>9.1839999999999995E-3</c:v>
                </c:pt>
                <c:pt idx="42">
                  <c:v>9.4079999999999997E-3</c:v>
                </c:pt>
                <c:pt idx="43">
                  <c:v>9.6319999999999999E-3</c:v>
                </c:pt>
                <c:pt idx="44">
                  <c:v>9.8560000000000002E-3</c:v>
                </c:pt>
                <c:pt idx="45">
                  <c:v>1.008E-2</c:v>
                </c:pt>
                <c:pt idx="46">
                  <c:v>1.0304000000000001E-2</c:v>
                </c:pt>
                <c:pt idx="47">
                  <c:v>1.0527999999999999E-2</c:v>
                </c:pt>
                <c:pt idx="48">
                  <c:v>1.0751999999999999E-2</c:v>
                </c:pt>
                <c:pt idx="49">
                  <c:v>1.0976E-2</c:v>
                </c:pt>
                <c:pt idx="50">
                  <c:v>1.12E-2</c:v>
                </c:pt>
                <c:pt idx="51">
                  <c:v>1.1424E-2</c:v>
                </c:pt>
                <c:pt idx="52">
                  <c:v>1.1648E-2</c:v>
                </c:pt>
                <c:pt idx="53">
                  <c:v>1.1872000000000001E-2</c:v>
                </c:pt>
                <c:pt idx="54">
                  <c:v>1.2095999999999999E-2</c:v>
                </c:pt>
                <c:pt idx="55">
                  <c:v>1.2319999999999999E-2</c:v>
                </c:pt>
                <c:pt idx="56">
                  <c:v>1.2544E-2</c:v>
                </c:pt>
                <c:pt idx="57">
                  <c:v>1.2768E-2</c:v>
                </c:pt>
                <c:pt idx="58">
                  <c:v>1.2992E-2</c:v>
                </c:pt>
                <c:pt idx="59">
                  <c:v>1.3216E-2</c:v>
                </c:pt>
                <c:pt idx="60">
                  <c:v>1.3440000000000001E-2</c:v>
                </c:pt>
                <c:pt idx="61">
                  <c:v>1.3663999999999999E-2</c:v>
                </c:pt>
                <c:pt idx="62">
                  <c:v>1.3887999999999999E-2</c:v>
                </c:pt>
                <c:pt idx="63">
                  <c:v>1.4112E-2</c:v>
                </c:pt>
                <c:pt idx="64">
                  <c:v>1.4336E-2</c:v>
                </c:pt>
                <c:pt idx="65">
                  <c:v>1.456E-2</c:v>
                </c:pt>
                <c:pt idx="66">
                  <c:v>1.4784E-2</c:v>
                </c:pt>
                <c:pt idx="67">
                  <c:v>1.5008000000000001E-2</c:v>
                </c:pt>
                <c:pt idx="68">
                  <c:v>1.5231999999999999E-2</c:v>
                </c:pt>
                <c:pt idx="69">
                  <c:v>1.5455999999999999E-2</c:v>
                </c:pt>
                <c:pt idx="70">
                  <c:v>1.5679999999999999E-2</c:v>
                </c:pt>
                <c:pt idx="71">
                  <c:v>1.5904000000000001E-2</c:v>
                </c:pt>
                <c:pt idx="72">
                  <c:v>1.6128E-2</c:v>
                </c:pt>
                <c:pt idx="73">
                  <c:v>1.6351999999999998E-2</c:v>
                </c:pt>
                <c:pt idx="74">
                  <c:v>1.6576E-2</c:v>
                </c:pt>
                <c:pt idx="75">
                  <c:v>1.6799999999999999E-2</c:v>
                </c:pt>
                <c:pt idx="76">
                  <c:v>1.7024000000000001E-2</c:v>
                </c:pt>
                <c:pt idx="77">
                  <c:v>1.7247999999999999E-2</c:v>
                </c:pt>
                <c:pt idx="78">
                  <c:v>1.7472000000000001E-2</c:v>
                </c:pt>
                <c:pt idx="79">
                  <c:v>1.7696E-2</c:v>
                </c:pt>
                <c:pt idx="80">
                  <c:v>1.7919999999999998E-2</c:v>
                </c:pt>
                <c:pt idx="81">
                  <c:v>1.8144E-2</c:v>
                </c:pt>
                <c:pt idx="82">
                  <c:v>1.8367999999999999E-2</c:v>
                </c:pt>
                <c:pt idx="83">
                  <c:v>1.8592000000000001E-2</c:v>
                </c:pt>
                <c:pt idx="84">
                  <c:v>1.8815999999999999E-2</c:v>
                </c:pt>
                <c:pt idx="85">
                  <c:v>1.9040000000000001E-2</c:v>
                </c:pt>
                <c:pt idx="86">
                  <c:v>1.9264E-2</c:v>
                </c:pt>
                <c:pt idx="87">
                  <c:v>1.9487999999999998E-2</c:v>
                </c:pt>
                <c:pt idx="88">
                  <c:v>1.9712E-2</c:v>
                </c:pt>
                <c:pt idx="89">
                  <c:v>1.9935999999999999E-2</c:v>
                </c:pt>
                <c:pt idx="90">
                  <c:v>2.0160000000000001E-2</c:v>
                </c:pt>
                <c:pt idx="91">
                  <c:v>2.0383999999999999E-2</c:v>
                </c:pt>
                <c:pt idx="92">
                  <c:v>2.0608000000000001E-2</c:v>
                </c:pt>
                <c:pt idx="93">
                  <c:v>2.0832E-2</c:v>
                </c:pt>
                <c:pt idx="94">
                  <c:v>2.1055999999999998E-2</c:v>
                </c:pt>
                <c:pt idx="95">
                  <c:v>2.128E-2</c:v>
                </c:pt>
                <c:pt idx="96">
                  <c:v>2.1503999999999999E-2</c:v>
                </c:pt>
                <c:pt idx="97">
                  <c:v>2.1728000000000001E-2</c:v>
                </c:pt>
                <c:pt idx="98">
                  <c:v>2.1951999999999999E-2</c:v>
                </c:pt>
                <c:pt idx="99">
                  <c:v>2.2176000000000001E-2</c:v>
                </c:pt>
                <c:pt idx="100">
                  <c:v>2.24E-2</c:v>
                </c:pt>
                <c:pt idx="101">
                  <c:v>2.2623999999999998E-2</c:v>
                </c:pt>
                <c:pt idx="102">
                  <c:v>2.2848E-2</c:v>
                </c:pt>
                <c:pt idx="103">
                  <c:v>2.3071999999999999E-2</c:v>
                </c:pt>
                <c:pt idx="104">
                  <c:v>2.3296000000000001E-2</c:v>
                </c:pt>
                <c:pt idx="105">
                  <c:v>2.3519999999999999E-2</c:v>
                </c:pt>
                <c:pt idx="106">
                  <c:v>2.3744000000000001E-2</c:v>
                </c:pt>
                <c:pt idx="107">
                  <c:v>2.3968E-2</c:v>
                </c:pt>
                <c:pt idx="108">
                  <c:v>2.4191999999999998E-2</c:v>
                </c:pt>
                <c:pt idx="109">
                  <c:v>2.4416E-2</c:v>
                </c:pt>
                <c:pt idx="110">
                  <c:v>2.4639999999999999E-2</c:v>
                </c:pt>
                <c:pt idx="111">
                  <c:v>2.4864000000000001E-2</c:v>
                </c:pt>
                <c:pt idx="112">
                  <c:v>2.5087999999999999E-2</c:v>
                </c:pt>
                <c:pt idx="113">
                  <c:v>2.5312000000000001E-2</c:v>
                </c:pt>
                <c:pt idx="114">
                  <c:v>2.5536E-2</c:v>
                </c:pt>
                <c:pt idx="115">
                  <c:v>2.5759999999999998E-2</c:v>
                </c:pt>
                <c:pt idx="116">
                  <c:v>2.5984E-2</c:v>
                </c:pt>
                <c:pt idx="117">
                  <c:v>2.6207999999999999E-2</c:v>
                </c:pt>
                <c:pt idx="118">
                  <c:v>2.6432000000000001E-2</c:v>
                </c:pt>
                <c:pt idx="119">
                  <c:v>2.6655999999999999E-2</c:v>
                </c:pt>
                <c:pt idx="120">
                  <c:v>2.6880000000000001E-2</c:v>
                </c:pt>
                <c:pt idx="121">
                  <c:v>2.7104E-2</c:v>
                </c:pt>
                <c:pt idx="122">
                  <c:v>2.7327999999999998E-2</c:v>
                </c:pt>
                <c:pt idx="123">
                  <c:v>2.7552E-2</c:v>
                </c:pt>
                <c:pt idx="124">
                  <c:v>2.7775999999999999E-2</c:v>
                </c:pt>
                <c:pt idx="125">
                  <c:v>2.8000000000000001E-2</c:v>
                </c:pt>
                <c:pt idx="126">
                  <c:v>2.8223999999999999E-2</c:v>
                </c:pt>
                <c:pt idx="127">
                  <c:v>2.8448000000000001E-2</c:v>
                </c:pt>
                <c:pt idx="128">
                  <c:v>2.8672E-2</c:v>
                </c:pt>
                <c:pt idx="129">
                  <c:v>2.8895999999999998E-2</c:v>
                </c:pt>
                <c:pt idx="130">
                  <c:v>2.912E-2</c:v>
                </c:pt>
                <c:pt idx="131">
                  <c:v>2.9343999999999999E-2</c:v>
                </c:pt>
                <c:pt idx="132">
                  <c:v>2.9568000000000001E-2</c:v>
                </c:pt>
                <c:pt idx="133">
                  <c:v>2.9791999999999999E-2</c:v>
                </c:pt>
                <c:pt idx="134">
                  <c:v>3.0016000000000001E-2</c:v>
                </c:pt>
                <c:pt idx="135">
                  <c:v>3.024E-2</c:v>
                </c:pt>
                <c:pt idx="136">
                  <c:v>3.0463999999999998E-2</c:v>
                </c:pt>
                <c:pt idx="137">
                  <c:v>3.0688E-2</c:v>
                </c:pt>
                <c:pt idx="138">
                  <c:v>3.0911999999999999E-2</c:v>
                </c:pt>
                <c:pt idx="139">
                  <c:v>3.1136E-2</c:v>
                </c:pt>
                <c:pt idx="140">
                  <c:v>3.1359999999999999E-2</c:v>
                </c:pt>
                <c:pt idx="141">
                  <c:v>3.1584000000000001E-2</c:v>
                </c:pt>
                <c:pt idx="142">
                  <c:v>3.1808000000000003E-2</c:v>
                </c:pt>
                <c:pt idx="143">
                  <c:v>3.2031999999999998E-2</c:v>
                </c:pt>
                <c:pt idx="144">
                  <c:v>3.2256E-2</c:v>
                </c:pt>
                <c:pt idx="145">
                  <c:v>3.2480000000000002E-2</c:v>
                </c:pt>
                <c:pt idx="146">
                  <c:v>3.2703999999999997E-2</c:v>
                </c:pt>
                <c:pt idx="147">
                  <c:v>3.2927999999999999E-2</c:v>
                </c:pt>
                <c:pt idx="148">
                  <c:v>3.3152000000000001E-2</c:v>
                </c:pt>
                <c:pt idx="149">
                  <c:v>3.3376000000000003E-2</c:v>
                </c:pt>
                <c:pt idx="150">
                  <c:v>3.3599999999999998E-2</c:v>
                </c:pt>
              </c:numCache>
            </c:numRef>
          </c:xVal>
          <c:yVal>
            <c:numRef>
              <c:f>Eff_vs_IOUT!$AT$7:$AT$157</c:f>
              <c:numCache>
                <c:formatCode>General</c:formatCode>
                <c:ptCount val="151"/>
                <c:pt idx="0">
                  <c:v>0</c:v>
                </c:pt>
                <c:pt idx="1">
                  <c:v>29.976821262079952</c:v>
                </c:pt>
                <c:pt idx="2">
                  <c:v>46.042301488702684</c:v>
                </c:pt>
                <c:pt idx="3">
                  <c:v>56.048959864124171</c:v>
                </c:pt>
                <c:pt idx="4">
                  <c:v>62.876571250807544</c:v>
                </c:pt>
                <c:pt idx="5">
                  <c:v>67.829967134641493</c:v>
                </c:pt>
                <c:pt idx="6">
                  <c:v>71.586064019322919</c:v>
                </c:pt>
                <c:pt idx="7">
                  <c:v>74.530957153195203</c:v>
                </c:pt>
                <c:pt idx="8">
                  <c:v>76.900927363570176</c:v>
                </c:pt>
                <c:pt idx="9">
                  <c:v>78.84866611020027</c:v>
                </c:pt>
                <c:pt idx="10">
                  <c:v>80.477228153584406</c:v>
                </c:pt>
                <c:pt idx="11">
                  <c:v>81.858680290350193</c:v>
                </c:pt>
                <c:pt idx="12">
                  <c:v>83.044931077311205</c:v>
                </c:pt>
                <c:pt idx="13">
                  <c:v>84.074316165704246</c:v>
                </c:pt>
                <c:pt idx="14">
                  <c:v>84.975760793853169</c:v>
                </c:pt>
                <c:pt idx="15">
                  <c:v>85.771499222833768</c:v>
                </c:pt>
                <c:pt idx="16">
                  <c:v>86.478902835491382</c:v>
                </c:pt>
                <c:pt idx="17">
                  <c:v>87.111740047919483</c:v>
                </c:pt>
                <c:pt idx="18">
                  <c:v>87.681063892424575</c:v>
                </c:pt>
                <c:pt idx="19">
                  <c:v>88.195849598877416</c:v>
                </c:pt>
                <c:pt idx="20">
                  <c:v>88.663460632743011</c:v>
                </c:pt>
                <c:pt idx="21">
                  <c:v>89.089994717751438</c:v>
                </c:pt>
                <c:pt idx="22">
                  <c:v>89.480544411551719</c:v>
                </c:pt>
                <c:pt idx="23">
                  <c:v>89.839395874282673</c:v>
                </c:pt>
                <c:pt idx="24">
                  <c:v>90.17018228034182</c:v>
                </c:pt>
                <c:pt idx="25">
                  <c:v>90.476003503648272</c:v>
                </c:pt>
                <c:pt idx="26">
                  <c:v>90.75952041926854</c:v>
                </c:pt>
                <c:pt idx="27">
                  <c:v>91.02302988647206</c:v>
                </c:pt>
                <c:pt idx="28">
                  <c:v>91.268524876969096</c:v>
                </c:pt>
                <c:pt idx="29">
                  <c:v>91.497743071165544</c:v>
                </c:pt>
                <c:pt idx="30">
                  <c:v>91.712206422231063</c:v>
                </c:pt>
                <c:pt idx="31">
                  <c:v>91.913253587173841</c:v>
                </c:pt>
                <c:pt idx="32">
                  <c:v>92.102066681101775</c:v>
                </c:pt>
                <c:pt idx="33">
                  <c:v>92.279693480787984</c:v>
                </c:pt>
                <c:pt idx="34">
                  <c:v>92.447065955433658</c:v>
                </c:pt>
                <c:pt idx="35">
                  <c:v>92.605015814193365</c:v>
                </c:pt>
                <c:pt idx="36">
                  <c:v>92.754287615958887</c:v>
                </c:pt>
                <c:pt idx="37">
                  <c:v>92.895549875825452</c:v>
                </c:pt>
                <c:pt idx="38">
                  <c:v>93.029404516400447</c:v>
                </c:pt>
                <c:pt idx="39">
                  <c:v>93.156394944652448</c:v>
                </c:pt>
                <c:pt idx="40">
                  <c:v>93.277012981892511</c:v>
                </c:pt>
                <c:pt idx="41">
                  <c:v>93.391704832414561</c:v>
                </c:pt>
                <c:pt idx="42">
                  <c:v>93.500876242804125</c:v>
                </c:pt>
                <c:pt idx="43">
                  <c:v>93.604896977067725</c:v>
                </c:pt>
                <c:pt idx="44">
                  <c:v>93.704104711101294</c:v>
                </c:pt>
                <c:pt idx="45">
                  <c:v>93.798808432498248</c:v>
                </c:pt>
                <c:pt idx="46">
                  <c:v>93.889291417447097</c:v>
                </c:pt>
                <c:pt idx="47">
                  <c:v>93.975813844817722</c:v>
                </c:pt>
                <c:pt idx="48">
                  <c:v>94.058615097972947</c:v>
                </c:pt>
                <c:pt idx="49">
                  <c:v>94.137915796955369</c:v>
                </c:pt>
                <c:pt idx="50">
                  <c:v>94.213919597172222</c:v>
                </c:pt>
                <c:pt idx="51">
                  <c:v>94.286814785274728</c:v>
                </c:pt>
                <c:pt idx="52">
                  <c:v>94.356775698403951</c:v>
                </c:pt>
                <c:pt idx="53">
                  <c:v>94.423963989185708</c:v>
                </c:pt>
                <c:pt idx="54">
                  <c:v>94.488529755674222</c:v>
                </c:pt>
                <c:pt idx="55">
                  <c:v>94.550612552761976</c:v>
                </c:pt>
                <c:pt idx="56">
                  <c:v>94.610342299304733</c:v>
                </c:pt>
                <c:pt idx="57">
                  <c:v>94.667840093286799</c:v>
                </c:pt>
                <c:pt idx="58">
                  <c:v>94.723218945715033</c:v>
                </c:pt>
                <c:pt idx="59">
                  <c:v>94.776584442534443</c:v>
                </c:pt>
                <c:pt idx="60">
                  <c:v>94.828035342663028</c:v>
                </c:pt>
                <c:pt idx="61">
                  <c:v>94.877664119220185</c:v>
                </c:pt>
                <c:pt idx="62">
                  <c:v>94.925557450141028</c:v>
                </c:pt>
                <c:pt idx="63">
                  <c:v>94.971796663610448</c:v>
                </c:pt>
                <c:pt idx="64">
                  <c:v>95.016458143093956</c:v>
                </c:pt>
                <c:pt idx="65">
                  <c:v>95.059613696173813</c:v>
                </c:pt>
                <c:pt idx="66">
                  <c:v>95.101330890906127</c:v>
                </c:pt>
                <c:pt idx="67">
                  <c:v>95.141673362984406</c:v>
                </c:pt>
                <c:pt idx="68">
                  <c:v>95.180701096621391</c:v>
                </c:pt>
                <c:pt idx="69">
                  <c:v>95.218470681733535</c:v>
                </c:pt>
                <c:pt idx="70">
                  <c:v>95.255035549726415</c:v>
                </c:pt>
                <c:pt idx="71">
                  <c:v>95.290446189928105</c:v>
                </c:pt>
                <c:pt idx="72">
                  <c:v>95.324750348497048</c:v>
                </c:pt>
                <c:pt idx="73">
                  <c:v>95.35799321143638</c:v>
                </c:pt>
                <c:pt idx="74">
                  <c:v>95.390217573175519</c:v>
                </c:pt>
                <c:pt idx="75">
                  <c:v>95.42146399202872</c:v>
                </c:pt>
                <c:pt idx="76">
                  <c:v>95.451770933705603</c:v>
                </c:pt>
                <c:pt idx="77">
                  <c:v>95.481174903930636</c:v>
                </c:pt>
                <c:pt idx="78">
                  <c:v>95.509710571122952</c:v>
                </c:pt>
                <c:pt idx="79">
                  <c:v>95.537410879993786</c:v>
                </c:pt>
                <c:pt idx="80">
                  <c:v>95.56430715683581</c:v>
                </c:pt>
                <c:pt idx="81">
                  <c:v>95.590429207203911</c:v>
                </c:pt>
                <c:pt idx="82">
                  <c:v>95.615805406620652</c:v>
                </c:pt>
                <c:pt idx="83">
                  <c:v>95.640462784879944</c:v>
                </c:pt>
                <c:pt idx="84">
                  <c:v>95.664427104469397</c:v>
                </c:pt>
                <c:pt idx="85">
                  <c:v>95.687722933584027</c:v>
                </c:pt>
                <c:pt idx="86">
                  <c:v>95.710373714161236</c:v>
                </c:pt>
                <c:pt idx="87">
                  <c:v>95.732401825327614</c:v>
                </c:pt>
                <c:pt idx="88">
                  <c:v>95.753828642615147</c:v>
                </c:pt>
                <c:pt idx="89">
                  <c:v>95.774674593270788</c:v>
                </c:pt>
                <c:pt idx="90">
                  <c:v>95.794959207957376</c:v>
                </c:pt>
                <c:pt idx="91">
                  <c:v>95.814701169116731</c:v>
                </c:pt>
                <c:pt idx="92">
                  <c:v>95.833918356243487</c:v>
                </c:pt>
                <c:pt idx="93">
                  <c:v>95.852627888297377</c:v>
                </c:pt>
                <c:pt idx="94">
                  <c:v>95.870846163462062</c:v>
                </c:pt>
                <c:pt idx="95">
                  <c:v>95.888588896442414</c:v>
                </c:pt>
                <c:pt idx="96">
                  <c:v>95.905871153475644</c:v>
                </c:pt>
                <c:pt idx="97">
                  <c:v>95.922707385217976</c:v>
                </c:pt>
                <c:pt idx="98">
                  <c:v>95.939111457655756</c:v>
                </c:pt>
                <c:pt idx="99">
                  <c:v>95.955096681177423</c:v>
                </c:pt>
                <c:pt idx="100">
                  <c:v>95.867222119001937</c:v>
                </c:pt>
                <c:pt idx="101">
                  <c:v>95.880814742756769</c:v>
                </c:pt>
                <c:pt idx="102">
                  <c:v>95.893941282780901</c:v>
                </c:pt>
                <c:pt idx="103">
                  <c:v>95.906615045699127</c:v>
                </c:pt>
                <c:pt idx="104">
                  <c:v>95.918848838883576</c:v>
                </c:pt>
                <c:pt idx="105">
                  <c:v>95.9306549936491</c:v>
                </c:pt>
                <c:pt idx="106">
                  <c:v>95.942045387167582</c:v>
                </c:pt>
                <c:pt idx="107">
                  <c:v>95.953031463182441</c:v>
                </c:pt>
                <c:pt idx="108">
                  <c:v>95.963624251599882</c:v>
                </c:pt>
                <c:pt idx="109">
                  <c:v>95.973834387026812</c:v>
                </c:pt>
                <c:pt idx="110">
                  <c:v>95.983672126321224</c:v>
                </c:pt>
                <c:pt idx="111">
                  <c:v>95.993147365215734</c:v>
                </c:pt>
                <c:pt idx="112">
                  <c:v>96.002269654070972</c:v>
                </c:pt>
                <c:pt idx="113">
                  <c:v>96.01104821281136</c:v>
                </c:pt>
                <c:pt idx="114">
                  <c:v>96.019491945092483</c:v>
                </c:pt>
                <c:pt idx="115">
                  <c:v>96.02760945174586</c:v>
                </c:pt>
                <c:pt idx="116">
                  <c:v>96.035409043543495</c:v>
                </c:pt>
                <c:pt idx="117">
                  <c:v>96.04289875332222</c:v>
                </c:pt>
                <c:pt idx="118">
                  <c:v>96.050086347504916</c:v>
                </c:pt>
                <c:pt idx="119">
                  <c:v>96.056979337053463</c:v>
                </c:pt>
                <c:pt idx="120">
                  <c:v>96.063584987885548</c:v>
                </c:pt>
                <c:pt idx="121">
                  <c:v>96.069910330785959</c:v>
                </c:pt>
                <c:pt idx="122">
                  <c:v>96.075962170840796</c:v>
                </c:pt>
                <c:pt idx="123">
                  <c:v>96.081747096420827</c:v>
                </c:pt>
                <c:pt idx="124">
                  <c:v>96.087271487739429</c:v>
                </c:pt>
                <c:pt idx="125">
                  <c:v>96.092541525007917</c:v>
                </c:pt>
                <c:pt idx="126">
                  <c:v>96.097563196210643</c:v>
                </c:pt>
                <c:pt idx="127">
                  <c:v>96.102342304520079</c:v>
                </c:pt>
                <c:pt idx="128">
                  <c:v>96.106884475371302</c:v>
                </c:pt>
                <c:pt idx="129">
                  <c:v>96.111195163213964</c:v>
                </c:pt>
                <c:pt idx="130">
                  <c:v>96.115279657958865</c:v>
                </c:pt>
                <c:pt idx="131">
                  <c:v>96.119143091134944</c:v>
                </c:pt>
                <c:pt idx="132">
                  <c:v>96.122790441771954</c:v>
                </c:pt>
                <c:pt idx="133">
                  <c:v>96.126226542022764</c:v>
                </c:pt>
                <c:pt idx="134">
                  <c:v>96.129456082538795</c:v>
                </c:pt>
                <c:pt idx="135">
                  <c:v>96.132483617611214</c:v>
                </c:pt>
                <c:pt idx="136">
                  <c:v>96.135313570089366</c:v>
                </c:pt>
                <c:pt idx="137">
                  <c:v>96.13795023608796</c:v>
                </c:pt>
                <c:pt idx="138">
                  <c:v>96.14039778949352</c:v>
                </c:pt>
                <c:pt idx="139">
                  <c:v>96.142660286279607</c:v>
                </c:pt>
                <c:pt idx="140">
                  <c:v>96.14474166864089</c:v>
                </c:pt>
                <c:pt idx="141">
                  <c:v>96.14664576895413</c:v>
                </c:pt>
                <c:pt idx="142">
                  <c:v>96.148376313575113</c:v>
                </c:pt>
                <c:pt idx="143">
                  <c:v>96.149936926478958</c:v>
                </c:pt>
                <c:pt idx="144">
                  <c:v>96.151331132751523</c:v>
                </c:pt>
                <c:pt idx="145">
                  <c:v>96.152562361939005</c:v>
                </c:pt>
                <c:pt idx="146">
                  <c:v>96.153633951262023</c:v>
                </c:pt>
                <c:pt idx="147">
                  <c:v>96.154549148701136</c:v>
                </c:pt>
                <c:pt idx="148">
                  <c:v>96.155311115959265</c:v>
                </c:pt>
                <c:pt idx="149">
                  <c:v>96.155922931306861</c:v>
                </c:pt>
                <c:pt idx="150">
                  <c:v>96.156387592315397</c:v>
                </c:pt>
              </c:numCache>
            </c:numRef>
          </c:yVal>
          <c:smooth val="0"/>
          <c:extLst>
            <c:ext xmlns:c16="http://schemas.microsoft.com/office/drawing/2014/chart" uri="{C3380CC4-5D6E-409C-BE32-E72D297353CC}">
              <c16:uniqueId val="{00000000-D428-476F-9D9B-414A5D21B4D3}"/>
            </c:ext>
          </c:extLst>
        </c:ser>
        <c:dLbls>
          <c:showLegendKey val="0"/>
          <c:showVal val="0"/>
          <c:showCatName val="0"/>
          <c:showSerName val="0"/>
          <c:showPercent val="0"/>
          <c:showBubbleSize val="0"/>
        </c:dLbls>
        <c:axId val="161084544"/>
        <c:axId val="161086080"/>
      </c:scatterChart>
      <c:scatterChart>
        <c:scatterStyle val="smoothMarker"/>
        <c:varyColors val="0"/>
        <c:ser>
          <c:idx val="1"/>
          <c:order val="1"/>
          <c:tx>
            <c:v>MOSFET</c:v>
          </c:tx>
          <c:spPr>
            <a:ln>
              <a:solidFill>
                <a:schemeClr val="tx2">
                  <a:lumMod val="75000"/>
                </a:schemeClr>
              </a:solidFill>
              <a:prstDash val="dashDot"/>
            </a:ln>
          </c:spPr>
          <c:marker>
            <c:symbol val="none"/>
          </c:marker>
          <c:xVal>
            <c:numRef>
              <c:f>Eff_vs_IOUT!$S$7:$S$157</c:f>
              <c:numCache>
                <c:formatCode>General</c:formatCode>
                <c:ptCount val="151"/>
                <c:pt idx="0">
                  <c:v>0</c:v>
                </c:pt>
                <c:pt idx="1">
                  <c:v>2.24E-4</c:v>
                </c:pt>
                <c:pt idx="2">
                  <c:v>4.4799999999999999E-4</c:v>
                </c:pt>
                <c:pt idx="3">
                  <c:v>6.7199999999999996E-4</c:v>
                </c:pt>
                <c:pt idx="4">
                  <c:v>8.9599999999999999E-4</c:v>
                </c:pt>
                <c:pt idx="5">
                  <c:v>1.1199999999999999E-3</c:v>
                </c:pt>
                <c:pt idx="6">
                  <c:v>1.3439999999999999E-3</c:v>
                </c:pt>
                <c:pt idx="7">
                  <c:v>1.5679999999999999E-3</c:v>
                </c:pt>
                <c:pt idx="8">
                  <c:v>1.792E-3</c:v>
                </c:pt>
                <c:pt idx="9">
                  <c:v>2.016E-3</c:v>
                </c:pt>
                <c:pt idx="10">
                  <c:v>2.2399999999999998E-3</c:v>
                </c:pt>
                <c:pt idx="11">
                  <c:v>2.464E-3</c:v>
                </c:pt>
                <c:pt idx="12">
                  <c:v>2.6879999999999999E-3</c:v>
                </c:pt>
                <c:pt idx="13">
                  <c:v>2.9120000000000001E-3</c:v>
                </c:pt>
                <c:pt idx="14">
                  <c:v>3.1359999999999999E-3</c:v>
                </c:pt>
                <c:pt idx="15">
                  <c:v>3.3600000000000001E-3</c:v>
                </c:pt>
                <c:pt idx="16">
                  <c:v>3.5839999999999999E-3</c:v>
                </c:pt>
                <c:pt idx="17">
                  <c:v>3.8079999999999998E-3</c:v>
                </c:pt>
                <c:pt idx="18">
                  <c:v>4.032E-3</c:v>
                </c:pt>
                <c:pt idx="19">
                  <c:v>4.2560000000000002E-3</c:v>
                </c:pt>
                <c:pt idx="20">
                  <c:v>4.4799999999999996E-3</c:v>
                </c:pt>
                <c:pt idx="21">
                  <c:v>4.7039999999999998E-3</c:v>
                </c:pt>
                <c:pt idx="22">
                  <c:v>4.9280000000000001E-3</c:v>
                </c:pt>
                <c:pt idx="23">
                  <c:v>5.1520000000000003E-3</c:v>
                </c:pt>
                <c:pt idx="24">
                  <c:v>5.3759999999999997E-3</c:v>
                </c:pt>
                <c:pt idx="25">
                  <c:v>5.5999999999999999E-3</c:v>
                </c:pt>
                <c:pt idx="26">
                  <c:v>5.8240000000000002E-3</c:v>
                </c:pt>
                <c:pt idx="27">
                  <c:v>6.0479999999999996E-3</c:v>
                </c:pt>
                <c:pt idx="28">
                  <c:v>6.2719999999999998E-3</c:v>
                </c:pt>
                <c:pt idx="29">
                  <c:v>6.496E-3</c:v>
                </c:pt>
                <c:pt idx="30">
                  <c:v>6.7200000000000003E-3</c:v>
                </c:pt>
                <c:pt idx="31">
                  <c:v>6.9439999999999997E-3</c:v>
                </c:pt>
                <c:pt idx="32">
                  <c:v>7.1679999999999999E-3</c:v>
                </c:pt>
                <c:pt idx="33">
                  <c:v>7.3920000000000001E-3</c:v>
                </c:pt>
                <c:pt idx="34">
                  <c:v>7.6159999999999995E-3</c:v>
                </c:pt>
                <c:pt idx="35">
                  <c:v>7.8399999999999997E-3</c:v>
                </c:pt>
                <c:pt idx="36">
                  <c:v>8.064E-3</c:v>
                </c:pt>
                <c:pt idx="37">
                  <c:v>8.2880000000000002E-3</c:v>
                </c:pt>
                <c:pt idx="38">
                  <c:v>8.5120000000000005E-3</c:v>
                </c:pt>
                <c:pt idx="39">
                  <c:v>8.7360000000000007E-3</c:v>
                </c:pt>
                <c:pt idx="40">
                  <c:v>8.9599999999999992E-3</c:v>
                </c:pt>
                <c:pt idx="41">
                  <c:v>9.1839999999999995E-3</c:v>
                </c:pt>
                <c:pt idx="42">
                  <c:v>9.4079999999999997E-3</c:v>
                </c:pt>
                <c:pt idx="43">
                  <c:v>9.6319999999999999E-3</c:v>
                </c:pt>
                <c:pt idx="44">
                  <c:v>9.8560000000000002E-3</c:v>
                </c:pt>
                <c:pt idx="45">
                  <c:v>1.008E-2</c:v>
                </c:pt>
                <c:pt idx="46">
                  <c:v>1.0304000000000001E-2</c:v>
                </c:pt>
                <c:pt idx="47">
                  <c:v>1.0527999999999999E-2</c:v>
                </c:pt>
                <c:pt idx="48">
                  <c:v>1.0751999999999999E-2</c:v>
                </c:pt>
                <c:pt idx="49">
                  <c:v>1.0976E-2</c:v>
                </c:pt>
                <c:pt idx="50">
                  <c:v>1.12E-2</c:v>
                </c:pt>
                <c:pt idx="51">
                  <c:v>1.1424E-2</c:v>
                </c:pt>
                <c:pt idx="52">
                  <c:v>1.1648E-2</c:v>
                </c:pt>
                <c:pt idx="53">
                  <c:v>1.1872000000000001E-2</c:v>
                </c:pt>
                <c:pt idx="54">
                  <c:v>1.2095999999999999E-2</c:v>
                </c:pt>
                <c:pt idx="55">
                  <c:v>1.2319999999999999E-2</c:v>
                </c:pt>
                <c:pt idx="56">
                  <c:v>1.2544E-2</c:v>
                </c:pt>
                <c:pt idx="57">
                  <c:v>1.2768E-2</c:v>
                </c:pt>
                <c:pt idx="58">
                  <c:v>1.2992E-2</c:v>
                </c:pt>
                <c:pt idx="59">
                  <c:v>1.3216E-2</c:v>
                </c:pt>
                <c:pt idx="60">
                  <c:v>1.3440000000000001E-2</c:v>
                </c:pt>
                <c:pt idx="61">
                  <c:v>1.3663999999999999E-2</c:v>
                </c:pt>
                <c:pt idx="62">
                  <c:v>1.3887999999999999E-2</c:v>
                </c:pt>
                <c:pt idx="63">
                  <c:v>1.4112E-2</c:v>
                </c:pt>
                <c:pt idx="64">
                  <c:v>1.4336E-2</c:v>
                </c:pt>
                <c:pt idx="65">
                  <c:v>1.456E-2</c:v>
                </c:pt>
                <c:pt idx="66">
                  <c:v>1.4784E-2</c:v>
                </c:pt>
                <c:pt idx="67">
                  <c:v>1.5008000000000001E-2</c:v>
                </c:pt>
                <c:pt idx="68">
                  <c:v>1.5231999999999999E-2</c:v>
                </c:pt>
                <c:pt idx="69">
                  <c:v>1.5455999999999999E-2</c:v>
                </c:pt>
                <c:pt idx="70">
                  <c:v>1.5679999999999999E-2</c:v>
                </c:pt>
                <c:pt idx="71">
                  <c:v>1.5904000000000001E-2</c:v>
                </c:pt>
                <c:pt idx="72">
                  <c:v>1.6128E-2</c:v>
                </c:pt>
                <c:pt idx="73">
                  <c:v>1.6351999999999998E-2</c:v>
                </c:pt>
                <c:pt idx="74">
                  <c:v>1.6576E-2</c:v>
                </c:pt>
                <c:pt idx="75">
                  <c:v>1.6799999999999999E-2</c:v>
                </c:pt>
                <c:pt idx="76">
                  <c:v>1.7024000000000001E-2</c:v>
                </c:pt>
                <c:pt idx="77">
                  <c:v>1.7247999999999999E-2</c:v>
                </c:pt>
                <c:pt idx="78">
                  <c:v>1.7472000000000001E-2</c:v>
                </c:pt>
                <c:pt idx="79">
                  <c:v>1.7696E-2</c:v>
                </c:pt>
                <c:pt idx="80">
                  <c:v>1.7919999999999998E-2</c:v>
                </c:pt>
                <c:pt idx="81">
                  <c:v>1.8144E-2</c:v>
                </c:pt>
                <c:pt idx="82">
                  <c:v>1.8367999999999999E-2</c:v>
                </c:pt>
                <c:pt idx="83">
                  <c:v>1.8592000000000001E-2</c:v>
                </c:pt>
                <c:pt idx="84">
                  <c:v>1.8815999999999999E-2</c:v>
                </c:pt>
                <c:pt idx="85">
                  <c:v>1.9040000000000001E-2</c:v>
                </c:pt>
                <c:pt idx="86">
                  <c:v>1.9264E-2</c:v>
                </c:pt>
                <c:pt idx="87">
                  <c:v>1.9487999999999998E-2</c:v>
                </c:pt>
                <c:pt idx="88">
                  <c:v>1.9712E-2</c:v>
                </c:pt>
                <c:pt idx="89">
                  <c:v>1.9935999999999999E-2</c:v>
                </c:pt>
                <c:pt idx="90">
                  <c:v>2.0160000000000001E-2</c:v>
                </c:pt>
                <c:pt idx="91">
                  <c:v>2.0383999999999999E-2</c:v>
                </c:pt>
                <c:pt idx="92">
                  <c:v>2.0608000000000001E-2</c:v>
                </c:pt>
                <c:pt idx="93">
                  <c:v>2.0832E-2</c:v>
                </c:pt>
                <c:pt idx="94">
                  <c:v>2.1055999999999998E-2</c:v>
                </c:pt>
                <c:pt idx="95">
                  <c:v>2.128E-2</c:v>
                </c:pt>
                <c:pt idx="96">
                  <c:v>2.1503999999999999E-2</c:v>
                </c:pt>
                <c:pt idx="97">
                  <c:v>2.1728000000000001E-2</c:v>
                </c:pt>
                <c:pt idx="98">
                  <c:v>2.1951999999999999E-2</c:v>
                </c:pt>
                <c:pt idx="99">
                  <c:v>2.2176000000000001E-2</c:v>
                </c:pt>
                <c:pt idx="100">
                  <c:v>2.24E-2</c:v>
                </c:pt>
                <c:pt idx="101">
                  <c:v>2.2623999999999998E-2</c:v>
                </c:pt>
                <c:pt idx="102">
                  <c:v>2.2848E-2</c:v>
                </c:pt>
                <c:pt idx="103">
                  <c:v>2.3071999999999999E-2</c:v>
                </c:pt>
                <c:pt idx="104">
                  <c:v>2.3296000000000001E-2</c:v>
                </c:pt>
                <c:pt idx="105">
                  <c:v>2.3519999999999999E-2</c:v>
                </c:pt>
                <c:pt idx="106">
                  <c:v>2.3744000000000001E-2</c:v>
                </c:pt>
                <c:pt idx="107">
                  <c:v>2.3968E-2</c:v>
                </c:pt>
                <c:pt idx="108">
                  <c:v>2.4191999999999998E-2</c:v>
                </c:pt>
                <c:pt idx="109">
                  <c:v>2.4416E-2</c:v>
                </c:pt>
                <c:pt idx="110">
                  <c:v>2.4639999999999999E-2</c:v>
                </c:pt>
                <c:pt idx="111">
                  <c:v>2.4864000000000001E-2</c:v>
                </c:pt>
                <c:pt idx="112">
                  <c:v>2.5087999999999999E-2</c:v>
                </c:pt>
                <c:pt idx="113">
                  <c:v>2.5312000000000001E-2</c:v>
                </c:pt>
                <c:pt idx="114">
                  <c:v>2.5536E-2</c:v>
                </c:pt>
                <c:pt idx="115">
                  <c:v>2.5759999999999998E-2</c:v>
                </c:pt>
                <c:pt idx="116">
                  <c:v>2.5984E-2</c:v>
                </c:pt>
                <c:pt idx="117">
                  <c:v>2.6207999999999999E-2</c:v>
                </c:pt>
                <c:pt idx="118">
                  <c:v>2.6432000000000001E-2</c:v>
                </c:pt>
                <c:pt idx="119">
                  <c:v>2.6655999999999999E-2</c:v>
                </c:pt>
                <c:pt idx="120">
                  <c:v>2.6880000000000001E-2</c:v>
                </c:pt>
                <c:pt idx="121">
                  <c:v>2.7104E-2</c:v>
                </c:pt>
                <c:pt idx="122">
                  <c:v>2.7327999999999998E-2</c:v>
                </c:pt>
                <c:pt idx="123">
                  <c:v>2.7552E-2</c:v>
                </c:pt>
                <c:pt idx="124">
                  <c:v>2.7775999999999999E-2</c:v>
                </c:pt>
                <c:pt idx="125">
                  <c:v>2.8000000000000001E-2</c:v>
                </c:pt>
                <c:pt idx="126">
                  <c:v>2.8223999999999999E-2</c:v>
                </c:pt>
                <c:pt idx="127">
                  <c:v>2.8448000000000001E-2</c:v>
                </c:pt>
                <c:pt idx="128">
                  <c:v>2.8672E-2</c:v>
                </c:pt>
                <c:pt idx="129">
                  <c:v>2.8895999999999998E-2</c:v>
                </c:pt>
                <c:pt idx="130">
                  <c:v>2.912E-2</c:v>
                </c:pt>
                <c:pt idx="131">
                  <c:v>2.9343999999999999E-2</c:v>
                </c:pt>
                <c:pt idx="132">
                  <c:v>2.9568000000000001E-2</c:v>
                </c:pt>
                <c:pt idx="133">
                  <c:v>2.9791999999999999E-2</c:v>
                </c:pt>
                <c:pt idx="134">
                  <c:v>3.0016000000000001E-2</c:v>
                </c:pt>
                <c:pt idx="135">
                  <c:v>3.024E-2</c:v>
                </c:pt>
                <c:pt idx="136">
                  <c:v>3.0463999999999998E-2</c:v>
                </c:pt>
                <c:pt idx="137">
                  <c:v>3.0688E-2</c:v>
                </c:pt>
                <c:pt idx="138">
                  <c:v>3.0911999999999999E-2</c:v>
                </c:pt>
                <c:pt idx="139">
                  <c:v>3.1136E-2</c:v>
                </c:pt>
                <c:pt idx="140">
                  <c:v>3.1359999999999999E-2</c:v>
                </c:pt>
                <c:pt idx="141">
                  <c:v>3.1584000000000001E-2</c:v>
                </c:pt>
                <c:pt idx="142">
                  <c:v>3.1808000000000003E-2</c:v>
                </c:pt>
                <c:pt idx="143">
                  <c:v>3.2031999999999998E-2</c:v>
                </c:pt>
                <c:pt idx="144">
                  <c:v>3.2256E-2</c:v>
                </c:pt>
                <c:pt idx="145">
                  <c:v>3.2480000000000002E-2</c:v>
                </c:pt>
                <c:pt idx="146">
                  <c:v>3.2703999999999997E-2</c:v>
                </c:pt>
                <c:pt idx="147">
                  <c:v>3.2927999999999999E-2</c:v>
                </c:pt>
                <c:pt idx="148">
                  <c:v>3.3152000000000001E-2</c:v>
                </c:pt>
                <c:pt idx="149">
                  <c:v>3.3376000000000003E-2</c:v>
                </c:pt>
                <c:pt idx="150">
                  <c:v>3.3599999999999998E-2</c:v>
                </c:pt>
              </c:numCache>
            </c:numRef>
          </c:xVal>
          <c:yVal>
            <c:numRef>
              <c:f>Eff_vs_IOUT!$AI$7:$AI$157</c:f>
              <c:numCache>
                <c:formatCode>General</c:formatCode>
                <c:ptCount val="151"/>
                <c:pt idx="0">
                  <c:v>0</c:v>
                </c:pt>
                <c:pt idx="1">
                  <c:v>5.3445606373892105E-5</c:v>
                </c:pt>
                <c:pt idx="2">
                  <c:v>1.0716185195165733E-4</c:v>
                </c:pt>
                <c:pt idx="3">
                  <c:v>1.6105428107519144E-4</c:v>
                </c:pt>
                <c:pt idx="4">
                  <c:v>2.1508918716856912E-4</c:v>
                </c:pt>
                <c:pt idx="5">
                  <c:v>2.6924708969223575E-4</c:v>
                </c:pt>
                <c:pt idx="6">
                  <c:v>3.235148447052676E-4</c:v>
                </c:pt>
                <c:pt idx="7">
                  <c:v>3.7788280290627701E-4</c:v>
                </c:pt>
                <c:pt idx="8">
                  <c:v>4.3234348796812323E-4</c:v>
                </c:pt>
                <c:pt idx="9">
                  <c:v>4.8689088489353206E-4</c:v>
                </c:pt>
                <c:pt idx="10">
                  <c:v>5.4152001767065507E-4</c:v>
                </c:pt>
                <c:pt idx="11">
                  <c:v>5.962266804514023E-4</c:v>
                </c:pt>
                <c:pt idx="12">
                  <c:v>6.5100725713382844E-4</c:v>
                </c:pt>
                <c:pt idx="13">
                  <c:v>7.0585859512799416E-4</c:v>
                </c:pt>
                <c:pt idx="14">
                  <c:v>7.6077791401186351E-4</c:v>
                </c:pt>
                <c:pt idx="15">
                  <c:v>8.1576273757335573E-4</c:v>
                </c:pt>
                <c:pt idx="16">
                  <c:v>8.7081084205828201E-4</c:v>
                </c:pt>
                <c:pt idx="17">
                  <c:v>9.2592021596839811E-4</c:v>
                </c:pt>
                <c:pt idx="18">
                  <c:v>9.8108902829163822E-4</c:v>
                </c:pt>
                <c:pt idx="19">
                  <c:v>1.036315603017732E-3</c:v>
                </c:pt>
                <c:pt idx="20">
                  <c:v>1.0915983984250473E-3</c:v>
                </c:pt>
                <c:pt idx="21">
                  <c:v>1.1469359900478926E-3</c:v>
                </c:pt>
                <c:pt idx="22">
                  <c:v>1.2023270565236887E-3</c:v>
                </c:pt>
                <c:pt idx="23">
                  <c:v>1.2577703677225576E-3</c:v>
                </c:pt>
                <c:pt idx="24">
                  <c:v>1.3132647747067345E-3</c:v>
                </c:pt>
                <c:pt idx="25">
                  <c:v>1.3688092011723198E-3</c:v>
                </c:pt>
                <c:pt idx="26">
                  <c:v>1.424402636103287E-3</c:v>
                </c:pt>
                <c:pt idx="27">
                  <c:v>1.4800441274255053E-3</c:v>
                </c:pt>
                <c:pt idx="28">
                  <c:v>1.5357327764922418E-3</c:v>
                </c:pt>
                <c:pt idx="29">
                  <c:v>1.5914677332660935E-3</c:v>
                </c:pt>
                <c:pt idx="30">
                  <c:v>1.6472481920881828E-3</c:v>
                </c:pt>
                <c:pt idx="31">
                  <c:v>1.7030733879456516E-3</c:v>
                </c:pt>
                <c:pt idx="32">
                  <c:v>1.7589425931644437E-3</c:v>
                </c:pt>
                <c:pt idx="33">
                  <c:v>1.8148551144670237E-3</c:v>
                </c:pt>
                <c:pt idx="34">
                  <c:v>1.8708102903448294E-3</c:v>
                </c:pt>
                <c:pt idx="35">
                  <c:v>1.9268074887034442E-3</c:v>
                </c:pt>
                <c:pt idx="36">
                  <c:v>1.9828461047451469E-3</c:v>
                </c:pt>
                <c:pt idx="37">
                  <c:v>2.0389255590589168E-3</c:v>
                </c:pt>
                <c:pt idx="38">
                  <c:v>2.0950452958924857E-3</c:v>
                </c:pt>
                <c:pt idx="39">
                  <c:v>2.1512047815846979E-3</c:v>
                </c:pt>
                <c:pt idx="40">
                  <c:v>2.2074035031395636E-3</c:v>
                </c:pt>
                <c:pt idx="41">
                  <c:v>2.2636409669259442E-3</c:v>
                </c:pt>
                <c:pt idx="42">
                  <c:v>2.3199166974889798E-3</c:v>
                </c:pt>
                <c:pt idx="43">
                  <c:v>2.3762302364612256E-3</c:v>
                </c:pt>
                <c:pt idx="44">
                  <c:v>2.4325811415629736E-3</c:v>
                </c:pt>
                <c:pt idx="45">
                  <c:v>2.4889689856825918E-3</c:v>
                </c:pt>
                <c:pt idx="46">
                  <c:v>2.5453933560288314E-3</c:v>
                </c:pt>
                <c:pt idx="47">
                  <c:v>2.6018538533480059E-3</c:v>
                </c:pt>
                <c:pt idx="48">
                  <c:v>2.6583500911998154E-3</c:v>
                </c:pt>
                <c:pt idx="49">
                  <c:v>2.7148816952862636E-3</c:v>
                </c:pt>
                <c:pt idx="50">
                  <c:v>2.77144830282878E-3</c:v>
                </c:pt>
                <c:pt idx="51">
                  <c:v>2.8280495619891792E-3</c:v>
                </c:pt>
                <c:pt idx="52">
                  <c:v>2.8846851313305728E-3</c:v>
                </c:pt>
                <c:pt idx="53">
                  <c:v>2.9413546793147444E-3</c:v>
                </c:pt>
                <c:pt idx="54">
                  <c:v>2.9980578838328976E-3</c:v>
                </c:pt>
                <c:pt idx="55">
                  <c:v>3.0547944317669625E-3</c:v>
                </c:pt>
                <c:pt idx="56">
                  <c:v>3.1115640185789594E-3</c:v>
                </c:pt>
                <c:pt idx="57">
                  <c:v>3.1683663479261446E-3</c:v>
                </c:pt>
                <c:pt idx="58">
                  <c:v>3.2252011312999115E-3</c:v>
                </c:pt>
                <c:pt idx="59">
                  <c:v>3.2820680876865654E-3</c:v>
                </c:pt>
                <c:pt idx="60">
                  <c:v>3.3389669432483298E-3</c:v>
                </c:pt>
                <c:pt idx="61">
                  <c:v>3.3958974310230308E-3</c:v>
                </c:pt>
                <c:pt idx="62">
                  <c:v>3.4528592906410958E-3</c:v>
                </c:pt>
                <c:pt idx="63">
                  <c:v>3.5098522680585948E-3</c:v>
                </c:pt>
                <c:pt idx="64">
                  <c:v>3.5668761153051722E-3</c:v>
                </c:pt>
                <c:pt idx="65">
                  <c:v>3.6239305902458275E-3</c:v>
                </c:pt>
                <c:pt idx="66">
                  <c:v>3.681015456355572E-3</c:v>
                </c:pt>
                <c:pt idx="67">
                  <c:v>3.7381304825060803E-3</c:v>
                </c:pt>
                <c:pt idx="68">
                  <c:v>3.795275442763534E-3</c:v>
                </c:pt>
                <c:pt idx="69">
                  <c:v>3.8524501161969192E-3</c:v>
                </c:pt>
                <c:pt idx="70">
                  <c:v>3.9096542866960664E-3</c:v>
                </c:pt>
                <c:pt idx="71">
                  <c:v>3.9668877427988447E-3</c:v>
                </c:pt>
                <c:pt idx="72">
                  <c:v>4.0241502775268875E-3</c:v>
                </c:pt>
                <c:pt idx="73">
                  <c:v>4.0814416882293449E-3</c:v>
                </c:pt>
                <c:pt idx="74">
                  <c:v>4.1387617764341526E-3</c:v>
                </c:pt>
                <c:pt idx="75">
                  <c:v>4.1961103477063536E-3</c:v>
                </c:pt>
                <c:pt idx="76">
                  <c:v>4.2534872115130686E-3</c:v>
                </c:pt>
                <c:pt idx="77">
                  <c:v>4.3108921810946855E-3</c:v>
                </c:pt>
                <c:pt idx="78">
                  <c:v>4.3683250733419507E-3</c:v>
                </c:pt>
                <c:pt idx="79">
                  <c:v>4.4257857086785644E-3</c:v>
                </c:pt>
                <c:pt idx="80">
                  <c:v>4.4832739109490248E-3</c:v>
                </c:pt>
                <c:pt idx="81">
                  <c:v>4.5407895073113717E-3</c:v>
                </c:pt>
                <c:pt idx="82">
                  <c:v>4.5983323281345882E-3</c:v>
                </c:pt>
                <c:pt idx="83">
                  <c:v>4.6559022069003987E-3</c:v>
                </c:pt>
                <c:pt idx="84">
                  <c:v>4.7134989801092195E-3</c:v>
                </c:pt>
                <c:pt idx="85">
                  <c:v>4.7711224871900349E-3</c:v>
                </c:pt>
                <c:pt idx="86">
                  <c:v>4.8287725704140045E-3</c:v>
                </c:pt>
                <c:pt idx="87">
                  <c:v>4.8864490748115851E-3</c:v>
                </c:pt>
                <c:pt idx="88">
                  <c:v>4.9441518480930194E-3</c:v>
                </c:pt>
                <c:pt idx="89">
                  <c:v>5.001880740571959E-3</c:v>
                </c:pt>
                <c:pt idx="90">
                  <c:v>5.0596356050921412E-3</c:v>
                </c:pt>
                <c:pt idx="91">
                  <c:v>5.1174162969568997E-3</c:v>
                </c:pt>
                <c:pt idx="92">
                  <c:v>5.1752226738614017E-3</c:v>
                </c:pt>
                <c:pt idx="93">
                  <c:v>5.2330545958274664E-3</c:v>
                </c:pt>
                <c:pt idx="94">
                  <c:v>5.290911925140849E-3</c:v>
                </c:pt>
                <c:pt idx="95">
                  <c:v>5.348794526290869E-3</c:v>
                </c:pt>
                <c:pt idx="96">
                  <c:v>5.4067022659122516E-3</c:v>
                </c:pt>
                <c:pt idx="97">
                  <c:v>5.4646350127291257E-3</c:v>
                </c:pt>
                <c:pt idx="98">
                  <c:v>5.5225926375010075E-3</c:v>
                </c:pt>
                <c:pt idx="99">
                  <c:v>5.5805750129707598E-3</c:v>
                </c:pt>
                <c:pt idx="100">
                  <c:v>5.6961096932766691E-3</c:v>
                </c:pt>
                <c:pt idx="101">
                  <c:v>5.7553143865834225E-3</c:v>
                </c:pt>
                <c:pt idx="102">
                  <c:v>5.8145796348886931E-3</c:v>
                </c:pt>
                <c:pt idx="103">
                  <c:v>5.8739054381924836E-3</c:v>
                </c:pt>
                <c:pt idx="104">
                  <c:v>5.9332917964947923E-3</c:v>
                </c:pt>
                <c:pt idx="105">
                  <c:v>5.992738709795619E-3</c:v>
                </c:pt>
                <c:pt idx="106">
                  <c:v>6.0522461780949648E-3</c:v>
                </c:pt>
                <c:pt idx="107">
                  <c:v>6.1118142013928279E-3</c:v>
                </c:pt>
                <c:pt idx="108">
                  <c:v>6.1714427796892117E-3</c:v>
                </c:pt>
                <c:pt idx="109">
                  <c:v>6.2311319129841128E-3</c:v>
                </c:pt>
                <c:pt idx="110">
                  <c:v>6.290881601277532E-3</c:v>
                </c:pt>
                <c:pt idx="111">
                  <c:v>6.350691844569472E-3</c:v>
                </c:pt>
                <c:pt idx="112">
                  <c:v>6.4105626428599292E-3</c:v>
                </c:pt>
                <c:pt idx="113">
                  <c:v>6.4704939961489037E-3</c:v>
                </c:pt>
                <c:pt idx="114">
                  <c:v>6.5304859044363964E-3</c:v>
                </c:pt>
                <c:pt idx="115">
                  <c:v>6.590538367722408E-3</c:v>
                </c:pt>
                <c:pt idx="116">
                  <c:v>6.6506513860069396E-3</c:v>
                </c:pt>
                <c:pt idx="117">
                  <c:v>6.7108249592899901E-3</c:v>
                </c:pt>
                <c:pt idx="118">
                  <c:v>6.7710590875715562E-3</c:v>
                </c:pt>
                <c:pt idx="119">
                  <c:v>6.8313537708516439E-3</c:v>
                </c:pt>
                <c:pt idx="120">
                  <c:v>6.891709009130248E-3</c:v>
                </c:pt>
                <c:pt idx="121">
                  <c:v>6.9521248024073728E-3</c:v>
                </c:pt>
                <c:pt idx="122">
                  <c:v>7.0126011506830132E-3</c:v>
                </c:pt>
                <c:pt idx="123">
                  <c:v>7.0731380539571734E-3</c:v>
                </c:pt>
                <c:pt idx="124">
                  <c:v>7.1337355122298536E-3</c:v>
                </c:pt>
                <c:pt idx="125">
                  <c:v>7.1943935255010492E-3</c:v>
                </c:pt>
                <c:pt idx="126">
                  <c:v>7.2551120937707674E-3</c:v>
                </c:pt>
                <c:pt idx="127">
                  <c:v>7.3158912170390002E-3</c:v>
                </c:pt>
                <c:pt idx="128">
                  <c:v>7.3767308953057546E-3</c:v>
                </c:pt>
                <c:pt idx="129">
                  <c:v>7.4376311285710255E-3</c:v>
                </c:pt>
                <c:pt idx="130">
                  <c:v>7.4985919168348153E-3</c:v>
                </c:pt>
                <c:pt idx="131">
                  <c:v>7.5596132600971241E-3</c:v>
                </c:pt>
                <c:pt idx="132">
                  <c:v>7.6206951583579511E-3</c:v>
                </c:pt>
                <c:pt idx="133">
                  <c:v>7.6818376116172971E-3</c:v>
                </c:pt>
                <c:pt idx="134">
                  <c:v>7.7430406198751621E-3</c:v>
                </c:pt>
                <c:pt idx="135">
                  <c:v>7.8043041831315435E-3</c:v>
                </c:pt>
                <c:pt idx="136">
                  <c:v>7.8656283013864448E-3</c:v>
                </c:pt>
                <c:pt idx="137">
                  <c:v>7.927012974639866E-3</c:v>
                </c:pt>
                <c:pt idx="138">
                  <c:v>7.9884582028918027E-3</c:v>
                </c:pt>
                <c:pt idx="139">
                  <c:v>8.0499639861422601E-3</c:v>
                </c:pt>
                <c:pt idx="140">
                  <c:v>8.1115303243912348E-3</c:v>
                </c:pt>
                <c:pt idx="141">
                  <c:v>8.1731572176387303E-3</c:v>
                </c:pt>
                <c:pt idx="142">
                  <c:v>8.2348446658847413E-3</c:v>
                </c:pt>
                <c:pt idx="143">
                  <c:v>8.2965926691292713E-3</c:v>
                </c:pt>
                <c:pt idx="144">
                  <c:v>8.358401227372322E-3</c:v>
                </c:pt>
                <c:pt idx="145">
                  <c:v>8.4202703406138901E-3</c:v>
                </c:pt>
                <c:pt idx="146">
                  <c:v>8.4822000088539753E-3</c:v>
                </c:pt>
                <c:pt idx="147">
                  <c:v>8.5441902320925796E-3</c:v>
                </c:pt>
                <c:pt idx="148">
                  <c:v>8.6062410103297047E-3</c:v>
                </c:pt>
                <c:pt idx="149">
                  <c:v>8.668352343565347E-3</c:v>
                </c:pt>
                <c:pt idx="150">
                  <c:v>8.7305242317995049E-3</c:v>
                </c:pt>
              </c:numCache>
            </c:numRef>
          </c:yVal>
          <c:smooth val="1"/>
          <c:extLst>
            <c:ext xmlns:c16="http://schemas.microsoft.com/office/drawing/2014/chart" uri="{C3380CC4-5D6E-409C-BE32-E72D297353CC}">
              <c16:uniqueId val="{00000001-D428-476F-9D9B-414A5D21B4D3}"/>
            </c:ext>
          </c:extLst>
        </c:ser>
        <c:ser>
          <c:idx val="2"/>
          <c:order val="2"/>
          <c:tx>
            <c:v>Diode</c:v>
          </c:tx>
          <c:spPr>
            <a:ln>
              <a:solidFill>
                <a:schemeClr val="bg2">
                  <a:lumMod val="50000"/>
                </a:schemeClr>
              </a:solidFill>
              <a:prstDash val="sysDash"/>
            </a:ln>
          </c:spPr>
          <c:marker>
            <c:symbol val="none"/>
          </c:marker>
          <c:xVal>
            <c:numRef>
              <c:f>Eff_vs_IOUT!$S$7:$S$157</c:f>
              <c:numCache>
                <c:formatCode>General</c:formatCode>
                <c:ptCount val="151"/>
                <c:pt idx="0">
                  <c:v>0</c:v>
                </c:pt>
                <c:pt idx="1">
                  <c:v>2.24E-4</c:v>
                </c:pt>
                <c:pt idx="2">
                  <c:v>4.4799999999999999E-4</c:v>
                </c:pt>
                <c:pt idx="3">
                  <c:v>6.7199999999999996E-4</c:v>
                </c:pt>
                <c:pt idx="4">
                  <c:v>8.9599999999999999E-4</c:v>
                </c:pt>
                <c:pt idx="5">
                  <c:v>1.1199999999999999E-3</c:v>
                </c:pt>
                <c:pt idx="6">
                  <c:v>1.3439999999999999E-3</c:v>
                </c:pt>
                <c:pt idx="7">
                  <c:v>1.5679999999999999E-3</c:v>
                </c:pt>
                <c:pt idx="8">
                  <c:v>1.792E-3</c:v>
                </c:pt>
                <c:pt idx="9">
                  <c:v>2.016E-3</c:v>
                </c:pt>
                <c:pt idx="10">
                  <c:v>2.2399999999999998E-3</c:v>
                </c:pt>
                <c:pt idx="11">
                  <c:v>2.464E-3</c:v>
                </c:pt>
                <c:pt idx="12">
                  <c:v>2.6879999999999999E-3</c:v>
                </c:pt>
                <c:pt idx="13">
                  <c:v>2.9120000000000001E-3</c:v>
                </c:pt>
                <c:pt idx="14">
                  <c:v>3.1359999999999999E-3</c:v>
                </c:pt>
                <c:pt idx="15">
                  <c:v>3.3600000000000001E-3</c:v>
                </c:pt>
                <c:pt idx="16">
                  <c:v>3.5839999999999999E-3</c:v>
                </c:pt>
                <c:pt idx="17">
                  <c:v>3.8079999999999998E-3</c:v>
                </c:pt>
                <c:pt idx="18">
                  <c:v>4.032E-3</c:v>
                </c:pt>
                <c:pt idx="19">
                  <c:v>4.2560000000000002E-3</c:v>
                </c:pt>
                <c:pt idx="20">
                  <c:v>4.4799999999999996E-3</c:v>
                </c:pt>
                <c:pt idx="21">
                  <c:v>4.7039999999999998E-3</c:v>
                </c:pt>
                <c:pt idx="22">
                  <c:v>4.9280000000000001E-3</c:v>
                </c:pt>
                <c:pt idx="23">
                  <c:v>5.1520000000000003E-3</c:v>
                </c:pt>
                <c:pt idx="24">
                  <c:v>5.3759999999999997E-3</c:v>
                </c:pt>
                <c:pt idx="25">
                  <c:v>5.5999999999999999E-3</c:v>
                </c:pt>
                <c:pt idx="26">
                  <c:v>5.8240000000000002E-3</c:v>
                </c:pt>
                <c:pt idx="27">
                  <c:v>6.0479999999999996E-3</c:v>
                </c:pt>
                <c:pt idx="28">
                  <c:v>6.2719999999999998E-3</c:v>
                </c:pt>
                <c:pt idx="29">
                  <c:v>6.496E-3</c:v>
                </c:pt>
                <c:pt idx="30">
                  <c:v>6.7200000000000003E-3</c:v>
                </c:pt>
                <c:pt idx="31">
                  <c:v>6.9439999999999997E-3</c:v>
                </c:pt>
                <c:pt idx="32">
                  <c:v>7.1679999999999999E-3</c:v>
                </c:pt>
                <c:pt idx="33">
                  <c:v>7.3920000000000001E-3</c:v>
                </c:pt>
                <c:pt idx="34">
                  <c:v>7.6159999999999995E-3</c:v>
                </c:pt>
                <c:pt idx="35">
                  <c:v>7.8399999999999997E-3</c:v>
                </c:pt>
                <c:pt idx="36">
                  <c:v>8.064E-3</c:v>
                </c:pt>
                <c:pt idx="37">
                  <c:v>8.2880000000000002E-3</c:v>
                </c:pt>
                <c:pt idx="38">
                  <c:v>8.5120000000000005E-3</c:v>
                </c:pt>
                <c:pt idx="39">
                  <c:v>8.7360000000000007E-3</c:v>
                </c:pt>
                <c:pt idx="40">
                  <c:v>8.9599999999999992E-3</c:v>
                </c:pt>
                <c:pt idx="41">
                  <c:v>9.1839999999999995E-3</c:v>
                </c:pt>
                <c:pt idx="42">
                  <c:v>9.4079999999999997E-3</c:v>
                </c:pt>
                <c:pt idx="43">
                  <c:v>9.6319999999999999E-3</c:v>
                </c:pt>
                <c:pt idx="44">
                  <c:v>9.8560000000000002E-3</c:v>
                </c:pt>
                <c:pt idx="45">
                  <c:v>1.008E-2</c:v>
                </c:pt>
                <c:pt idx="46">
                  <c:v>1.0304000000000001E-2</c:v>
                </c:pt>
                <c:pt idx="47">
                  <c:v>1.0527999999999999E-2</c:v>
                </c:pt>
                <c:pt idx="48">
                  <c:v>1.0751999999999999E-2</c:v>
                </c:pt>
                <c:pt idx="49">
                  <c:v>1.0976E-2</c:v>
                </c:pt>
                <c:pt idx="50">
                  <c:v>1.12E-2</c:v>
                </c:pt>
                <c:pt idx="51">
                  <c:v>1.1424E-2</c:v>
                </c:pt>
                <c:pt idx="52">
                  <c:v>1.1648E-2</c:v>
                </c:pt>
                <c:pt idx="53">
                  <c:v>1.1872000000000001E-2</c:v>
                </c:pt>
                <c:pt idx="54">
                  <c:v>1.2095999999999999E-2</c:v>
                </c:pt>
                <c:pt idx="55">
                  <c:v>1.2319999999999999E-2</c:v>
                </c:pt>
                <c:pt idx="56">
                  <c:v>1.2544E-2</c:v>
                </c:pt>
                <c:pt idx="57">
                  <c:v>1.2768E-2</c:v>
                </c:pt>
                <c:pt idx="58">
                  <c:v>1.2992E-2</c:v>
                </c:pt>
                <c:pt idx="59">
                  <c:v>1.3216E-2</c:v>
                </c:pt>
                <c:pt idx="60">
                  <c:v>1.3440000000000001E-2</c:v>
                </c:pt>
                <c:pt idx="61">
                  <c:v>1.3663999999999999E-2</c:v>
                </c:pt>
                <c:pt idx="62">
                  <c:v>1.3887999999999999E-2</c:v>
                </c:pt>
                <c:pt idx="63">
                  <c:v>1.4112E-2</c:v>
                </c:pt>
                <c:pt idx="64">
                  <c:v>1.4336E-2</c:v>
                </c:pt>
                <c:pt idx="65">
                  <c:v>1.456E-2</c:v>
                </c:pt>
                <c:pt idx="66">
                  <c:v>1.4784E-2</c:v>
                </c:pt>
                <c:pt idx="67">
                  <c:v>1.5008000000000001E-2</c:v>
                </c:pt>
                <c:pt idx="68">
                  <c:v>1.5231999999999999E-2</c:v>
                </c:pt>
                <c:pt idx="69">
                  <c:v>1.5455999999999999E-2</c:v>
                </c:pt>
                <c:pt idx="70">
                  <c:v>1.5679999999999999E-2</c:v>
                </c:pt>
                <c:pt idx="71">
                  <c:v>1.5904000000000001E-2</c:v>
                </c:pt>
                <c:pt idx="72">
                  <c:v>1.6128E-2</c:v>
                </c:pt>
                <c:pt idx="73">
                  <c:v>1.6351999999999998E-2</c:v>
                </c:pt>
                <c:pt idx="74">
                  <c:v>1.6576E-2</c:v>
                </c:pt>
                <c:pt idx="75">
                  <c:v>1.6799999999999999E-2</c:v>
                </c:pt>
                <c:pt idx="76">
                  <c:v>1.7024000000000001E-2</c:v>
                </c:pt>
                <c:pt idx="77">
                  <c:v>1.7247999999999999E-2</c:v>
                </c:pt>
                <c:pt idx="78">
                  <c:v>1.7472000000000001E-2</c:v>
                </c:pt>
                <c:pt idx="79">
                  <c:v>1.7696E-2</c:v>
                </c:pt>
                <c:pt idx="80">
                  <c:v>1.7919999999999998E-2</c:v>
                </c:pt>
                <c:pt idx="81">
                  <c:v>1.8144E-2</c:v>
                </c:pt>
                <c:pt idx="82">
                  <c:v>1.8367999999999999E-2</c:v>
                </c:pt>
                <c:pt idx="83">
                  <c:v>1.8592000000000001E-2</c:v>
                </c:pt>
                <c:pt idx="84">
                  <c:v>1.8815999999999999E-2</c:v>
                </c:pt>
                <c:pt idx="85">
                  <c:v>1.9040000000000001E-2</c:v>
                </c:pt>
                <c:pt idx="86">
                  <c:v>1.9264E-2</c:v>
                </c:pt>
                <c:pt idx="87">
                  <c:v>1.9487999999999998E-2</c:v>
                </c:pt>
                <c:pt idx="88">
                  <c:v>1.9712E-2</c:v>
                </c:pt>
                <c:pt idx="89">
                  <c:v>1.9935999999999999E-2</c:v>
                </c:pt>
                <c:pt idx="90">
                  <c:v>2.0160000000000001E-2</c:v>
                </c:pt>
                <c:pt idx="91">
                  <c:v>2.0383999999999999E-2</c:v>
                </c:pt>
                <c:pt idx="92">
                  <c:v>2.0608000000000001E-2</c:v>
                </c:pt>
                <c:pt idx="93">
                  <c:v>2.0832E-2</c:v>
                </c:pt>
                <c:pt idx="94">
                  <c:v>2.1055999999999998E-2</c:v>
                </c:pt>
                <c:pt idx="95">
                  <c:v>2.128E-2</c:v>
                </c:pt>
                <c:pt idx="96">
                  <c:v>2.1503999999999999E-2</c:v>
                </c:pt>
                <c:pt idx="97">
                  <c:v>2.1728000000000001E-2</c:v>
                </c:pt>
                <c:pt idx="98">
                  <c:v>2.1951999999999999E-2</c:v>
                </c:pt>
                <c:pt idx="99">
                  <c:v>2.2176000000000001E-2</c:v>
                </c:pt>
                <c:pt idx="100">
                  <c:v>2.24E-2</c:v>
                </c:pt>
                <c:pt idx="101">
                  <c:v>2.2623999999999998E-2</c:v>
                </c:pt>
                <c:pt idx="102">
                  <c:v>2.2848E-2</c:v>
                </c:pt>
                <c:pt idx="103">
                  <c:v>2.3071999999999999E-2</c:v>
                </c:pt>
                <c:pt idx="104">
                  <c:v>2.3296000000000001E-2</c:v>
                </c:pt>
                <c:pt idx="105">
                  <c:v>2.3519999999999999E-2</c:v>
                </c:pt>
                <c:pt idx="106">
                  <c:v>2.3744000000000001E-2</c:v>
                </c:pt>
                <c:pt idx="107">
                  <c:v>2.3968E-2</c:v>
                </c:pt>
                <c:pt idx="108">
                  <c:v>2.4191999999999998E-2</c:v>
                </c:pt>
                <c:pt idx="109">
                  <c:v>2.4416E-2</c:v>
                </c:pt>
                <c:pt idx="110">
                  <c:v>2.4639999999999999E-2</c:v>
                </c:pt>
                <c:pt idx="111">
                  <c:v>2.4864000000000001E-2</c:v>
                </c:pt>
                <c:pt idx="112">
                  <c:v>2.5087999999999999E-2</c:v>
                </c:pt>
                <c:pt idx="113">
                  <c:v>2.5312000000000001E-2</c:v>
                </c:pt>
                <c:pt idx="114">
                  <c:v>2.5536E-2</c:v>
                </c:pt>
                <c:pt idx="115">
                  <c:v>2.5759999999999998E-2</c:v>
                </c:pt>
                <c:pt idx="116">
                  <c:v>2.5984E-2</c:v>
                </c:pt>
                <c:pt idx="117">
                  <c:v>2.6207999999999999E-2</c:v>
                </c:pt>
                <c:pt idx="118">
                  <c:v>2.6432000000000001E-2</c:v>
                </c:pt>
                <c:pt idx="119">
                  <c:v>2.6655999999999999E-2</c:v>
                </c:pt>
                <c:pt idx="120">
                  <c:v>2.6880000000000001E-2</c:v>
                </c:pt>
                <c:pt idx="121">
                  <c:v>2.7104E-2</c:v>
                </c:pt>
                <c:pt idx="122">
                  <c:v>2.7327999999999998E-2</c:v>
                </c:pt>
                <c:pt idx="123">
                  <c:v>2.7552E-2</c:v>
                </c:pt>
                <c:pt idx="124">
                  <c:v>2.7775999999999999E-2</c:v>
                </c:pt>
                <c:pt idx="125">
                  <c:v>2.8000000000000001E-2</c:v>
                </c:pt>
                <c:pt idx="126">
                  <c:v>2.8223999999999999E-2</c:v>
                </c:pt>
                <c:pt idx="127">
                  <c:v>2.8448000000000001E-2</c:v>
                </c:pt>
                <c:pt idx="128">
                  <c:v>2.8672E-2</c:v>
                </c:pt>
                <c:pt idx="129">
                  <c:v>2.8895999999999998E-2</c:v>
                </c:pt>
                <c:pt idx="130">
                  <c:v>2.912E-2</c:v>
                </c:pt>
                <c:pt idx="131">
                  <c:v>2.9343999999999999E-2</c:v>
                </c:pt>
                <c:pt idx="132">
                  <c:v>2.9568000000000001E-2</c:v>
                </c:pt>
                <c:pt idx="133">
                  <c:v>2.9791999999999999E-2</c:v>
                </c:pt>
                <c:pt idx="134">
                  <c:v>3.0016000000000001E-2</c:v>
                </c:pt>
                <c:pt idx="135">
                  <c:v>3.024E-2</c:v>
                </c:pt>
                <c:pt idx="136">
                  <c:v>3.0463999999999998E-2</c:v>
                </c:pt>
                <c:pt idx="137">
                  <c:v>3.0688E-2</c:v>
                </c:pt>
                <c:pt idx="138">
                  <c:v>3.0911999999999999E-2</c:v>
                </c:pt>
                <c:pt idx="139">
                  <c:v>3.1136E-2</c:v>
                </c:pt>
                <c:pt idx="140">
                  <c:v>3.1359999999999999E-2</c:v>
                </c:pt>
                <c:pt idx="141">
                  <c:v>3.1584000000000001E-2</c:v>
                </c:pt>
                <c:pt idx="142">
                  <c:v>3.1808000000000003E-2</c:v>
                </c:pt>
                <c:pt idx="143">
                  <c:v>3.2031999999999998E-2</c:v>
                </c:pt>
                <c:pt idx="144">
                  <c:v>3.2256E-2</c:v>
                </c:pt>
                <c:pt idx="145">
                  <c:v>3.2480000000000002E-2</c:v>
                </c:pt>
                <c:pt idx="146">
                  <c:v>3.2703999999999997E-2</c:v>
                </c:pt>
                <c:pt idx="147">
                  <c:v>3.2927999999999999E-2</c:v>
                </c:pt>
                <c:pt idx="148">
                  <c:v>3.3152000000000001E-2</c:v>
                </c:pt>
                <c:pt idx="149">
                  <c:v>3.3376000000000003E-2</c:v>
                </c:pt>
                <c:pt idx="150">
                  <c:v>3.3599999999999998E-2</c:v>
                </c:pt>
              </c:numCache>
            </c:numRef>
          </c:xVal>
          <c:yVal>
            <c:numRef>
              <c:f>Eff_vs_IOUT!$AN$7:$AN$157</c:f>
              <c:numCache>
                <c:formatCode>General</c:formatCode>
                <c:ptCount val="151"/>
                <c:pt idx="0">
                  <c:v>9.9132400000000009E-2</c:v>
                </c:pt>
                <c:pt idx="1">
                  <c:v>9.9338480000000007E-2</c:v>
                </c:pt>
                <c:pt idx="2">
                  <c:v>9.9544560000000004E-2</c:v>
                </c:pt>
                <c:pt idx="3">
                  <c:v>9.9750640000000015E-2</c:v>
                </c:pt>
                <c:pt idx="4">
                  <c:v>9.9956720000000013E-2</c:v>
                </c:pt>
                <c:pt idx="5">
                  <c:v>0.10016280000000001</c:v>
                </c:pt>
                <c:pt idx="6">
                  <c:v>0.10036888000000001</c:v>
                </c:pt>
                <c:pt idx="7">
                  <c:v>0.10057496</c:v>
                </c:pt>
                <c:pt idx="8">
                  <c:v>0.10078104000000002</c:v>
                </c:pt>
                <c:pt idx="9">
                  <c:v>0.10098712000000001</c:v>
                </c:pt>
                <c:pt idx="10">
                  <c:v>0.10119320000000001</c:v>
                </c:pt>
                <c:pt idx="11">
                  <c:v>0.10139928000000001</c:v>
                </c:pt>
                <c:pt idx="12">
                  <c:v>0.10160536000000001</c:v>
                </c:pt>
                <c:pt idx="13">
                  <c:v>0.10181144</c:v>
                </c:pt>
                <c:pt idx="14">
                  <c:v>0.10201752000000001</c:v>
                </c:pt>
                <c:pt idx="15">
                  <c:v>0.10222360000000001</c:v>
                </c:pt>
                <c:pt idx="16">
                  <c:v>0.10242968000000001</c:v>
                </c:pt>
                <c:pt idx="17">
                  <c:v>0.10263576000000001</c:v>
                </c:pt>
                <c:pt idx="18">
                  <c:v>0.10284184</c:v>
                </c:pt>
                <c:pt idx="19">
                  <c:v>0.10304792000000002</c:v>
                </c:pt>
                <c:pt idx="20">
                  <c:v>0.10325400000000001</c:v>
                </c:pt>
                <c:pt idx="21">
                  <c:v>0.10346008000000001</c:v>
                </c:pt>
                <c:pt idx="22">
                  <c:v>0.10366616000000001</c:v>
                </c:pt>
                <c:pt idx="23">
                  <c:v>0.10387224</c:v>
                </c:pt>
                <c:pt idx="24">
                  <c:v>0.10407832000000002</c:v>
                </c:pt>
                <c:pt idx="25">
                  <c:v>0.10428440000000001</c:v>
                </c:pt>
                <c:pt idx="26">
                  <c:v>0.10449048000000001</c:v>
                </c:pt>
                <c:pt idx="27">
                  <c:v>0.10469656000000001</c:v>
                </c:pt>
                <c:pt idx="28">
                  <c:v>0.10490264000000001</c:v>
                </c:pt>
                <c:pt idx="29">
                  <c:v>0.10510872000000002</c:v>
                </c:pt>
                <c:pt idx="30">
                  <c:v>0.10531480000000001</c:v>
                </c:pt>
                <c:pt idx="31">
                  <c:v>0.10552088000000001</c:v>
                </c:pt>
                <c:pt idx="32">
                  <c:v>0.10572696000000001</c:v>
                </c:pt>
                <c:pt idx="33">
                  <c:v>0.10593304000000001</c:v>
                </c:pt>
                <c:pt idx="34">
                  <c:v>0.10613912</c:v>
                </c:pt>
                <c:pt idx="35">
                  <c:v>0.10634520000000001</c:v>
                </c:pt>
                <c:pt idx="36">
                  <c:v>0.10655128000000001</c:v>
                </c:pt>
                <c:pt idx="37">
                  <c:v>0.10675736000000001</c:v>
                </c:pt>
                <c:pt idx="38">
                  <c:v>0.10696344000000001</c:v>
                </c:pt>
                <c:pt idx="39">
                  <c:v>0.10716952000000002</c:v>
                </c:pt>
                <c:pt idx="40">
                  <c:v>0.10737560000000002</c:v>
                </c:pt>
                <c:pt idx="41">
                  <c:v>0.10758168000000001</c:v>
                </c:pt>
                <c:pt idx="42">
                  <c:v>0.10778776000000001</c:v>
                </c:pt>
                <c:pt idx="43">
                  <c:v>0.10799384000000001</c:v>
                </c:pt>
                <c:pt idx="44">
                  <c:v>0.10819992</c:v>
                </c:pt>
                <c:pt idx="45">
                  <c:v>0.10840600000000002</c:v>
                </c:pt>
                <c:pt idx="46">
                  <c:v>0.10861208000000001</c:v>
                </c:pt>
                <c:pt idx="47">
                  <c:v>0.10881816000000001</c:v>
                </c:pt>
                <c:pt idx="48">
                  <c:v>0.10902424000000001</c:v>
                </c:pt>
                <c:pt idx="49">
                  <c:v>0.10923032000000001</c:v>
                </c:pt>
                <c:pt idx="50">
                  <c:v>0.10943640000000002</c:v>
                </c:pt>
                <c:pt idx="51">
                  <c:v>0.10964248000000001</c:v>
                </c:pt>
                <c:pt idx="52">
                  <c:v>0.10984856000000001</c:v>
                </c:pt>
                <c:pt idx="53">
                  <c:v>0.11005464000000001</c:v>
                </c:pt>
                <c:pt idx="54">
                  <c:v>0.11026072000000001</c:v>
                </c:pt>
                <c:pt idx="55">
                  <c:v>0.1104668</c:v>
                </c:pt>
                <c:pt idx="56">
                  <c:v>0.11067288000000002</c:v>
                </c:pt>
                <c:pt idx="57">
                  <c:v>0.11087896000000001</c:v>
                </c:pt>
                <c:pt idx="58">
                  <c:v>0.11108504000000001</c:v>
                </c:pt>
                <c:pt idx="59">
                  <c:v>0.11129112000000001</c:v>
                </c:pt>
                <c:pt idx="60">
                  <c:v>0.1114972</c:v>
                </c:pt>
                <c:pt idx="61">
                  <c:v>0.11170328000000002</c:v>
                </c:pt>
                <c:pt idx="62">
                  <c:v>0.11190936000000001</c:v>
                </c:pt>
                <c:pt idx="63">
                  <c:v>0.11211544000000001</c:v>
                </c:pt>
                <c:pt idx="64">
                  <c:v>0.11232152000000001</c:v>
                </c:pt>
                <c:pt idx="65">
                  <c:v>0.11252760000000001</c:v>
                </c:pt>
                <c:pt idx="66">
                  <c:v>0.11273368</c:v>
                </c:pt>
                <c:pt idx="67">
                  <c:v>0.11293976000000001</c:v>
                </c:pt>
                <c:pt idx="68">
                  <c:v>0.11314584000000001</c:v>
                </c:pt>
                <c:pt idx="69">
                  <c:v>0.11335192000000001</c:v>
                </c:pt>
                <c:pt idx="70">
                  <c:v>0.11355800000000001</c:v>
                </c:pt>
                <c:pt idx="71">
                  <c:v>0.11376408000000002</c:v>
                </c:pt>
                <c:pt idx="72">
                  <c:v>0.11397016000000001</c:v>
                </c:pt>
                <c:pt idx="73">
                  <c:v>0.11417624000000001</c:v>
                </c:pt>
                <c:pt idx="74">
                  <c:v>0.11438232000000001</c:v>
                </c:pt>
                <c:pt idx="75">
                  <c:v>0.11458840000000001</c:v>
                </c:pt>
                <c:pt idx="76">
                  <c:v>0.11479448</c:v>
                </c:pt>
                <c:pt idx="77">
                  <c:v>0.11500056</c:v>
                </c:pt>
                <c:pt idx="78">
                  <c:v>0.11520664000000001</c:v>
                </c:pt>
                <c:pt idx="79">
                  <c:v>0.11541272000000001</c:v>
                </c:pt>
                <c:pt idx="80">
                  <c:v>0.11561880000000001</c:v>
                </c:pt>
                <c:pt idx="81">
                  <c:v>0.11582488000000002</c:v>
                </c:pt>
                <c:pt idx="82">
                  <c:v>0.11603096000000002</c:v>
                </c:pt>
                <c:pt idx="83">
                  <c:v>0.11623704000000001</c:v>
                </c:pt>
                <c:pt idx="84">
                  <c:v>0.11644312000000001</c:v>
                </c:pt>
                <c:pt idx="85">
                  <c:v>0.11664920000000001</c:v>
                </c:pt>
                <c:pt idx="86">
                  <c:v>0.11685528000000001</c:v>
                </c:pt>
                <c:pt idx="87">
                  <c:v>0.11706136</c:v>
                </c:pt>
                <c:pt idx="88">
                  <c:v>0.11726744000000001</c:v>
                </c:pt>
                <c:pt idx="89">
                  <c:v>0.11747352000000001</c:v>
                </c:pt>
                <c:pt idx="90">
                  <c:v>0.11767960000000001</c:v>
                </c:pt>
                <c:pt idx="91">
                  <c:v>0.11788568000000001</c:v>
                </c:pt>
                <c:pt idx="92">
                  <c:v>0.11809176000000002</c:v>
                </c:pt>
                <c:pt idx="93">
                  <c:v>0.11829784000000002</c:v>
                </c:pt>
                <c:pt idx="94">
                  <c:v>0.11850392000000001</c:v>
                </c:pt>
                <c:pt idx="95">
                  <c:v>0.11871000000000001</c:v>
                </c:pt>
                <c:pt idx="96">
                  <c:v>0.11891608000000001</c:v>
                </c:pt>
                <c:pt idx="97">
                  <c:v>0.11912216</c:v>
                </c:pt>
                <c:pt idx="98">
                  <c:v>0.11932824</c:v>
                </c:pt>
                <c:pt idx="99">
                  <c:v>0.11953432000000001</c:v>
                </c:pt>
                <c:pt idx="100">
                  <c:v>0.11974040000000001</c:v>
                </c:pt>
                <c:pt idx="101">
                  <c:v>0.11994648000000001</c:v>
                </c:pt>
                <c:pt idx="102">
                  <c:v>0.12015256000000001</c:v>
                </c:pt>
                <c:pt idx="103">
                  <c:v>0.12035864000000002</c:v>
                </c:pt>
                <c:pt idx="104">
                  <c:v>0.12056472000000001</c:v>
                </c:pt>
                <c:pt idx="105">
                  <c:v>0.12077080000000001</c:v>
                </c:pt>
                <c:pt idx="106">
                  <c:v>0.12097688000000001</c:v>
                </c:pt>
                <c:pt idx="107">
                  <c:v>0.12118296000000001</c:v>
                </c:pt>
                <c:pt idx="108">
                  <c:v>0.12138904</c:v>
                </c:pt>
                <c:pt idx="109">
                  <c:v>0.12159512000000001</c:v>
                </c:pt>
                <c:pt idx="110">
                  <c:v>0.12180120000000001</c:v>
                </c:pt>
                <c:pt idx="111">
                  <c:v>0.12200728000000001</c:v>
                </c:pt>
                <c:pt idx="112">
                  <c:v>0.12221336000000001</c:v>
                </c:pt>
                <c:pt idx="113">
                  <c:v>0.12241944000000002</c:v>
                </c:pt>
                <c:pt idx="114">
                  <c:v>0.12262552000000002</c:v>
                </c:pt>
                <c:pt idx="115">
                  <c:v>0.12283160000000001</c:v>
                </c:pt>
                <c:pt idx="116">
                  <c:v>0.12303768000000001</c:v>
                </c:pt>
                <c:pt idx="117">
                  <c:v>0.12324376000000001</c:v>
                </c:pt>
                <c:pt idx="118">
                  <c:v>0.12344984000000001</c:v>
                </c:pt>
                <c:pt idx="119">
                  <c:v>0.12365592</c:v>
                </c:pt>
                <c:pt idx="120">
                  <c:v>0.12386200000000001</c:v>
                </c:pt>
                <c:pt idx="121">
                  <c:v>0.12406808000000001</c:v>
                </c:pt>
                <c:pt idx="122">
                  <c:v>0.12427416000000001</c:v>
                </c:pt>
                <c:pt idx="123">
                  <c:v>0.12448024000000001</c:v>
                </c:pt>
                <c:pt idx="124">
                  <c:v>0.12468632000000002</c:v>
                </c:pt>
                <c:pt idx="125">
                  <c:v>0.12489240000000001</c:v>
                </c:pt>
                <c:pt idx="126">
                  <c:v>0.12509848000000001</c:v>
                </c:pt>
                <c:pt idx="127">
                  <c:v>0.12530456000000001</c:v>
                </c:pt>
                <c:pt idx="128">
                  <c:v>0.12551064000000001</c:v>
                </c:pt>
                <c:pt idx="129">
                  <c:v>0.12571672</c:v>
                </c:pt>
                <c:pt idx="130">
                  <c:v>0.1259228</c:v>
                </c:pt>
                <c:pt idx="131">
                  <c:v>0.12612888</c:v>
                </c:pt>
                <c:pt idx="132">
                  <c:v>0.12633496</c:v>
                </c:pt>
                <c:pt idx="133">
                  <c:v>0.12654104000000002</c:v>
                </c:pt>
                <c:pt idx="134">
                  <c:v>0.12674712000000002</c:v>
                </c:pt>
                <c:pt idx="135">
                  <c:v>0.12695320000000002</c:v>
                </c:pt>
                <c:pt idx="136">
                  <c:v>0.12715928000000001</c:v>
                </c:pt>
                <c:pt idx="137">
                  <c:v>0.12736536000000001</c:v>
                </c:pt>
                <c:pt idx="138">
                  <c:v>0.12757144000000001</c:v>
                </c:pt>
                <c:pt idx="139">
                  <c:v>0.12777752000000001</c:v>
                </c:pt>
                <c:pt idx="140">
                  <c:v>0.1279836</c:v>
                </c:pt>
                <c:pt idx="141">
                  <c:v>0.12818968</c:v>
                </c:pt>
                <c:pt idx="142">
                  <c:v>0.12839576000000003</c:v>
                </c:pt>
                <c:pt idx="143">
                  <c:v>0.12860184000000002</c:v>
                </c:pt>
                <c:pt idx="144">
                  <c:v>0.12880792000000002</c:v>
                </c:pt>
                <c:pt idx="145">
                  <c:v>0.12901400000000002</c:v>
                </c:pt>
                <c:pt idx="146">
                  <c:v>0.12922008000000001</c:v>
                </c:pt>
                <c:pt idx="147">
                  <c:v>0.12942616000000001</c:v>
                </c:pt>
                <c:pt idx="148">
                  <c:v>0.12963224000000001</c:v>
                </c:pt>
                <c:pt idx="149">
                  <c:v>0.12983832000000001</c:v>
                </c:pt>
                <c:pt idx="150">
                  <c:v>0.1300444</c:v>
                </c:pt>
              </c:numCache>
            </c:numRef>
          </c:yVal>
          <c:smooth val="1"/>
          <c:extLst>
            <c:ext xmlns:c16="http://schemas.microsoft.com/office/drawing/2014/chart" uri="{C3380CC4-5D6E-409C-BE32-E72D297353CC}">
              <c16:uniqueId val="{00000002-D428-476F-9D9B-414A5D21B4D3}"/>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2.24E-4</c:v>
                </c:pt>
                <c:pt idx="2">
                  <c:v>4.4799999999999999E-4</c:v>
                </c:pt>
                <c:pt idx="3">
                  <c:v>6.7199999999999996E-4</c:v>
                </c:pt>
                <c:pt idx="4">
                  <c:v>8.9599999999999999E-4</c:v>
                </c:pt>
                <c:pt idx="5">
                  <c:v>1.1199999999999999E-3</c:v>
                </c:pt>
                <c:pt idx="6">
                  <c:v>1.3439999999999999E-3</c:v>
                </c:pt>
                <c:pt idx="7">
                  <c:v>1.5679999999999999E-3</c:v>
                </c:pt>
                <c:pt idx="8">
                  <c:v>1.792E-3</c:v>
                </c:pt>
                <c:pt idx="9">
                  <c:v>2.016E-3</c:v>
                </c:pt>
                <c:pt idx="10">
                  <c:v>2.2399999999999998E-3</c:v>
                </c:pt>
                <c:pt idx="11">
                  <c:v>2.464E-3</c:v>
                </c:pt>
                <c:pt idx="12">
                  <c:v>2.6879999999999999E-3</c:v>
                </c:pt>
                <c:pt idx="13">
                  <c:v>2.9120000000000001E-3</c:v>
                </c:pt>
                <c:pt idx="14">
                  <c:v>3.1359999999999999E-3</c:v>
                </c:pt>
                <c:pt idx="15">
                  <c:v>3.3600000000000001E-3</c:v>
                </c:pt>
                <c:pt idx="16">
                  <c:v>3.5839999999999999E-3</c:v>
                </c:pt>
                <c:pt idx="17">
                  <c:v>3.8079999999999998E-3</c:v>
                </c:pt>
                <c:pt idx="18">
                  <c:v>4.032E-3</c:v>
                </c:pt>
                <c:pt idx="19">
                  <c:v>4.2560000000000002E-3</c:v>
                </c:pt>
                <c:pt idx="20">
                  <c:v>4.4799999999999996E-3</c:v>
                </c:pt>
                <c:pt idx="21">
                  <c:v>4.7039999999999998E-3</c:v>
                </c:pt>
                <c:pt idx="22">
                  <c:v>4.9280000000000001E-3</c:v>
                </c:pt>
                <c:pt idx="23">
                  <c:v>5.1520000000000003E-3</c:v>
                </c:pt>
                <c:pt idx="24">
                  <c:v>5.3759999999999997E-3</c:v>
                </c:pt>
                <c:pt idx="25">
                  <c:v>5.5999999999999999E-3</c:v>
                </c:pt>
                <c:pt idx="26">
                  <c:v>5.8240000000000002E-3</c:v>
                </c:pt>
                <c:pt idx="27">
                  <c:v>6.0479999999999996E-3</c:v>
                </c:pt>
                <c:pt idx="28">
                  <c:v>6.2719999999999998E-3</c:v>
                </c:pt>
                <c:pt idx="29">
                  <c:v>6.496E-3</c:v>
                </c:pt>
                <c:pt idx="30">
                  <c:v>6.7200000000000003E-3</c:v>
                </c:pt>
                <c:pt idx="31">
                  <c:v>6.9439999999999997E-3</c:v>
                </c:pt>
                <c:pt idx="32">
                  <c:v>7.1679999999999999E-3</c:v>
                </c:pt>
                <c:pt idx="33">
                  <c:v>7.3920000000000001E-3</c:v>
                </c:pt>
                <c:pt idx="34">
                  <c:v>7.6159999999999995E-3</c:v>
                </c:pt>
                <c:pt idx="35">
                  <c:v>7.8399999999999997E-3</c:v>
                </c:pt>
                <c:pt idx="36">
                  <c:v>8.064E-3</c:v>
                </c:pt>
                <c:pt idx="37">
                  <c:v>8.2880000000000002E-3</c:v>
                </c:pt>
                <c:pt idx="38">
                  <c:v>8.5120000000000005E-3</c:v>
                </c:pt>
                <c:pt idx="39">
                  <c:v>8.7360000000000007E-3</c:v>
                </c:pt>
                <c:pt idx="40">
                  <c:v>8.9599999999999992E-3</c:v>
                </c:pt>
                <c:pt idx="41">
                  <c:v>9.1839999999999995E-3</c:v>
                </c:pt>
                <c:pt idx="42">
                  <c:v>9.4079999999999997E-3</c:v>
                </c:pt>
                <c:pt idx="43">
                  <c:v>9.6319999999999999E-3</c:v>
                </c:pt>
                <c:pt idx="44">
                  <c:v>9.8560000000000002E-3</c:v>
                </c:pt>
                <c:pt idx="45">
                  <c:v>1.008E-2</c:v>
                </c:pt>
                <c:pt idx="46">
                  <c:v>1.0304000000000001E-2</c:v>
                </c:pt>
                <c:pt idx="47">
                  <c:v>1.0527999999999999E-2</c:v>
                </c:pt>
                <c:pt idx="48">
                  <c:v>1.0751999999999999E-2</c:v>
                </c:pt>
                <c:pt idx="49">
                  <c:v>1.0976E-2</c:v>
                </c:pt>
                <c:pt idx="50">
                  <c:v>1.12E-2</c:v>
                </c:pt>
                <c:pt idx="51">
                  <c:v>1.1424E-2</c:v>
                </c:pt>
                <c:pt idx="52">
                  <c:v>1.1648E-2</c:v>
                </c:pt>
                <c:pt idx="53">
                  <c:v>1.1872000000000001E-2</c:v>
                </c:pt>
                <c:pt idx="54">
                  <c:v>1.2095999999999999E-2</c:v>
                </c:pt>
                <c:pt idx="55">
                  <c:v>1.2319999999999999E-2</c:v>
                </c:pt>
                <c:pt idx="56">
                  <c:v>1.2544E-2</c:v>
                </c:pt>
                <c:pt idx="57">
                  <c:v>1.2768E-2</c:v>
                </c:pt>
                <c:pt idx="58">
                  <c:v>1.2992E-2</c:v>
                </c:pt>
                <c:pt idx="59">
                  <c:v>1.3216E-2</c:v>
                </c:pt>
                <c:pt idx="60">
                  <c:v>1.3440000000000001E-2</c:v>
                </c:pt>
                <c:pt idx="61">
                  <c:v>1.3663999999999999E-2</c:v>
                </c:pt>
                <c:pt idx="62">
                  <c:v>1.3887999999999999E-2</c:v>
                </c:pt>
                <c:pt idx="63">
                  <c:v>1.4112E-2</c:v>
                </c:pt>
                <c:pt idx="64">
                  <c:v>1.4336E-2</c:v>
                </c:pt>
                <c:pt idx="65">
                  <c:v>1.456E-2</c:v>
                </c:pt>
                <c:pt idx="66">
                  <c:v>1.4784E-2</c:v>
                </c:pt>
                <c:pt idx="67">
                  <c:v>1.5008000000000001E-2</c:v>
                </c:pt>
                <c:pt idx="68">
                  <c:v>1.5231999999999999E-2</c:v>
                </c:pt>
                <c:pt idx="69">
                  <c:v>1.5455999999999999E-2</c:v>
                </c:pt>
                <c:pt idx="70">
                  <c:v>1.5679999999999999E-2</c:v>
                </c:pt>
                <c:pt idx="71">
                  <c:v>1.5904000000000001E-2</c:v>
                </c:pt>
                <c:pt idx="72">
                  <c:v>1.6128E-2</c:v>
                </c:pt>
                <c:pt idx="73">
                  <c:v>1.6351999999999998E-2</c:v>
                </c:pt>
                <c:pt idx="74">
                  <c:v>1.6576E-2</c:v>
                </c:pt>
                <c:pt idx="75">
                  <c:v>1.6799999999999999E-2</c:v>
                </c:pt>
                <c:pt idx="76">
                  <c:v>1.7024000000000001E-2</c:v>
                </c:pt>
                <c:pt idx="77">
                  <c:v>1.7247999999999999E-2</c:v>
                </c:pt>
                <c:pt idx="78">
                  <c:v>1.7472000000000001E-2</c:v>
                </c:pt>
                <c:pt idx="79">
                  <c:v>1.7696E-2</c:v>
                </c:pt>
                <c:pt idx="80">
                  <c:v>1.7919999999999998E-2</c:v>
                </c:pt>
                <c:pt idx="81">
                  <c:v>1.8144E-2</c:v>
                </c:pt>
                <c:pt idx="82">
                  <c:v>1.8367999999999999E-2</c:v>
                </c:pt>
                <c:pt idx="83">
                  <c:v>1.8592000000000001E-2</c:v>
                </c:pt>
                <c:pt idx="84">
                  <c:v>1.8815999999999999E-2</c:v>
                </c:pt>
                <c:pt idx="85">
                  <c:v>1.9040000000000001E-2</c:v>
                </c:pt>
                <c:pt idx="86">
                  <c:v>1.9264E-2</c:v>
                </c:pt>
                <c:pt idx="87">
                  <c:v>1.9487999999999998E-2</c:v>
                </c:pt>
                <c:pt idx="88">
                  <c:v>1.9712E-2</c:v>
                </c:pt>
                <c:pt idx="89">
                  <c:v>1.9935999999999999E-2</c:v>
                </c:pt>
                <c:pt idx="90">
                  <c:v>2.0160000000000001E-2</c:v>
                </c:pt>
                <c:pt idx="91">
                  <c:v>2.0383999999999999E-2</c:v>
                </c:pt>
                <c:pt idx="92">
                  <c:v>2.0608000000000001E-2</c:v>
                </c:pt>
                <c:pt idx="93">
                  <c:v>2.0832E-2</c:v>
                </c:pt>
                <c:pt idx="94">
                  <c:v>2.1055999999999998E-2</c:v>
                </c:pt>
                <c:pt idx="95">
                  <c:v>2.128E-2</c:v>
                </c:pt>
                <c:pt idx="96">
                  <c:v>2.1503999999999999E-2</c:v>
                </c:pt>
                <c:pt idx="97">
                  <c:v>2.1728000000000001E-2</c:v>
                </c:pt>
                <c:pt idx="98">
                  <c:v>2.1951999999999999E-2</c:v>
                </c:pt>
                <c:pt idx="99">
                  <c:v>2.2176000000000001E-2</c:v>
                </c:pt>
                <c:pt idx="100">
                  <c:v>2.24E-2</c:v>
                </c:pt>
                <c:pt idx="101">
                  <c:v>2.2623999999999998E-2</c:v>
                </c:pt>
                <c:pt idx="102">
                  <c:v>2.2848E-2</c:v>
                </c:pt>
                <c:pt idx="103">
                  <c:v>2.3071999999999999E-2</c:v>
                </c:pt>
                <c:pt idx="104">
                  <c:v>2.3296000000000001E-2</c:v>
                </c:pt>
                <c:pt idx="105">
                  <c:v>2.3519999999999999E-2</c:v>
                </c:pt>
                <c:pt idx="106">
                  <c:v>2.3744000000000001E-2</c:v>
                </c:pt>
                <c:pt idx="107">
                  <c:v>2.3968E-2</c:v>
                </c:pt>
                <c:pt idx="108">
                  <c:v>2.4191999999999998E-2</c:v>
                </c:pt>
                <c:pt idx="109">
                  <c:v>2.4416E-2</c:v>
                </c:pt>
                <c:pt idx="110">
                  <c:v>2.4639999999999999E-2</c:v>
                </c:pt>
                <c:pt idx="111">
                  <c:v>2.4864000000000001E-2</c:v>
                </c:pt>
                <c:pt idx="112">
                  <c:v>2.5087999999999999E-2</c:v>
                </c:pt>
                <c:pt idx="113">
                  <c:v>2.5312000000000001E-2</c:v>
                </c:pt>
                <c:pt idx="114">
                  <c:v>2.5536E-2</c:v>
                </c:pt>
                <c:pt idx="115">
                  <c:v>2.5759999999999998E-2</c:v>
                </c:pt>
                <c:pt idx="116">
                  <c:v>2.5984E-2</c:v>
                </c:pt>
                <c:pt idx="117">
                  <c:v>2.6207999999999999E-2</c:v>
                </c:pt>
                <c:pt idx="118">
                  <c:v>2.6432000000000001E-2</c:v>
                </c:pt>
                <c:pt idx="119">
                  <c:v>2.6655999999999999E-2</c:v>
                </c:pt>
                <c:pt idx="120">
                  <c:v>2.6880000000000001E-2</c:v>
                </c:pt>
                <c:pt idx="121">
                  <c:v>2.7104E-2</c:v>
                </c:pt>
                <c:pt idx="122">
                  <c:v>2.7327999999999998E-2</c:v>
                </c:pt>
                <c:pt idx="123">
                  <c:v>2.7552E-2</c:v>
                </c:pt>
                <c:pt idx="124">
                  <c:v>2.7775999999999999E-2</c:v>
                </c:pt>
                <c:pt idx="125">
                  <c:v>2.8000000000000001E-2</c:v>
                </c:pt>
                <c:pt idx="126">
                  <c:v>2.8223999999999999E-2</c:v>
                </c:pt>
                <c:pt idx="127">
                  <c:v>2.8448000000000001E-2</c:v>
                </c:pt>
                <c:pt idx="128">
                  <c:v>2.8672E-2</c:v>
                </c:pt>
                <c:pt idx="129">
                  <c:v>2.8895999999999998E-2</c:v>
                </c:pt>
                <c:pt idx="130">
                  <c:v>2.912E-2</c:v>
                </c:pt>
                <c:pt idx="131">
                  <c:v>2.9343999999999999E-2</c:v>
                </c:pt>
                <c:pt idx="132">
                  <c:v>2.9568000000000001E-2</c:v>
                </c:pt>
                <c:pt idx="133">
                  <c:v>2.9791999999999999E-2</c:v>
                </c:pt>
                <c:pt idx="134">
                  <c:v>3.0016000000000001E-2</c:v>
                </c:pt>
                <c:pt idx="135">
                  <c:v>3.024E-2</c:v>
                </c:pt>
                <c:pt idx="136">
                  <c:v>3.0463999999999998E-2</c:v>
                </c:pt>
                <c:pt idx="137">
                  <c:v>3.0688E-2</c:v>
                </c:pt>
                <c:pt idx="138">
                  <c:v>3.0911999999999999E-2</c:v>
                </c:pt>
                <c:pt idx="139">
                  <c:v>3.1136E-2</c:v>
                </c:pt>
                <c:pt idx="140">
                  <c:v>3.1359999999999999E-2</c:v>
                </c:pt>
                <c:pt idx="141">
                  <c:v>3.1584000000000001E-2</c:v>
                </c:pt>
                <c:pt idx="142">
                  <c:v>3.1808000000000003E-2</c:v>
                </c:pt>
                <c:pt idx="143">
                  <c:v>3.2031999999999998E-2</c:v>
                </c:pt>
                <c:pt idx="144">
                  <c:v>3.2256E-2</c:v>
                </c:pt>
                <c:pt idx="145">
                  <c:v>3.2480000000000002E-2</c:v>
                </c:pt>
                <c:pt idx="146">
                  <c:v>3.2703999999999997E-2</c:v>
                </c:pt>
                <c:pt idx="147">
                  <c:v>3.2927999999999999E-2</c:v>
                </c:pt>
                <c:pt idx="148">
                  <c:v>3.3152000000000001E-2</c:v>
                </c:pt>
                <c:pt idx="149">
                  <c:v>3.3376000000000003E-2</c:v>
                </c:pt>
                <c:pt idx="150">
                  <c:v>3.3599999999999998E-2</c:v>
                </c:pt>
              </c:numCache>
            </c:numRef>
          </c:xVal>
          <c:yVal>
            <c:numRef>
              <c:f>Eff_vs_IOUT!$AO$7:$AO$157</c:f>
              <c:numCache>
                <c:formatCode>General</c:formatCode>
                <c:ptCount val="151"/>
                <c:pt idx="0">
                  <c:v>0</c:v>
                </c:pt>
                <c:pt idx="1">
                  <c:v>2.6668605571442618E-6</c:v>
                </c:pt>
                <c:pt idx="2">
                  <c:v>7.5430207377425664E-6</c:v>
                </c:pt>
                <c:pt idx="3">
                  <c:v>1.3857413945025907E-5</c:v>
                </c:pt>
                <c:pt idx="4">
                  <c:v>2.1334884457154098E-5</c:v>
                </c:pt>
                <c:pt idx="5">
                  <c:v>2.9816407461437651E-5</c:v>
                </c:pt>
                <c:pt idx="6">
                  <c:v>3.9194685480947393E-5</c:v>
                </c:pt>
                <c:pt idx="7">
                  <c:v>4.9390948708436124E-5</c:v>
                </c:pt>
                <c:pt idx="8">
                  <c:v>6.0344165901940525E-5</c:v>
                </c:pt>
                <c:pt idx="9">
                  <c:v>7.2005235042895113E-5</c:v>
                </c:pt>
                <c:pt idx="10">
                  <c:v>8.4333535626414919E-5</c:v>
                </c:pt>
                <c:pt idx="11">
                  <c:v>9.7294734198702384E-5</c:v>
                </c:pt>
                <c:pt idx="12">
                  <c:v>1.108593115602073E-4</c:v>
                </c:pt>
                <c:pt idx="13">
                  <c:v>1.2500153228284927E-4</c:v>
                </c:pt>
                <c:pt idx="14">
                  <c:v>1.3969869904388859E-4</c:v>
                </c:pt>
                <c:pt idx="15">
                  <c:v>1.5493059786715732E-4</c:v>
                </c:pt>
                <c:pt idx="16">
                  <c:v>1.7067907565723275E-4</c:v>
                </c:pt>
                <c:pt idx="17">
                  <c:v>1.8692771202028898E-4</c:v>
                </c:pt>
                <c:pt idx="18">
                  <c:v>2.0366155991904928E-4</c:v>
                </c:pt>
                <c:pt idx="19">
                  <c:v>2.2086693763702183E-4</c:v>
                </c:pt>
                <c:pt idx="20">
                  <c:v>2.3853125969150124E-4</c:v>
                </c:pt>
                <c:pt idx="21">
                  <c:v>2.566428977911194E-4</c:v>
                </c:pt>
                <c:pt idx="22">
                  <c:v>2.7519106530258061E-4</c:v>
                </c:pt>
                <c:pt idx="23">
                  <c:v>2.941657203493309E-4</c:v>
                </c:pt>
                <c:pt idx="24">
                  <c:v>3.1355748384757931E-4</c:v>
                </c:pt>
                <c:pt idx="25">
                  <c:v>3.3335756964303278E-4</c:v>
                </c:pt>
                <c:pt idx="26">
                  <c:v>3.5355772454364747E-4</c:v>
                </c:pt>
                <c:pt idx="27">
                  <c:v>3.7415017651569975E-4</c:v>
                </c:pt>
                <c:pt idx="28">
                  <c:v>3.9512758966748915E-4</c:v>
                </c:pt>
                <c:pt idx="29">
                  <c:v>4.164830249181835E-4</c:v>
                </c:pt>
                <c:pt idx="30">
                  <c:v>4.3820990546061231E-4</c:v>
                </c:pt>
                <c:pt idx="31">
                  <c:v>4.6030198629185004E-4</c:v>
                </c:pt>
                <c:pt idx="32">
                  <c:v>4.8275332721552425E-4</c:v>
                </c:pt>
                <c:pt idx="33">
                  <c:v>5.055582688231852E-4</c:v>
                </c:pt>
                <c:pt idx="34">
                  <c:v>5.2871141104493004E-4</c:v>
                </c:pt>
                <c:pt idx="35">
                  <c:v>5.5220759392634298E-4</c:v>
                </c:pt>
                <c:pt idx="36">
                  <c:v>5.760418803431609E-4</c:v>
                </c:pt>
                <c:pt idx="37">
                  <c:v>6.0020954040951194E-4</c:v>
                </c:pt>
                <c:pt idx="38">
                  <c:v>6.2470603737217777E-4</c:v>
                </c:pt>
                <c:pt idx="39">
                  <c:v>6.4952701481356878E-4</c:v>
                </c:pt>
                <c:pt idx="40">
                  <c:v>6.7466828501131935E-4</c:v>
                </c:pt>
                <c:pt idx="41">
                  <c:v>7.0012581832346781E-4</c:v>
                </c:pt>
                <c:pt idx="42">
                  <c:v>7.2589573348586607E-4</c:v>
                </c:pt>
                <c:pt idx="43">
                  <c:v>7.5197428872344932E-4</c:v>
                </c:pt>
                <c:pt idx="44">
                  <c:v>7.7835787358961908E-4</c:v>
                </c:pt>
                <c:pt idx="45">
                  <c:v>8.0504300145881665E-4</c:v>
                </c:pt>
                <c:pt idx="46">
                  <c:v>8.3202630260654966E-4</c:v>
                </c:pt>
                <c:pt idx="47">
                  <c:v>8.5930451781906472E-4</c:v>
                </c:pt>
                <c:pt idx="48">
                  <c:v>8.8687449248165805E-4</c:v>
                </c:pt>
                <c:pt idx="49">
                  <c:v>9.147331711004818E-4</c:v>
                </c:pt>
                <c:pt idx="50">
                  <c:v>9.4287759221782117E-4</c:v>
                </c:pt>
                <c:pt idx="51">
                  <c:v>9.7130488368523228E-4</c:v>
                </c:pt>
                <c:pt idx="52">
                  <c:v>1.0000122582627944E-3</c:v>
                </c:pt>
                <c:pt idx="53">
                  <c:v>1.0289970095160987E-3</c:v>
                </c:pt>
                <c:pt idx="54">
                  <c:v>1.0582565079855794E-3</c:v>
                </c:pt>
                <c:pt idx="55">
                  <c:v>1.0877881976053606E-3</c:v>
                </c:pt>
                <c:pt idx="56">
                  <c:v>1.1175895923511089E-3</c:v>
                </c:pt>
                <c:pt idx="57">
                  <c:v>1.1476582730984058E-3</c:v>
                </c:pt>
                <c:pt idx="58">
                  <c:v>1.1779918846749335E-3</c:v>
                </c:pt>
                <c:pt idx="59">
                  <c:v>1.2085881330913624E-3</c:v>
                </c:pt>
                <c:pt idx="60">
                  <c:v>1.239444782937259E-3</c:v>
                </c:pt>
                <c:pt idx="61">
                  <c:v>1.270559654929577E-3</c:v>
                </c:pt>
                <c:pt idx="62">
                  <c:v>1.3019306236024173E-3</c:v>
                </c:pt>
                <c:pt idx="63">
                  <c:v>1.3335556151277755E-3</c:v>
                </c:pt>
                <c:pt idx="64">
                  <c:v>1.3654326052578622E-3</c:v>
                </c:pt>
                <c:pt idx="65">
                  <c:v>1.3975596173804274E-3</c:v>
                </c:pt>
                <c:pt idx="66">
                  <c:v>1.4299347206792232E-3</c:v>
                </c:pt>
                <c:pt idx="67">
                  <c:v>1.462556028392412E-3</c:v>
                </c:pt>
                <c:pt idx="68">
                  <c:v>1.4954216961623119E-3</c:v>
                </c:pt>
                <c:pt idx="69">
                  <c:v>1.5285299204704167E-3</c:v>
                </c:pt>
                <c:pt idx="70">
                  <c:v>1.5618789371520975E-3</c:v>
                </c:pt>
                <c:pt idx="71">
                  <c:v>1.595467019985861E-3</c:v>
                </c:pt>
                <c:pt idx="72">
                  <c:v>1.6292924793523944E-3</c:v>
                </c:pt>
                <c:pt idx="73">
                  <c:v>1.6633536609590514E-3</c:v>
                </c:pt>
                <c:pt idx="74">
                  <c:v>1.6976489446257086E-3</c:v>
                </c:pt>
                <c:pt idx="75">
                  <c:v>1.7321767431282384E-3</c:v>
                </c:pt>
                <c:pt idx="76">
                  <c:v>1.7669355010961748E-3</c:v>
                </c:pt>
                <c:pt idx="77">
                  <c:v>1.8019236939612834E-3</c:v>
                </c:pt>
                <c:pt idx="78">
                  <c:v>1.8371398269541178E-3</c:v>
                </c:pt>
                <c:pt idx="79">
                  <c:v>1.8725824341457335E-3</c:v>
                </c:pt>
                <c:pt idx="80">
                  <c:v>1.9082500775320097E-3</c:v>
                </c:pt>
                <c:pt idx="81">
                  <c:v>1.9441413461581676E-3</c:v>
                </c:pt>
                <c:pt idx="82">
                  <c:v>1.9802548552812198E-3</c:v>
                </c:pt>
                <c:pt idx="83">
                  <c:v>2.0165892455683123E-3</c:v>
                </c:pt>
                <c:pt idx="84">
                  <c:v>2.0531431823289548E-3</c:v>
                </c:pt>
                <c:pt idx="85">
                  <c:v>2.0899153547793538E-3</c:v>
                </c:pt>
                <c:pt idx="86">
                  <c:v>2.1269044753371262E-3</c:v>
                </c:pt>
                <c:pt idx="87">
                  <c:v>2.1641092789448052E-3</c:v>
                </c:pt>
                <c:pt idx="88">
                  <c:v>2.2015285224206453E-3</c:v>
                </c:pt>
                <c:pt idx="89">
                  <c:v>2.2391609838353188E-3</c:v>
                </c:pt>
                <c:pt idx="90">
                  <c:v>2.2770054619132051E-3</c:v>
                </c:pt>
                <c:pt idx="91">
                  <c:v>2.3150607754570183E-3</c:v>
                </c:pt>
                <c:pt idx="92">
                  <c:v>2.3533257627946468E-3</c:v>
                </c:pt>
                <c:pt idx="93">
                  <c:v>2.3917992812470708E-3</c:v>
                </c:pt>
                <c:pt idx="94">
                  <c:v>2.430480206616389E-3</c:v>
                </c:pt>
                <c:pt idx="95">
                  <c:v>2.4693674326929389E-3</c:v>
                </c:pt>
                <c:pt idx="96">
                  <c:v>2.5084598707806331E-3</c:v>
                </c:pt>
                <c:pt idx="97">
                  <c:v>2.5477564492396589E-3</c:v>
                </c:pt>
                <c:pt idx="98">
                  <c:v>2.5872561130456983E-3</c:v>
                </c:pt>
                <c:pt idx="99">
                  <c:v>2.626957823364964E-3</c:v>
                </c:pt>
                <c:pt idx="100">
                  <c:v>3.1364742670406194E-3</c:v>
                </c:pt>
                <c:pt idx="101">
                  <c:v>3.1861540821517299E-3</c:v>
                </c:pt>
                <c:pt idx="102">
                  <c:v>3.2363282237813603E-3</c:v>
                </c:pt>
                <c:pt idx="103">
                  <c:v>3.2869966919295101E-3</c:v>
                </c:pt>
                <c:pt idx="104">
                  <c:v>3.3381594865961768E-3</c:v>
                </c:pt>
                <c:pt idx="105">
                  <c:v>3.3898166077813573E-3</c:v>
                </c:pt>
                <c:pt idx="106">
                  <c:v>3.4419680554850624E-3</c:v>
                </c:pt>
                <c:pt idx="107">
                  <c:v>3.4946138297072839E-3</c:v>
                </c:pt>
                <c:pt idx="108">
                  <c:v>3.5477539304480253E-3</c:v>
                </c:pt>
                <c:pt idx="109">
                  <c:v>3.6013883577072844E-3</c:v>
                </c:pt>
                <c:pt idx="110">
                  <c:v>3.6555171114850639E-3</c:v>
                </c:pt>
                <c:pt idx="111">
                  <c:v>3.7101401917813605E-3</c:v>
                </c:pt>
                <c:pt idx="112">
                  <c:v>3.765257598596175E-3</c:v>
                </c:pt>
                <c:pt idx="113">
                  <c:v>3.8208693319295075E-3</c:v>
                </c:pt>
                <c:pt idx="114">
                  <c:v>3.8769753917813612E-3</c:v>
                </c:pt>
                <c:pt idx="115">
                  <c:v>3.9335757781517305E-3</c:v>
                </c:pt>
                <c:pt idx="116">
                  <c:v>3.9906704910406179E-3</c:v>
                </c:pt>
                <c:pt idx="117">
                  <c:v>4.048259530448026E-3</c:v>
                </c:pt>
                <c:pt idx="118">
                  <c:v>4.1063428963739514E-3</c:v>
                </c:pt>
                <c:pt idx="119">
                  <c:v>4.1649205888183976E-3</c:v>
                </c:pt>
                <c:pt idx="120">
                  <c:v>4.2239926077813593E-3</c:v>
                </c:pt>
                <c:pt idx="121">
                  <c:v>4.2835589532628409E-3</c:v>
                </c:pt>
                <c:pt idx="122">
                  <c:v>4.3436196252628415E-3</c:v>
                </c:pt>
                <c:pt idx="123">
                  <c:v>4.4041746237813593E-3</c:v>
                </c:pt>
                <c:pt idx="124">
                  <c:v>4.465223948818397E-3</c:v>
                </c:pt>
                <c:pt idx="125">
                  <c:v>4.5267676003739521E-3</c:v>
                </c:pt>
                <c:pt idx="126">
                  <c:v>4.5888055784480252E-3</c:v>
                </c:pt>
                <c:pt idx="127">
                  <c:v>4.6513378830406165E-3</c:v>
                </c:pt>
                <c:pt idx="128">
                  <c:v>4.7143645141517285E-3</c:v>
                </c:pt>
                <c:pt idx="129">
                  <c:v>4.7778854717813578E-3</c:v>
                </c:pt>
                <c:pt idx="130">
                  <c:v>4.8419007559295088E-3</c:v>
                </c:pt>
                <c:pt idx="131">
                  <c:v>4.9064103665961744E-3</c:v>
                </c:pt>
                <c:pt idx="132">
                  <c:v>4.9714143037813607E-3</c:v>
                </c:pt>
                <c:pt idx="133">
                  <c:v>5.0369125674850617E-3</c:v>
                </c:pt>
                <c:pt idx="134">
                  <c:v>5.1029051577072887E-3</c:v>
                </c:pt>
                <c:pt idx="135">
                  <c:v>5.169392074448026E-3</c:v>
                </c:pt>
                <c:pt idx="136">
                  <c:v>5.236373317707284E-3</c:v>
                </c:pt>
                <c:pt idx="137">
                  <c:v>5.3038488874850645E-3</c:v>
                </c:pt>
                <c:pt idx="138">
                  <c:v>5.3718187837813571E-3</c:v>
                </c:pt>
                <c:pt idx="139">
                  <c:v>5.440283006596173E-3</c:v>
                </c:pt>
                <c:pt idx="140">
                  <c:v>5.5092415559295079E-3</c:v>
                </c:pt>
                <c:pt idx="141">
                  <c:v>5.5786944317813602E-3</c:v>
                </c:pt>
                <c:pt idx="142">
                  <c:v>5.6486416341517296E-3</c:v>
                </c:pt>
                <c:pt idx="143">
                  <c:v>5.7190831630406173E-3</c:v>
                </c:pt>
                <c:pt idx="144">
                  <c:v>5.7900190184480265E-3</c:v>
                </c:pt>
                <c:pt idx="145">
                  <c:v>5.861449200373953E-3</c:v>
                </c:pt>
                <c:pt idx="146">
                  <c:v>5.9333737088183959E-3</c:v>
                </c:pt>
                <c:pt idx="147">
                  <c:v>6.0057925437813579E-3</c:v>
                </c:pt>
                <c:pt idx="148">
                  <c:v>6.0787057052628388E-3</c:v>
                </c:pt>
                <c:pt idx="149">
                  <c:v>6.1521131932628396E-3</c:v>
                </c:pt>
                <c:pt idx="150">
                  <c:v>6.2260150077813612E-3</c:v>
                </c:pt>
              </c:numCache>
            </c:numRef>
          </c:yVal>
          <c:smooth val="1"/>
          <c:extLst>
            <c:ext xmlns:c16="http://schemas.microsoft.com/office/drawing/2014/chart" uri="{C3380CC4-5D6E-409C-BE32-E72D297353CC}">
              <c16:uniqueId val="{00000003-D428-476F-9D9B-414A5D21B4D3}"/>
            </c:ext>
          </c:extLst>
        </c:ser>
        <c:dLbls>
          <c:showLegendKey val="0"/>
          <c:showVal val="0"/>
          <c:showCatName val="0"/>
          <c:showSerName val="0"/>
          <c:showPercent val="0"/>
          <c:showBubbleSize val="0"/>
        </c:dLbls>
        <c:axId val="162552448"/>
        <c:axId val="162550528"/>
      </c:scatterChart>
      <c:valAx>
        <c:axId val="161084544"/>
        <c:scaling>
          <c:orientation val="minMax"/>
        </c:scaling>
        <c:delete val="0"/>
        <c:axPos val="b"/>
        <c:majorGridlines/>
        <c:numFmt formatCode="General" sourceLinked="1"/>
        <c:majorTickMark val="out"/>
        <c:minorTickMark val="none"/>
        <c:tickLblPos val="nextTo"/>
        <c:crossAx val="161086080"/>
        <c:crosses val="autoZero"/>
        <c:crossBetween val="midCat"/>
      </c:valAx>
      <c:valAx>
        <c:axId val="161086080"/>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161084544"/>
        <c:crosses val="autoZero"/>
        <c:crossBetween val="midCat"/>
      </c:valAx>
      <c:valAx>
        <c:axId val="162550528"/>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162552448"/>
        <c:crosses val="max"/>
        <c:crossBetween val="midCat"/>
      </c:valAx>
      <c:valAx>
        <c:axId val="162552448"/>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162550528"/>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trlProps/ctrlProp1.xml><?xml version="1.0" encoding="utf-8"?>
<formControlPr xmlns="http://schemas.microsoft.com/office/spreadsheetml/2009/9/main" objectType="Drop" dropStyle="combo" dx="26" fmlaRange="$1:$1048576" noThreeD="1" sel="0" val="0"/>
</file>

<file path=xl/ctrlProps/ctrlProp2.xml><?xml version="1.0" encoding="utf-8"?>
<formControlPr xmlns="http://schemas.microsoft.com/office/spreadsheetml/2009/9/main" objectType="Spin" dx="20" fmlaLink="$H$8" max="45" noThreeD="1" page="10" val="20"/>
</file>

<file path=xl/drawings/_rels/drawing1.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chart" Target="../charts/chart4.xml"/><Relationship Id="rId5" Type="http://schemas.openxmlformats.org/officeDocument/2006/relationships/chart" Target="../charts/chart6.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2" Type="http://schemas.openxmlformats.org/officeDocument/2006/relationships/image" Target="../media/image10.emf"/><Relationship Id="rId1" Type="http://schemas.openxmlformats.org/officeDocument/2006/relationships/image" Target="../media/image9.emf"/></Relationships>
</file>

<file path=xl/drawings/_rels/drawing8.xml.rels><?xml version="1.0" encoding="UTF-8" standalone="yes"?>
<Relationships xmlns="http://schemas.openxmlformats.org/package/2006/relationships"><Relationship Id="rId3" Type="http://schemas.openxmlformats.org/officeDocument/2006/relationships/hyperlink" Target="http://www.ti.com/corp/docs/legal/copyright.shtml" TargetMode="External"/><Relationship Id="rId2" Type="http://schemas.openxmlformats.org/officeDocument/2006/relationships/image" Target="../media/image11.gif"/><Relationship Id="rId1" Type="http://schemas.openxmlformats.org/officeDocument/2006/relationships/hyperlink" Target="http://www.ti.com" TargetMode="Externa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14</xdr:col>
          <xdr:colOff>594360</xdr:colOff>
          <xdr:row>30</xdr:row>
          <xdr:rowOff>91440</xdr:rowOff>
        </xdr:from>
        <xdr:to>
          <xdr:col>16</xdr:col>
          <xdr:colOff>220980</xdr:colOff>
          <xdr:row>31</xdr:row>
          <xdr:rowOff>114300</xdr:rowOff>
        </xdr:to>
        <xdr:sp macro="" textlink="">
          <xdr:nvSpPr>
            <xdr:cNvPr id="1170" name="Drop Down 146" descr="This is just there to fix the excel issue with comments and linked pictures" hidden="1">
              <a:extLst>
                <a:ext uri="{63B3BB69-23CF-44E3-9099-C40C66FF867C}">
                  <a14:compatExt spid="_x0000_s1170"/>
                </a:ext>
                <a:ext uri="{FF2B5EF4-FFF2-40B4-BE49-F238E27FC236}">
                  <a16:creationId xmlns:a16="http://schemas.microsoft.com/office/drawing/2014/main" id="{00000000-0008-0000-0000-000092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twoCellAnchor>
    <xdr:from>
      <xdr:col>9</xdr:col>
      <xdr:colOff>22860</xdr:colOff>
      <xdr:row>50</xdr:row>
      <xdr:rowOff>1</xdr:rowOff>
    </xdr:from>
    <xdr:to>
      <xdr:col>25</xdr:col>
      <xdr:colOff>598714</xdr:colOff>
      <xdr:row>71</xdr:row>
      <xdr:rowOff>175261</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22861</xdr:colOff>
      <xdr:row>74</xdr:row>
      <xdr:rowOff>7620</xdr:rowOff>
    </xdr:from>
    <xdr:to>
      <xdr:col>25</xdr:col>
      <xdr:colOff>600637</xdr:colOff>
      <xdr:row>98</xdr:row>
      <xdr:rowOff>163286</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xdr:from>
          <xdr:col>7</xdr:col>
          <xdr:colOff>510540</xdr:colOff>
          <xdr:row>56</xdr:row>
          <xdr:rowOff>0</xdr:rowOff>
        </xdr:from>
        <xdr:to>
          <xdr:col>8</xdr:col>
          <xdr:colOff>15240</xdr:colOff>
          <xdr:row>58</xdr:row>
          <xdr:rowOff>0</xdr:rowOff>
        </xdr:to>
        <xdr:sp macro="" textlink="">
          <xdr:nvSpPr>
            <xdr:cNvPr id="1060" name="Spinner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14</xdr:col>
      <xdr:colOff>134501</xdr:colOff>
      <xdr:row>49</xdr:row>
      <xdr:rowOff>62752</xdr:rowOff>
    </xdr:from>
    <xdr:to>
      <xdr:col>15</xdr:col>
      <xdr:colOff>484124</xdr:colOff>
      <xdr:row>51</xdr:row>
      <xdr:rowOff>161363</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8326001" y="10338546"/>
          <a:ext cx="943535" cy="54684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15</xdr:col>
      <xdr:colOff>197245</xdr:colOff>
      <xdr:row>49</xdr:row>
      <xdr:rowOff>71718</xdr:rowOff>
    </xdr:from>
    <xdr:to>
      <xdr:col>16</xdr:col>
      <xdr:colOff>528939</xdr:colOff>
      <xdr:row>51</xdr:row>
      <xdr:rowOff>170330</xdr:rowOff>
    </xdr:to>
    <xdr:sp macro="" textlink="VIN_nom">
      <xdr:nvSpPr>
        <xdr:cNvPr id="3" name="TextBox 2">
          <a:extLst>
            <a:ext uri="{FF2B5EF4-FFF2-40B4-BE49-F238E27FC236}">
              <a16:creationId xmlns:a16="http://schemas.microsoft.com/office/drawing/2014/main" id="{00000000-0008-0000-0000-000003000000}"/>
            </a:ext>
          </a:extLst>
        </xdr:cNvPr>
        <xdr:cNvSpPr txBox="1"/>
      </xdr:nvSpPr>
      <xdr:spPr>
        <a:xfrm>
          <a:off x="8955763" y="9538447"/>
          <a:ext cx="941294" cy="49305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6E0D9B-34B5-4A81-8CB9-A88F658AFD78}" type="TxLink">
            <a:rPr lang="en-US" sz="2400" b="0" i="0" u="none" strike="noStrike">
              <a:solidFill>
                <a:srgbClr val="000000"/>
              </a:solidFill>
              <a:latin typeface="Calibri"/>
            </a:rPr>
            <a:pPr/>
            <a:t>20</a:t>
          </a:fld>
          <a:endParaRPr lang="en-US" sz="2400"/>
        </a:p>
      </xdr:txBody>
    </xdr:sp>
    <xdr:clientData/>
  </xdr:twoCellAnchor>
  <xdr:twoCellAnchor>
    <xdr:from>
      <xdr:col>15</xdr:col>
      <xdr:colOff>568726</xdr:colOff>
      <xdr:row>49</xdr:row>
      <xdr:rowOff>62752</xdr:rowOff>
    </xdr:from>
    <xdr:to>
      <xdr:col>17</xdr:col>
      <xdr:colOff>318274</xdr:colOff>
      <xdr:row>51</xdr:row>
      <xdr:rowOff>161363</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9354138" y="10338546"/>
          <a:ext cx="937371" cy="54684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xdr:twoCellAnchor>
    <xdr:from>
      <xdr:col>11</xdr:col>
      <xdr:colOff>376517</xdr:colOff>
      <xdr:row>74</xdr:row>
      <xdr:rowOff>26894</xdr:rowOff>
    </xdr:from>
    <xdr:to>
      <xdr:col>13</xdr:col>
      <xdr:colOff>116540</xdr:colOff>
      <xdr:row>76</xdr:row>
      <xdr:rowOff>134470</xdr:rowOff>
    </xdr:to>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6696635" y="14379388"/>
          <a:ext cx="959223" cy="4930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12</xdr:col>
      <xdr:colOff>439261</xdr:colOff>
      <xdr:row>74</xdr:row>
      <xdr:rowOff>35860</xdr:rowOff>
    </xdr:from>
    <xdr:to>
      <xdr:col>14</xdr:col>
      <xdr:colOff>161355</xdr:colOff>
      <xdr:row>76</xdr:row>
      <xdr:rowOff>143437</xdr:rowOff>
    </xdr:to>
    <xdr:sp macro="" textlink="VIN_nom">
      <xdr:nvSpPr>
        <xdr:cNvPr id="10" name="TextBox 9">
          <a:extLst>
            <a:ext uri="{FF2B5EF4-FFF2-40B4-BE49-F238E27FC236}">
              <a16:creationId xmlns:a16="http://schemas.microsoft.com/office/drawing/2014/main" id="{00000000-0008-0000-0000-00000A000000}"/>
            </a:ext>
          </a:extLst>
        </xdr:cNvPr>
        <xdr:cNvSpPr txBox="1"/>
      </xdr:nvSpPr>
      <xdr:spPr>
        <a:xfrm>
          <a:off x="7368979" y="14388354"/>
          <a:ext cx="941294" cy="49305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6E0D9B-34B5-4A81-8CB9-A88F658AFD78}" type="TxLink">
            <a:rPr lang="en-US" sz="2400" b="0" i="0" u="none" strike="noStrike">
              <a:solidFill>
                <a:srgbClr val="000000"/>
              </a:solidFill>
              <a:latin typeface="Calibri"/>
            </a:rPr>
            <a:pPr/>
            <a:t>20</a:t>
          </a:fld>
          <a:endParaRPr lang="en-US" sz="2400"/>
        </a:p>
      </xdr:txBody>
    </xdr:sp>
    <xdr:clientData/>
  </xdr:twoCellAnchor>
  <xdr:twoCellAnchor>
    <xdr:from>
      <xdr:col>13</xdr:col>
      <xdr:colOff>233079</xdr:colOff>
      <xdr:row>74</xdr:row>
      <xdr:rowOff>26894</xdr:rowOff>
    </xdr:from>
    <xdr:to>
      <xdr:col>14</xdr:col>
      <xdr:colOff>582702</xdr:colOff>
      <xdr:row>76</xdr:row>
      <xdr:rowOff>134470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7772397" y="14379388"/>
          <a:ext cx="959223" cy="4930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xdr:twoCellAnchor>
    <xdr:from>
      <xdr:col>11</xdr:col>
      <xdr:colOff>99097</xdr:colOff>
      <xdr:row>67</xdr:row>
      <xdr:rowOff>155530</xdr:rowOff>
    </xdr:from>
    <xdr:to>
      <xdr:col>13</xdr:col>
      <xdr:colOff>150962</xdr:colOff>
      <xdr:row>68</xdr:row>
      <xdr:rowOff>132991</xdr:rowOff>
    </xdr:to>
    <xdr:sp macro="" textlink="Loop_Modeling!A69">
      <xdr:nvSpPr>
        <xdr:cNvPr id="14" name="TextBox 13">
          <a:extLst>
            <a:ext uri="{FF2B5EF4-FFF2-40B4-BE49-F238E27FC236}">
              <a16:creationId xmlns:a16="http://schemas.microsoft.com/office/drawing/2014/main" id="{00000000-0008-0000-0000-00000E000000}"/>
            </a:ext>
          </a:extLst>
        </xdr:cNvPr>
        <xdr:cNvSpPr txBox="1"/>
      </xdr:nvSpPr>
      <xdr:spPr>
        <a:xfrm>
          <a:off x="6475455" y="14328011"/>
          <a:ext cx="1230809" cy="1787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96E2E744-8A5D-4458-A426-E4363EDE50C7}" type="TxLink">
            <a:rPr lang="en-US" sz="1100" b="1" i="0" u="none" strike="noStrike">
              <a:solidFill>
                <a:schemeClr val="accent1">
                  <a:lumMod val="75000"/>
                </a:schemeClr>
              </a:solidFill>
              <a:latin typeface="Calibri"/>
              <a:cs typeface="Calibri"/>
            </a:rPr>
            <a:pPr/>
            <a:t>Phase Margin = 84°</a:t>
          </a:fld>
          <a:endParaRPr lang="en-US" sz="2400" b="1">
            <a:solidFill>
              <a:schemeClr val="accent1">
                <a:lumMod val="75000"/>
              </a:schemeClr>
            </a:solidFill>
          </a:endParaRPr>
        </a:p>
      </xdr:txBody>
    </xdr:sp>
    <xdr:clientData/>
  </xdr:twoCellAnchor>
  <xdr:twoCellAnchor>
    <xdr:from>
      <xdr:col>11</xdr:col>
      <xdr:colOff>98632</xdr:colOff>
      <xdr:row>66</xdr:row>
      <xdr:rowOff>109818</xdr:rowOff>
    </xdr:from>
    <xdr:to>
      <xdr:col>15</xdr:col>
      <xdr:colOff>224116</xdr:colOff>
      <xdr:row>67</xdr:row>
      <xdr:rowOff>123265</xdr:rowOff>
    </xdr:to>
    <xdr:sp macro="" textlink="Loop_Modeling!A68">
      <xdr:nvSpPr>
        <xdr:cNvPr id="15" name="TextBox 14">
          <a:extLst>
            <a:ext uri="{FF2B5EF4-FFF2-40B4-BE49-F238E27FC236}">
              <a16:creationId xmlns:a16="http://schemas.microsoft.com/office/drawing/2014/main" id="{00000000-0008-0000-0000-00000F000000}"/>
            </a:ext>
          </a:extLst>
        </xdr:cNvPr>
        <xdr:cNvSpPr txBox="1"/>
      </xdr:nvSpPr>
      <xdr:spPr>
        <a:xfrm>
          <a:off x="6508397" y="13982700"/>
          <a:ext cx="2501131" cy="20394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EF506B42-A944-4597-8E98-BD1D41977E0E}" type="TxLink">
            <a:rPr lang="en-US" sz="1100" b="1" i="0" u="none" strike="noStrike">
              <a:solidFill>
                <a:srgbClr val="C00000"/>
              </a:solidFill>
              <a:latin typeface="+mn-lt"/>
              <a:cs typeface="Arial" panose="020B0604020202020204" pitchFamily="34" charset="0"/>
            </a:rPr>
            <a:pPr/>
            <a:t>Crossover Frequency = 0.5 kHz</a:t>
          </a:fld>
          <a:endParaRPr lang="en-US" sz="2400" b="1">
            <a:solidFill>
              <a:srgbClr val="C00000"/>
            </a:solidFill>
            <a:latin typeface="+mn-lt"/>
            <a:cs typeface="Arial" panose="020B0604020202020204"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10</xdr:col>
          <xdr:colOff>18648</xdr:colOff>
          <xdr:row>6</xdr:row>
          <xdr:rowOff>9525</xdr:rowOff>
        </xdr:from>
        <xdr:to>
          <xdr:col>25</xdr:col>
          <xdr:colOff>417820</xdr:colOff>
          <xdr:row>36</xdr:row>
          <xdr:rowOff>167640</xdr:rowOff>
        </xdr:to>
        <xdr:pic>
          <xdr:nvPicPr>
            <xdr:cNvPr id="18" name="Picture 17">
              <a:extLst>
                <a:ext uri="{FF2B5EF4-FFF2-40B4-BE49-F238E27FC236}">
                  <a16:creationId xmlns:a16="http://schemas.microsoft.com/office/drawing/2014/main" id="{00000000-0008-0000-0000-000012000000}"/>
                </a:ext>
              </a:extLst>
            </xdr:cNvPr>
            <xdr:cNvPicPr>
              <a:picLocks noChangeAspect="1"/>
              <a:extLst>
                <a:ext uri="{84589F7E-364E-4C9E-8A38-B11213B215E9}">
                  <a14:cameraTool cellRange="display_SCH" spid="_x0000_s1267"/>
                </a:ext>
              </a:extLst>
            </xdr:cNvPicPr>
          </xdr:nvPicPr>
          <xdr:blipFill rotWithShape="1">
            <a:blip xmlns:r="http://schemas.openxmlformats.org/officeDocument/2006/relationships" r:embed="rId3"/>
            <a:srcRect/>
            <a:stretch>
              <a:fillRect/>
            </a:stretch>
          </xdr:blipFill>
          <xdr:spPr>
            <a:xfrm>
              <a:off x="5834501" y="1567143"/>
              <a:ext cx="9195790" cy="6116058"/>
            </a:xfrm>
            <a:prstGeom prst="rect">
              <a:avLst/>
            </a:prstGeom>
            <a:solidFill>
              <a:schemeClr val="bg1"/>
            </a:solidFill>
          </xdr:spPr>
        </xdr:pic>
        <xdr:clientData/>
      </xdr:twoCellAnchor>
    </mc:Choice>
    <mc:Fallback/>
  </mc:AlternateContent>
  <xdr:twoCellAnchor>
    <xdr:from>
      <xdr:col>14</xdr:col>
      <xdr:colOff>333375</xdr:colOff>
      <xdr:row>16</xdr:row>
      <xdr:rowOff>85724</xdr:rowOff>
    </xdr:from>
    <xdr:to>
      <xdr:col>16</xdr:col>
      <xdr:colOff>428625</xdr:colOff>
      <xdr:row>18</xdr:row>
      <xdr:rowOff>57149</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8486775" y="3543299"/>
          <a:ext cx="1276350" cy="371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latin typeface="Arial" panose="020B0604020202020204" pitchFamily="34" charset="0"/>
              <a:cs typeface="Arial" panose="020B0604020202020204" pitchFamily="34" charset="0"/>
            </a:rPr>
            <a:t>LM5155/56</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851647</xdr:colOff>
      <xdr:row>215</xdr:row>
      <xdr:rowOff>170330</xdr:rowOff>
    </xdr:from>
    <xdr:to>
      <xdr:col>14</xdr:col>
      <xdr:colOff>484094</xdr:colOff>
      <xdr:row>223</xdr:row>
      <xdr:rowOff>71719</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9807388" y="26544495"/>
          <a:ext cx="3541059" cy="13357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Need to explain the placement of the Zero</a:t>
          </a:r>
          <a:r>
            <a:rPr lang="en-US" sz="1100" baseline="0"/>
            <a:t> a little bit better. The pole location should also be based on the location of the zero</a:t>
          </a:r>
          <a:endParaRPr lang="en-US" sz="1100"/>
        </a:p>
      </xdr:txBody>
    </xdr:sp>
    <xdr:clientData/>
  </xdr:twoCellAnchor>
  <mc:AlternateContent xmlns:mc="http://schemas.openxmlformats.org/markup-compatibility/2006">
    <mc:Choice xmlns:a14="http://schemas.microsoft.com/office/drawing/2010/main" Requires="a14">
      <xdr:twoCellAnchor editAs="oneCell">
        <xdr:from>
          <xdr:col>8</xdr:col>
          <xdr:colOff>60960</xdr:colOff>
          <xdr:row>154</xdr:row>
          <xdr:rowOff>137160</xdr:rowOff>
        </xdr:from>
        <xdr:to>
          <xdr:col>12</xdr:col>
          <xdr:colOff>396240</xdr:colOff>
          <xdr:row>157</xdr:row>
          <xdr:rowOff>22860</xdr:rowOff>
        </xdr:to>
        <xdr:sp macro="" textlink="">
          <xdr:nvSpPr>
            <xdr:cNvPr id="2053" name="Object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8</xdr:col>
      <xdr:colOff>842683</xdr:colOff>
      <xdr:row>186</xdr:row>
      <xdr:rowOff>17930</xdr:rowOff>
    </xdr:from>
    <xdr:to>
      <xdr:col>14</xdr:col>
      <xdr:colOff>475130</xdr:colOff>
      <xdr:row>195</xdr:row>
      <xdr:rowOff>98613</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9798424" y="23523389"/>
          <a:ext cx="3541059" cy="13357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Loop</a:t>
          </a:r>
          <a:r>
            <a:rPr lang="en-US" sz="1100" baseline="0"/>
            <a:t> compensation is calculated for the minimum input voltage. This ensure stability over the input voltage range</a:t>
          </a:r>
          <a:endParaRPr lang="en-US" sz="1100"/>
        </a:p>
      </xdr:txBody>
    </xdr:sp>
    <xdr:clientData/>
  </xdr:twoCellAnchor>
  <xdr:twoCellAnchor>
    <xdr:from>
      <xdr:col>14</xdr:col>
      <xdr:colOff>11205</xdr:colOff>
      <xdr:row>33</xdr:row>
      <xdr:rowOff>100853</xdr:rowOff>
    </xdr:from>
    <xdr:to>
      <xdr:col>18</xdr:col>
      <xdr:colOff>582705</xdr:colOff>
      <xdr:row>38</xdr:row>
      <xdr:rowOff>78441</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2920381" y="6555441"/>
          <a:ext cx="2991971" cy="9300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If</a:t>
          </a:r>
          <a:r>
            <a:rPr lang="en-US" sz="1100" baseline="0"/>
            <a:t> Lm is </a:t>
          </a:r>
        </a:p>
        <a:p>
          <a:r>
            <a:rPr lang="en-US" sz="1100" baseline="0"/>
            <a:t>lower then each of them -&gt; CCM</a:t>
          </a:r>
        </a:p>
        <a:p>
          <a:r>
            <a:rPr lang="en-US" sz="1100" baseline="0"/>
            <a:t>Higher </a:t>
          </a:r>
          <a:r>
            <a:rPr lang="en-US" sz="1100" baseline="0">
              <a:solidFill>
                <a:schemeClr val="dk1"/>
              </a:solidFill>
              <a:effectLst/>
              <a:latin typeface="+mn-lt"/>
              <a:ea typeface="+mn-ea"/>
              <a:cs typeface="+mn-cs"/>
            </a:rPr>
            <a:t>lower then each of them </a:t>
          </a:r>
          <a:r>
            <a:rPr lang="en-US" sz="1100" baseline="0"/>
            <a:t> -&gt; DCM</a:t>
          </a:r>
        </a:p>
        <a:p>
          <a:r>
            <a:rPr lang="en-US" sz="1100" baseline="0"/>
            <a:t>else CCM and DCM </a:t>
          </a:r>
          <a:endParaRPr lang="en-US" sz="1100"/>
        </a:p>
      </xdr:txBody>
    </xdr:sp>
    <xdr:clientData/>
  </xdr:twoCellAnchor>
  <xdr:twoCellAnchor>
    <xdr:from>
      <xdr:col>13</xdr:col>
      <xdr:colOff>268941</xdr:colOff>
      <xdr:row>23</xdr:row>
      <xdr:rowOff>112059</xdr:rowOff>
    </xdr:from>
    <xdr:to>
      <xdr:col>16</xdr:col>
      <xdr:colOff>571500</xdr:colOff>
      <xdr:row>28</xdr:row>
      <xdr:rowOff>168088</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12920382" y="4661647"/>
          <a:ext cx="2330824" cy="10085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Check</a:t>
          </a:r>
          <a:r>
            <a:rPr lang="en-US" sz="1100" baseline="0"/>
            <a:t> if DC for DCM would be less the DC for CCM -&gt; in this case it would run in DCM mode</a:t>
          </a:r>
        </a:p>
        <a:p>
          <a:r>
            <a:rPr lang="en-US" sz="1100" baseline="0"/>
            <a:t>Check if at the 3 points CCM or DCM would be used</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21</xdr:col>
      <xdr:colOff>528917</xdr:colOff>
      <xdr:row>67</xdr:row>
      <xdr:rowOff>89006</xdr:rowOff>
    </xdr:from>
    <xdr:to>
      <xdr:col>30</xdr:col>
      <xdr:colOff>79513</xdr:colOff>
      <xdr:row>86</xdr:row>
      <xdr:rowOff>92765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1051560</xdr:colOff>
      <xdr:row>49</xdr:row>
      <xdr:rowOff>45720</xdr:rowOff>
    </xdr:from>
    <xdr:to>
      <xdr:col>25</xdr:col>
      <xdr:colOff>563880</xdr:colOff>
      <xdr:row>73</xdr:row>
      <xdr:rowOff>19050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32</xdr:col>
      <xdr:colOff>186690</xdr:colOff>
      <xdr:row>39</xdr:row>
      <xdr:rowOff>167640</xdr:rowOff>
    </xdr:from>
    <xdr:to>
      <xdr:col>34</xdr:col>
      <xdr:colOff>530487</xdr:colOff>
      <xdr:row>45</xdr:row>
      <xdr:rowOff>56599</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2"/>
        <a:stretch>
          <a:fillRect/>
        </a:stretch>
      </xdr:blipFill>
      <xdr:spPr>
        <a:xfrm>
          <a:off x="21541740" y="5482590"/>
          <a:ext cx="1840230" cy="1045293"/>
        </a:xfrm>
        <a:prstGeom prst="rect">
          <a:avLst/>
        </a:prstGeom>
      </xdr:spPr>
    </xdr:pic>
    <xdr:clientData/>
  </xdr:twoCellAnchor>
  <xdr:twoCellAnchor editAs="oneCell">
    <xdr:from>
      <xdr:col>34</xdr:col>
      <xdr:colOff>247650</xdr:colOff>
      <xdr:row>40</xdr:row>
      <xdr:rowOff>60960</xdr:rowOff>
    </xdr:from>
    <xdr:to>
      <xdr:col>38</xdr:col>
      <xdr:colOff>567929</xdr:colOff>
      <xdr:row>44</xdr:row>
      <xdr:rowOff>148662</xdr:rowOff>
    </xdr:to>
    <xdr:pic>
      <xdr:nvPicPr>
        <xdr:cNvPr id="8" name="Picture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3"/>
        <a:stretch>
          <a:fillRect/>
        </a:stretch>
      </xdr:blipFill>
      <xdr:spPr>
        <a:xfrm>
          <a:off x="23888700" y="5566410"/>
          <a:ext cx="2758679" cy="830649"/>
        </a:xfrm>
        <a:prstGeom prst="rect">
          <a:avLst/>
        </a:prstGeom>
      </xdr:spPr>
    </xdr:pic>
    <xdr:clientData/>
  </xdr:twoCellAnchor>
  <xdr:twoCellAnchor>
    <xdr:from>
      <xdr:col>31</xdr:col>
      <xdr:colOff>30480</xdr:colOff>
      <xdr:row>49</xdr:row>
      <xdr:rowOff>64770</xdr:rowOff>
    </xdr:from>
    <xdr:to>
      <xdr:col>42</xdr:col>
      <xdr:colOff>144780</xdr:colOff>
      <xdr:row>73</xdr:row>
      <xdr:rowOff>38100</xdr:rowOff>
    </xdr:to>
    <xdr:graphicFrame macro="">
      <xdr:nvGraphicFramePr>
        <xdr:cNvPr id="9" name="Chart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317182</xdr:colOff>
      <xdr:row>23</xdr:row>
      <xdr:rowOff>62388</xdr:rowOff>
    </xdr:from>
    <xdr:to>
      <xdr:col>24</xdr:col>
      <xdr:colOff>450532</xdr:colOff>
      <xdr:row>47</xdr:row>
      <xdr:rowOff>20478</xdr:rowOff>
    </xdr:to>
    <xdr:graphicFrame macro="">
      <xdr:nvGraphicFramePr>
        <xdr:cNvPr id="10" name="Chart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8325</xdr:colOff>
      <xdr:row>38</xdr:row>
      <xdr:rowOff>8964</xdr:rowOff>
    </xdr:from>
    <xdr:to>
      <xdr:col>11</xdr:col>
      <xdr:colOff>591031</xdr:colOff>
      <xdr:row>46</xdr:row>
      <xdr:rowOff>131269</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6187669" y="7533714"/>
          <a:ext cx="2571050" cy="1646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Add points</a:t>
          </a:r>
          <a:r>
            <a:rPr lang="en-US" sz="1100" baseline="0"/>
            <a:t> later to show where the pole and zerDc_Mode_Loopos of the loops are at. Similar to the LM5175 QS</a:t>
          </a:r>
        </a:p>
        <a:p>
          <a:endParaRPr lang="en-US" sz="1100" baseline="0"/>
        </a:p>
        <a:p>
          <a:r>
            <a:rPr lang="en-US" sz="1100" baseline="0"/>
            <a:t>Should also update to the more accurate equation of the DC gain. See Mathcad and Sheehan paper.</a:t>
          </a:r>
          <a:endParaRPr lang="en-US" sz="1100"/>
        </a:p>
      </xdr:txBody>
    </xdr:sp>
    <xdr:clientData/>
  </xdr:twoCellAnchor>
  <xdr:twoCellAnchor>
    <xdr:from>
      <xdr:col>8</xdr:col>
      <xdr:colOff>0</xdr:colOff>
      <xdr:row>52</xdr:row>
      <xdr:rowOff>13855</xdr:rowOff>
    </xdr:from>
    <xdr:to>
      <xdr:col>12</xdr:col>
      <xdr:colOff>83127</xdr:colOff>
      <xdr:row>63</xdr:row>
      <xdr:rowOff>13855</xdr:rowOff>
    </xdr:to>
    <xdr:sp macro="" textlink="">
      <xdr:nvSpPr>
        <xdr:cNvPr id="12" name="TextBox 11">
          <a:extLst>
            <a:ext uri="{FF2B5EF4-FFF2-40B4-BE49-F238E27FC236}">
              <a16:creationId xmlns:a16="http://schemas.microsoft.com/office/drawing/2014/main" id="{00000000-0008-0000-0300-00000C000000}"/>
            </a:ext>
          </a:extLst>
        </xdr:cNvPr>
        <xdr:cNvSpPr txBox="1"/>
      </xdr:nvSpPr>
      <xdr:spPr>
        <a:xfrm>
          <a:off x="6276109" y="8936182"/>
          <a:ext cx="2521527" cy="198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Next</a:t>
          </a:r>
          <a:r>
            <a:rPr lang="en-US" sz="1100" baseline="0"/>
            <a:t> Revision additions</a:t>
          </a:r>
        </a:p>
        <a:p>
          <a:r>
            <a:rPr lang="en-US" sz="1100" baseline="0"/>
            <a:t>- Add the effect of the EA output resistance and capacitance</a:t>
          </a:r>
        </a:p>
      </xdr:txBody>
    </xdr:sp>
    <xdr:clientData/>
  </xdr:twoCellAnchor>
  <xdr:twoCellAnchor>
    <xdr:from>
      <xdr:col>8</xdr:col>
      <xdr:colOff>291694</xdr:colOff>
      <xdr:row>12</xdr:row>
      <xdr:rowOff>113739</xdr:rowOff>
    </xdr:from>
    <xdr:to>
      <xdr:col>12</xdr:col>
      <xdr:colOff>267182</xdr:colOff>
      <xdr:row>20</xdr:row>
      <xdr:rowOff>188419</xdr:rowOff>
    </xdr:to>
    <xdr:sp macro="" textlink="">
      <xdr:nvSpPr>
        <xdr:cNvPr id="13" name="TextBox 12">
          <a:extLst>
            <a:ext uri="{FF2B5EF4-FFF2-40B4-BE49-F238E27FC236}">
              <a16:creationId xmlns:a16="http://schemas.microsoft.com/office/drawing/2014/main" id="{00000000-0008-0000-0300-00000D000000}"/>
            </a:ext>
          </a:extLst>
        </xdr:cNvPr>
        <xdr:cNvSpPr txBox="1"/>
      </xdr:nvSpPr>
      <xdr:spPr>
        <a:xfrm>
          <a:off x="6471038" y="2637864"/>
          <a:ext cx="2571050" cy="1646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Duty Cycle</a:t>
          </a:r>
          <a:r>
            <a:rPr lang="en-US" sz="1100" baseline="0"/>
            <a:t> mode for </a:t>
          </a:r>
          <a:r>
            <a:rPr lang="en-US" sz="1100"/>
            <a:t>Loop Comenstation is fixed to</a:t>
          </a:r>
          <a:r>
            <a:rPr lang="en-US" sz="1100" baseline="0"/>
            <a:t> CCM as it stable in DCM when stable in CCM but if required could be also set to selected mode on variable Management page</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548640</xdr:colOff>
      <xdr:row>8</xdr:row>
      <xdr:rowOff>0</xdr:rowOff>
    </xdr:from>
    <xdr:to>
      <xdr:col>12</xdr:col>
      <xdr:colOff>449580</xdr:colOff>
      <xdr:row>10</xdr:row>
      <xdr:rowOff>123546</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7269480" y="1638300"/>
          <a:ext cx="2948940" cy="489306"/>
        </a:xfrm>
        <a:prstGeom prst="rect">
          <a:avLst/>
        </a:prstGeom>
      </xdr:spPr>
    </xdr:pic>
    <xdr:clientData/>
  </xdr:twoCellAnchor>
  <xdr:twoCellAnchor editAs="oneCell">
    <xdr:from>
      <xdr:col>8</xdr:col>
      <xdr:colOff>7620</xdr:colOff>
      <xdr:row>12</xdr:row>
      <xdr:rowOff>132742</xdr:rowOff>
    </xdr:from>
    <xdr:to>
      <xdr:col>13</xdr:col>
      <xdr:colOff>350520</xdr:colOff>
      <xdr:row>16</xdr:row>
      <xdr:rowOff>76286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7338060" y="2502562"/>
          <a:ext cx="3390900" cy="675064"/>
        </a:xfrm>
        <a:prstGeom prst="rect">
          <a:avLst/>
        </a:prstGeom>
      </xdr:spPr>
    </xdr:pic>
    <xdr:clientData/>
  </xdr:twoCellAnchor>
  <xdr:twoCellAnchor editAs="oneCell">
    <xdr:from>
      <xdr:col>9</xdr:col>
      <xdr:colOff>129540</xdr:colOff>
      <xdr:row>22</xdr:row>
      <xdr:rowOff>0</xdr:rowOff>
    </xdr:from>
    <xdr:to>
      <xdr:col>13</xdr:col>
      <xdr:colOff>76200</xdr:colOff>
      <xdr:row>30</xdr:row>
      <xdr:rowOff>45370</xdr:rowOff>
    </xdr:to>
    <xdr:pic>
      <xdr:nvPicPr>
        <xdr:cNvPr id="4" name="Picture 3">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069580" y="4198620"/>
          <a:ext cx="2385060" cy="1523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0</xdr:colOff>
      <xdr:row>2</xdr:row>
      <xdr:rowOff>0</xdr:rowOff>
    </xdr:from>
    <xdr:to>
      <xdr:col>3</xdr:col>
      <xdr:colOff>9157</xdr:colOff>
      <xdr:row>3</xdr:row>
      <xdr:rowOff>0</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609599</xdr:colOff>
      <xdr:row>1</xdr:row>
      <xdr:rowOff>0</xdr:rowOff>
    </xdr:from>
    <xdr:to>
      <xdr:col>1</xdr:col>
      <xdr:colOff>5057640</xdr:colOff>
      <xdr:row>1</xdr:row>
      <xdr:rowOff>2762250</xdr:rowOff>
    </xdr:to>
    <xdr:pic>
      <xdr:nvPicPr>
        <xdr:cNvPr id="7" name="Picture 6">
          <a:extLst>
            <a:ext uri="{FF2B5EF4-FFF2-40B4-BE49-F238E27FC236}">
              <a16:creationId xmlns:a16="http://schemas.microsoft.com/office/drawing/2014/main" id="{00000000-0008-0000-06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599" y="190500"/>
          <a:ext cx="5057641" cy="2762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609599</xdr:colOff>
      <xdr:row>3</xdr:row>
      <xdr:rowOff>0</xdr:rowOff>
    </xdr:from>
    <xdr:to>
      <xdr:col>1</xdr:col>
      <xdr:colOff>5057640</xdr:colOff>
      <xdr:row>3</xdr:row>
      <xdr:rowOff>2762250</xdr:rowOff>
    </xdr:to>
    <xdr:pic>
      <xdr:nvPicPr>
        <xdr:cNvPr id="8" name="Picture 7">
          <a:extLst>
            <a:ext uri="{FF2B5EF4-FFF2-40B4-BE49-F238E27FC236}">
              <a16:creationId xmlns:a16="http://schemas.microsoft.com/office/drawing/2014/main" id="{00000000-0008-0000-0600-00000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599" y="3771900"/>
          <a:ext cx="5057641" cy="2762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152400</xdr:rowOff>
    </xdr:from>
    <xdr:to>
      <xdr:col>1</xdr:col>
      <xdr:colOff>592455</xdr:colOff>
      <xdr:row>2</xdr:row>
      <xdr:rowOff>93296</xdr:rowOff>
    </xdr:to>
    <xdr:pic>
      <xdr:nvPicPr>
        <xdr:cNvPr id="2" name="Picture 1" descr="ti logo">
          <a:hlinkClick xmlns:r="http://schemas.openxmlformats.org/officeDocument/2006/relationships" r:id="rId1"/>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152400"/>
          <a:ext cx="2314575" cy="2952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200025</xdr:colOff>
      <xdr:row>0</xdr:row>
      <xdr:rowOff>114300</xdr:rowOff>
    </xdr:from>
    <xdr:ext cx="3752850" cy="381708"/>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1914525" y="114300"/>
          <a:ext cx="3752850" cy="3817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600">
              <a:latin typeface="Arial Black" panose="020B0A04020102020204" pitchFamily="34" charset="0"/>
            </a:rPr>
            <a:t>About this tool...</a:t>
          </a:r>
        </a:p>
      </xdr:txBody>
    </xdr:sp>
    <xdr:clientData/>
  </xdr:oneCellAnchor>
  <xdr:oneCellAnchor>
    <xdr:from>
      <xdr:col>3</xdr:col>
      <xdr:colOff>323850</xdr:colOff>
      <xdr:row>1</xdr:row>
      <xdr:rowOff>28575</xdr:rowOff>
    </xdr:from>
    <xdr:ext cx="4719497" cy="254557"/>
    <xdr:sp macro="" textlink="">
      <xdr:nvSpPr>
        <xdr:cNvPr id="4" name="TextBox 3">
          <a:hlinkClick xmlns:r="http://schemas.openxmlformats.org/officeDocument/2006/relationships" r:id="rId3"/>
          <a:extLst>
            <a:ext uri="{FF2B5EF4-FFF2-40B4-BE49-F238E27FC236}">
              <a16:creationId xmlns:a16="http://schemas.microsoft.com/office/drawing/2014/main" id="{00000000-0008-0000-0800-000004000000}"/>
            </a:ext>
          </a:extLst>
        </xdr:cNvPr>
        <xdr:cNvSpPr txBox="1"/>
      </xdr:nvSpPr>
      <xdr:spPr>
        <a:xfrm>
          <a:off x="6419850" y="209550"/>
          <a:ext cx="471949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0" i="0" u="none" strike="noStrike">
              <a:solidFill>
                <a:schemeClr val="tx1"/>
              </a:solidFill>
              <a:effectLst/>
              <a:latin typeface="Arial" panose="020B0604020202020204" pitchFamily="34" charset="0"/>
              <a:ea typeface="+mn-ea"/>
              <a:cs typeface="Arial" panose="020B0604020202020204" pitchFamily="34" charset="0"/>
              <a:hlinkClick xmlns:r="http://schemas.openxmlformats.org/officeDocument/2006/relationships" r:id=""/>
            </a:rPr>
            <a:t>© Copyright 2021</a:t>
          </a:r>
          <a:r>
            <a:rPr lang="en-US" sz="1100" b="0" i="0">
              <a:solidFill>
                <a:schemeClr val="tx1"/>
              </a:solidFill>
              <a:effectLst/>
              <a:latin typeface="Arial" panose="020B0604020202020204" pitchFamily="34" charset="0"/>
              <a:ea typeface="+mn-ea"/>
              <a:cs typeface="Arial" panose="020B0604020202020204" pitchFamily="34" charset="0"/>
            </a:rPr>
            <a:t> Texas Instruments Incorporated. All rights reserved.</a:t>
          </a:r>
          <a:endParaRPr lang="en-US" sz="1100" b="0">
            <a:latin typeface="Arial" panose="020B0604020202020204" pitchFamily="34" charset="0"/>
            <a:cs typeface="Arial" panose="020B0604020202020204" pitchFamily="34" charset="0"/>
          </a:endParaRPr>
        </a:p>
      </xdr:txBody>
    </xdr:sp>
    <xdr:clientData/>
  </xdr:oneCellAnchor>
  <xdr:oneCellAnchor>
    <xdr:from>
      <xdr:col>0</xdr:col>
      <xdr:colOff>95247</xdr:colOff>
      <xdr:row>6</xdr:row>
      <xdr:rowOff>47623</xdr:rowOff>
    </xdr:from>
    <xdr:ext cx="11229977" cy="4086227"/>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95247" y="1114423"/>
          <a:ext cx="11229977" cy="4086227"/>
        </a:xfrm>
        <a:prstGeom prst="rect">
          <a:avLst/>
        </a:prstGeom>
        <a:solidFill>
          <a:schemeClr val="bg1">
            <a:lumMod val="8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00" b="1">
              <a:latin typeface="Arial" panose="020B0604020202020204" pitchFamily="34" charset="0"/>
              <a:cs typeface="Arial" panose="020B0604020202020204" pitchFamily="34" charset="0"/>
            </a:rPr>
            <a:t>LICENSE INFORMATION:</a:t>
          </a:r>
        </a:p>
        <a:p>
          <a:r>
            <a:rPr lang="en-US" sz="900">
              <a:solidFill>
                <a:schemeClr val="tx1"/>
              </a:solidFill>
              <a:effectLst/>
              <a:latin typeface="Arial" panose="020B0604020202020204" pitchFamily="34" charset="0"/>
              <a:ea typeface="+mn-ea"/>
              <a:cs typeface="Arial" panose="020B0604020202020204" pitchFamily="34" charset="0"/>
            </a:rPr>
            <a:t>Copyright (c) 2021 Texas Instruments Incorporated</a:t>
          </a:r>
        </a:p>
        <a:p>
          <a:r>
            <a:rPr lang="en-US" sz="900">
              <a:solidFill>
                <a:schemeClr val="tx1"/>
              </a:solidFill>
              <a:effectLst/>
              <a:latin typeface="Arial" panose="020B0604020202020204" pitchFamily="34" charset="0"/>
              <a:ea typeface="+mn-ea"/>
              <a:cs typeface="Arial" panose="020B0604020202020204" pitchFamily="34" charset="0"/>
            </a:rPr>
            <a:t> </a:t>
          </a:r>
        </a:p>
        <a:p>
          <a:r>
            <a:rPr lang="en-US" sz="900">
              <a:solidFill>
                <a:schemeClr val="tx1"/>
              </a:solidFill>
              <a:effectLst/>
              <a:latin typeface="Arial" panose="020B0604020202020204" pitchFamily="34" charset="0"/>
              <a:ea typeface="+mn-ea"/>
              <a:cs typeface="Arial" panose="020B0604020202020204" pitchFamily="34" charset="0"/>
            </a:rPr>
            <a:t>All rights reserved not granted herein.</a:t>
          </a:r>
        </a:p>
        <a:p>
          <a:r>
            <a:rPr lang="en-US" sz="900">
              <a:solidFill>
                <a:schemeClr val="tx1"/>
              </a:solidFill>
              <a:effectLst/>
              <a:latin typeface="Arial" panose="020B0604020202020204" pitchFamily="34" charset="0"/>
              <a:ea typeface="+mn-ea"/>
              <a:cs typeface="Arial" panose="020B0604020202020204" pitchFamily="34" charset="0"/>
            </a:rPr>
            <a:t> </a:t>
          </a:r>
        </a:p>
        <a:p>
          <a:r>
            <a:rPr lang="en-US" sz="900">
              <a:solidFill>
                <a:schemeClr val="tx1"/>
              </a:solidFill>
              <a:effectLst/>
              <a:latin typeface="Arial" panose="020B0604020202020204" pitchFamily="34" charset="0"/>
              <a:ea typeface="+mn-ea"/>
              <a:cs typeface="Arial" panose="020B0604020202020204" pitchFamily="34" charset="0"/>
            </a:rPr>
            <a:t>Limited License.  </a:t>
          </a:r>
        </a:p>
        <a:p>
          <a:r>
            <a:rPr lang="en-US" sz="900">
              <a:solidFill>
                <a:schemeClr val="tx1"/>
              </a:solidFill>
              <a:effectLst/>
              <a:latin typeface="Arial" panose="020B0604020202020204" pitchFamily="34" charset="0"/>
              <a:ea typeface="+mn-ea"/>
              <a:cs typeface="Arial" panose="020B0604020202020204" pitchFamily="34" charset="0"/>
            </a:rPr>
            <a:t> </a:t>
          </a:r>
        </a:p>
        <a:p>
          <a:r>
            <a:rPr lang="en-US" sz="900">
              <a:solidFill>
                <a:schemeClr val="tx1"/>
              </a:solidFill>
              <a:effectLst/>
              <a:latin typeface="Arial" panose="020B0604020202020204" pitchFamily="34" charset="0"/>
              <a:ea typeface="+mn-ea"/>
              <a:cs typeface="Arial" panose="020B0604020202020204" pitchFamily="34" charset="0"/>
            </a:rPr>
            <a:t>Texas Instruments Incorporated grants a world-wide, royalty-free, non-exclusive license under copyrights and patents it now or hereafter owns or controls to make, have made, use, import, offer to sell and sell ("Utilize") this software subject to the terms herein.  With respect to the foregoing patent license, such license is granted  solely to the extent that any such patent is necessary to Utilize the software alone.  The patent license shall not apply to any combinations which include this software, other than combinations with devices manufactured by or for TI (“TI Devices”).  No hardware patent is licensed hereunder.</a:t>
          </a:r>
        </a:p>
        <a:p>
          <a:r>
            <a:rPr lang="en-US" sz="900">
              <a:solidFill>
                <a:schemeClr val="tx1"/>
              </a:solidFill>
              <a:effectLst/>
              <a:latin typeface="Arial" panose="020B0604020202020204" pitchFamily="34" charset="0"/>
              <a:ea typeface="+mn-ea"/>
              <a:cs typeface="Arial" panose="020B0604020202020204" pitchFamily="34" charset="0"/>
            </a:rPr>
            <a:t> </a:t>
          </a:r>
        </a:p>
        <a:p>
          <a:r>
            <a:rPr lang="en-US" sz="900">
              <a:solidFill>
                <a:schemeClr val="tx1"/>
              </a:solidFill>
              <a:effectLst/>
              <a:latin typeface="Arial" panose="020B0604020202020204" pitchFamily="34" charset="0"/>
              <a:ea typeface="+mn-ea"/>
              <a:cs typeface="Arial" panose="020B0604020202020204" pitchFamily="34" charset="0"/>
            </a:rPr>
            <a:t>Redistributions must preserve existing copyright notices and reproduce this license (including the above copyright notice and the disclaimer and (if applicable) source code license limitations below) in the documentation and/or other materials provided with the distribution</a:t>
          </a:r>
        </a:p>
        <a:p>
          <a:r>
            <a:rPr lang="en-US" sz="900">
              <a:solidFill>
                <a:schemeClr val="tx1"/>
              </a:solidFill>
              <a:effectLst/>
              <a:latin typeface="Arial" panose="020B0604020202020204" pitchFamily="34" charset="0"/>
              <a:ea typeface="+mn-ea"/>
              <a:cs typeface="Arial" panose="020B0604020202020204" pitchFamily="34" charset="0"/>
            </a:rPr>
            <a:t> </a:t>
          </a:r>
        </a:p>
        <a:p>
          <a:r>
            <a:rPr lang="en-US" sz="900">
              <a:solidFill>
                <a:schemeClr val="tx1"/>
              </a:solidFill>
              <a:effectLst/>
              <a:latin typeface="Arial" panose="020B0604020202020204" pitchFamily="34" charset="0"/>
              <a:ea typeface="+mn-ea"/>
              <a:cs typeface="Arial" panose="020B0604020202020204" pitchFamily="34" charset="0"/>
            </a:rPr>
            <a:t>Redistribution and use in binary form, without modification, are permitted provided that the following conditions are met:</a:t>
          </a:r>
        </a:p>
        <a:p>
          <a:r>
            <a:rPr lang="en-US" sz="900">
              <a:solidFill>
                <a:schemeClr val="tx1"/>
              </a:solidFill>
              <a:effectLst/>
              <a:latin typeface="Arial" panose="020B0604020202020204" pitchFamily="34" charset="0"/>
              <a:ea typeface="+mn-ea"/>
              <a:cs typeface="Arial" panose="020B0604020202020204" pitchFamily="34" charset="0"/>
            </a:rPr>
            <a:t>*	No reverse engineering, decompilation, or disassembly of this software is permitted with respect to any software provided in binary form. </a:t>
          </a:r>
        </a:p>
        <a:p>
          <a:r>
            <a:rPr lang="en-US" sz="900">
              <a:solidFill>
                <a:schemeClr val="tx1"/>
              </a:solidFill>
              <a:effectLst/>
              <a:latin typeface="Arial" panose="020B0604020202020204" pitchFamily="34" charset="0"/>
              <a:ea typeface="+mn-ea"/>
              <a:cs typeface="Arial" panose="020B0604020202020204" pitchFamily="34" charset="0"/>
            </a:rPr>
            <a:t>*	Any redistribution and use are licensed by TI for use only with TI Devices.</a:t>
          </a:r>
        </a:p>
        <a:p>
          <a:r>
            <a:rPr lang="en-US" sz="900">
              <a:solidFill>
                <a:schemeClr val="tx1"/>
              </a:solidFill>
              <a:effectLst/>
              <a:latin typeface="Arial" panose="020B0604020202020204" pitchFamily="34" charset="0"/>
              <a:ea typeface="+mn-ea"/>
              <a:cs typeface="Arial" panose="020B0604020202020204" pitchFamily="34" charset="0"/>
            </a:rPr>
            <a:t>*	Nothing shall obligate TI to provide you with source code for the software licensed and provided to you in object code.</a:t>
          </a:r>
        </a:p>
        <a:p>
          <a:r>
            <a:rPr lang="en-US" sz="900">
              <a:solidFill>
                <a:schemeClr val="tx1"/>
              </a:solidFill>
              <a:effectLst/>
              <a:latin typeface="Arial" panose="020B0604020202020204" pitchFamily="34" charset="0"/>
              <a:ea typeface="+mn-ea"/>
              <a:cs typeface="Arial" panose="020B0604020202020204" pitchFamily="34" charset="0"/>
            </a:rPr>
            <a:t> </a:t>
          </a:r>
        </a:p>
        <a:p>
          <a:r>
            <a:rPr lang="en-US" sz="900">
              <a:solidFill>
                <a:schemeClr val="tx1"/>
              </a:solidFill>
              <a:effectLst/>
              <a:latin typeface="Arial" panose="020B0604020202020204" pitchFamily="34" charset="0"/>
              <a:ea typeface="+mn-ea"/>
              <a:cs typeface="Arial" panose="020B0604020202020204" pitchFamily="34" charset="0"/>
            </a:rPr>
            <a:t>If software source code is provided to you, modification and redistribution of the source code are permitted provided that the following conditions are met:</a:t>
          </a:r>
        </a:p>
        <a:p>
          <a:r>
            <a:rPr lang="en-US" sz="900">
              <a:solidFill>
                <a:schemeClr val="tx1"/>
              </a:solidFill>
              <a:effectLst/>
              <a:latin typeface="Arial" panose="020B0604020202020204" pitchFamily="34" charset="0"/>
              <a:ea typeface="+mn-ea"/>
              <a:cs typeface="Arial" panose="020B0604020202020204" pitchFamily="34" charset="0"/>
            </a:rPr>
            <a:t>*	Any redistribution and use of the source code, including any resulting derivative works, are licensed by TI for use only with TI Devices.</a:t>
          </a:r>
        </a:p>
        <a:p>
          <a:r>
            <a:rPr lang="en-US" sz="900">
              <a:solidFill>
                <a:schemeClr val="tx1"/>
              </a:solidFill>
              <a:effectLst/>
              <a:latin typeface="Arial" panose="020B0604020202020204" pitchFamily="34" charset="0"/>
              <a:ea typeface="+mn-ea"/>
              <a:cs typeface="Arial" panose="020B0604020202020204" pitchFamily="34" charset="0"/>
            </a:rPr>
            <a:t>*	Any redistribution and use of any object code compiled from the source code and any resulting derivative works, are licensed by TI for use only with TI Devices.</a:t>
          </a:r>
        </a:p>
        <a:p>
          <a:endParaRPr lang="en-US" sz="900">
            <a:solidFill>
              <a:schemeClr val="tx1"/>
            </a:solidFill>
            <a:effectLst/>
            <a:latin typeface="Arial" panose="020B0604020202020204" pitchFamily="34" charset="0"/>
            <a:ea typeface="+mn-ea"/>
            <a:cs typeface="Arial" panose="020B0604020202020204" pitchFamily="34" charset="0"/>
          </a:endParaRPr>
        </a:p>
        <a:p>
          <a:r>
            <a:rPr lang="en-US" sz="900">
              <a:solidFill>
                <a:schemeClr val="tx1"/>
              </a:solidFill>
              <a:effectLst/>
              <a:latin typeface="Arial" panose="020B0604020202020204" pitchFamily="34" charset="0"/>
              <a:ea typeface="+mn-ea"/>
              <a:cs typeface="Arial" panose="020B0604020202020204" pitchFamily="34" charset="0"/>
            </a:rPr>
            <a:t>Neither the name of Texas Instruments Incorporated nor the names of its suppliers may be used to endorse or promote products derived from this software without specific prior written permission.</a:t>
          </a:r>
          <a:endParaRPr lang="en-US" sz="1000" b="1">
            <a:latin typeface="Arial" panose="020B0604020202020204" pitchFamily="34" charset="0"/>
            <a:cs typeface="Arial" panose="020B0604020202020204" pitchFamily="34"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000" baseline="0">
            <a:latin typeface="Arial" panose="020B0604020202020204" pitchFamily="34" charset="0"/>
            <a:cs typeface="Arial" panose="020B0604020202020204"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000" b="1" baseline="0">
              <a:latin typeface="Arial" panose="020B0604020202020204" pitchFamily="34" charset="0"/>
              <a:cs typeface="Arial" panose="020B0604020202020204" pitchFamily="34" charset="0"/>
            </a:rPr>
            <a:t>DISCLAMER:</a:t>
          </a:r>
        </a:p>
        <a:p>
          <a:pPr marL="0" marR="0" indent="0" defTabSz="914400" eaLnBrk="1" fontAlgn="auto" latinLnBrk="0" hangingPunct="1">
            <a:lnSpc>
              <a:spcPct val="100000"/>
            </a:lnSpc>
            <a:spcBef>
              <a:spcPts val="0"/>
            </a:spcBef>
            <a:spcAft>
              <a:spcPts val="0"/>
            </a:spcAft>
            <a:buClrTx/>
            <a:buSzTx/>
            <a:buFontTx/>
            <a:buNone/>
            <a:tabLst/>
            <a:defRPr/>
          </a:pPr>
          <a:r>
            <a:rPr lang="en-US" sz="800" baseline="0">
              <a:latin typeface="Arial" panose="020B0604020202020204" pitchFamily="34" charset="0"/>
              <a:cs typeface="Arial" panose="020B0604020202020204" pitchFamily="34" charset="0"/>
            </a:rPr>
            <a:t>THIS SOFTWARE IS PROVIDED BY TI AND TI’S LICENSORS "AS IS" AND ANY EXPRESS OR IMPLIED WARRANTIES, INCLUDING, BUT NOT LIMITED TO, THE IMPLIED WARRANTIES OF MERCHANTABILITY AND FITNESS FOR A PARTICULAR PURPOSE ARE DISCLAIMED. IN NO EVENT SHALL TI AND TI’S LICENSORS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a:t>
          </a:r>
        </a:p>
      </xdr:txBody>
    </xdr:sp>
    <xdr:clientData/>
  </xdr:oneCellAnchor>
  <xdr:oneCellAnchor>
    <xdr:from>
      <xdr:col>0</xdr:col>
      <xdr:colOff>95247</xdr:colOff>
      <xdr:row>29</xdr:row>
      <xdr:rowOff>47623</xdr:rowOff>
    </xdr:from>
    <xdr:ext cx="11229977" cy="809627"/>
    <xdr:sp macro="" textlink="">
      <xdr:nvSpPr>
        <xdr:cNvPr id="6" name="TextBox 5">
          <a:extLst>
            <a:ext uri="{FF2B5EF4-FFF2-40B4-BE49-F238E27FC236}">
              <a16:creationId xmlns:a16="http://schemas.microsoft.com/office/drawing/2014/main" id="{00000000-0008-0000-0800-000006000000}"/>
            </a:ext>
          </a:extLst>
        </xdr:cNvPr>
        <xdr:cNvSpPr txBox="1"/>
      </xdr:nvSpPr>
      <xdr:spPr>
        <a:xfrm>
          <a:off x="95247" y="5276848"/>
          <a:ext cx="11229977" cy="809627"/>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chemeClr val="tx1"/>
              </a:solidFill>
              <a:effectLst/>
              <a:latin typeface="+mn-lt"/>
              <a:ea typeface="+mn-ea"/>
              <a:cs typeface="+mn-cs"/>
            </a:rPr>
            <a:t>IMPORTANT</a:t>
          </a:r>
          <a:r>
            <a:rPr lang="en-US" sz="1100" b="1" baseline="0">
              <a:solidFill>
                <a:schemeClr val="tx1"/>
              </a:solidFill>
              <a:effectLst/>
              <a:latin typeface="+mn-lt"/>
              <a:ea typeface="+mn-ea"/>
              <a:cs typeface="+mn-cs"/>
            </a:rPr>
            <a:t>:   </a:t>
          </a:r>
          <a:endParaRPr lang="en-US" sz="800">
            <a:effectLst/>
          </a:endParaRPr>
        </a:p>
        <a:p>
          <a:r>
            <a:rPr lang="en-US" sz="1100" baseline="0">
              <a:solidFill>
                <a:schemeClr val="tx1"/>
              </a:solidFill>
              <a:effectLst/>
              <a:latin typeface="+mn-lt"/>
              <a:ea typeface="+mn-ea"/>
              <a:cs typeface="+mn-cs"/>
            </a:rPr>
            <a:t>1.  Do not delete this worksheet!</a:t>
          </a:r>
          <a:endParaRPr lang="en-US" sz="800">
            <a:effectLst/>
          </a:endParaRPr>
        </a:p>
        <a:p>
          <a:pPr eaLnBrk="1" fontAlgn="auto" latinLnBrk="0" hangingPunct="1"/>
          <a:r>
            <a:rPr lang="en-US" sz="1100" baseline="0">
              <a:solidFill>
                <a:schemeClr val="tx1"/>
              </a:solidFill>
              <a:effectLst/>
              <a:latin typeface="+mn-lt"/>
              <a:ea typeface="+mn-ea"/>
              <a:cs typeface="+mn-cs"/>
            </a:rPr>
            <a:t>2.  Redistributions must retain the above copyright and the following disclaimer.</a:t>
          </a:r>
          <a:endParaRPr lang="en-US" sz="800">
            <a:effectLst/>
          </a:endParaRPr>
        </a:p>
        <a:p>
          <a:endParaRPr lang="en-US" sz="800" baseline="0">
            <a:latin typeface="Arial" panose="020B0604020202020204" pitchFamily="34" charset="0"/>
            <a:cs typeface="Arial" panose="020B0604020202020204" pitchFamily="34" charset="0"/>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0196876/Downloads/ADS1235%20Design%20Calcula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of Contents "/>
      <sheetName val="Common-Mode Range"/>
      <sheetName val="Code Conversions"/>
      <sheetName val="Digital Filter"/>
      <sheetName val="STATUS"/>
      <sheetName val="CRC"/>
      <sheetName val="About"/>
      <sheetName val="Help"/>
    </sheetNames>
    <sheetDataSet>
      <sheetData sheetId="0" refreshError="1"/>
      <sheetData sheetId="1" refreshError="1"/>
      <sheetData sheetId="2" refreshError="1"/>
      <sheetData sheetId="3">
        <row r="84">
          <cell r="T84" t="b">
            <v>0</v>
          </cell>
        </row>
      </sheetData>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image" Target="../media/image3.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A100"/>
  <sheetViews>
    <sheetView tabSelected="1" zoomScaleNormal="100" workbookViewId="0">
      <selection activeCell="H71" sqref="H71"/>
    </sheetView>
  </sheetViews>
  <sheetFormatPr defaultColWidth="8.89453125" defaultRowHeight="14.4" x14ac:dyDescent="0.55000000000000004"/>
  <cols>
    <col min="1" max="5" width="8.89453125" style="57" customWidth="1"/>
    <col min="6" max="6" width="12.68359375" style="57" bestFit="1" customWidth="1"/>
    <col min="7" max="7" width="8.89453125" style="113" customWidth="1"/>
    <col min="8" max="8" width="12" style="57" bestFit="1" customWidth="1"/>
    <col min="9" max="9" width="4.20703125" style="57" bestFit="1" customWidth="1"/>
    <col min="10" max="10" width="4.68359375" style="57" customWidth="1"/>
    <col min="11" max="21" width="8.89453125" style="57" customWidth="1"/>
    <col min="22" max="22" width="7.20703125" style="57" customWidth="1"/>
    <col min="23" max="26" width="8.89453125" style="57" customWidth="1"/>
    <col min="27" max="27" width="1.68359375" style="114" customWidth="1"/>
    <col min="28" max="16384" width="8.89453125" style="57"/>
  </cols>
  <sheetData>
    <row r="1" spans="1:27" ht="46.95" customHeight="1" x14ac:dyDescent="0.55000000000000004">
      <c r="A1" s="53"/>
      <c r="B1" s="53"/>
      <c r="C1" s="53"/>
      <c r="D1" s="53"/>
      <c r="E1" s="54" t="s">
        <v>579</v>
      </c>
      <c r="F1" s="53"/>
      <c r="G1" s="55"/>
      <c r="H1" s="53"/>
      <c r="I1" s="53"/>
      <c r="J1" s="53"/>
      <c r="K1" s="53"/>
      <c r="L1" s="53"/>
      <c r="M1" s="53"/>
      <c r="N1" s="53"/>
      <c r="O1" s="53"/>
      <c r="P1" s="53"/>
      <c r="Q1" s="53"/>
      <c r="R1" s="53"/>
      <c r="S1" s="53"/>
      <c r="T1" s="53"/>
      <c r="U1" s="53"/>
      <c r="V1" s="53"/>
      <c r="W1" s="53"/>
      <c r="X1" s="53"/>
      <c r="Y1" s="53"/>
      <c r="Z1" s="53"/>
      <c r="AA1" s="56"/>
    </row>
    <row r="2" spans="1:27" x14ac:dyDescent="0.55000000000000004">
      <c r="A2" s="58"/>
      <c r="B2" s="58"/>
      <c r="C2" s="58"/>
      <c r="D2" s="58"/>
      <c r="E2" s="58"/>
      <c r="F2" s="58"/>
      <c r="G2" s="59"/>
      <c r="H2" s="58"/>
      <c r="I2" s="58"/>
      <c r="J2" s="58"/>
      <c r="K2" s="58"/>
      <c r="L2" s="58"/>
      <c r="M2" s="58"/>
      <c r="N2" s="58"/>
      <c r="O2" s="58"/>
      <c r="P2" s="58"/>
      <c r="Q2" s="58"/>
      <c r="R2" s="58"/>
      <c r="S2" s="58"/>
      <c r="T2" s="58"/>
      <c r="U2" s="58"/>
      <c r="V2" s="58"/>
      <c r="W2" s="58"/>
      <c r="X2" s="58"/>
      <c r="Y2" s="58"/>
      <c r="Z2" s="58"/>
      <c r="AA2" s="56"/>
    </row>
    <row r="3" spans="1:27" x14ac:dyDescent="0.55000000000000004">
      <c r="A3" s="60" t="s">
        <v>1</v>
      </c>
      <c r="B3" s="58"/>
      <c r="C3" s="58"/>
      <c r="D3" s="58"/>
      <c r="E3" s="61"/>
      <c r="F3" s="62" t="s">
        <v>2</v>
      </c>
      <c r="G3" s="59"/>
      <c r="H3" s="58"/>
      <c r="I3" s="58"/>
      <c r="J3" s="58"/>
      <c r="K3" s="58"/>
      <c r="L3" s="58"/>
      <c r="M3" s="58"/>
      <c r="N3" s="228" t="s">
        <v>0</v>
      </c>
      <c r="O3" s="228"/>
      <c r="P3" s="58"/>
      <c r="Q3" s="58"/>
      <c r="R3" s="58"/>
      <c r="S3" s="58"/>
      <c r="T3" s="58"/>
      <c r="U3" s="58"/>
      <c r="V3" s="58"/>
      <c r="W3" s="58"/>
      <c r="X3" s="58"/>
      <c r="Y3" s="58"/>
      <c r="Z3" s="58"/>
      <c r="AA3" s="56"/>
    </row>
    <row r="4" spans="1:27" s="66" customFormat="1" x14ac:dyDescent="0.55000000000000004">
      <c r="A4" s="63"/>
      <c r="B4" s="63"/>
      <c r="C4" s="63"/>
      <c r="D4" s="63"/>
      <c r="E4" s="63"/>
      <c r="F4" s="63"/>
      <c r="G4" s="64"/>
      <c r="H4" s="63"/>
      <c r="I4" s="63"/>
      <c r="J4" s="63"/>
      <c r="K4" s="63"/>
      <c r="L4" s="63"/>
      <c r="M4" s="63"/>
      <c r="N4" s="63"/>
      <c r="O4" s="63"/>
      <c r="P4" s="63"/>
      <c r="Q4" s="63"/>
      <c r="R4" s="63"/>
      <c r="S4" s="63"/>
      <c r="T4" s="63"/>
      <c r="U4" s="63"/>
      <c r="V4" s="63"/>
      <c r="W4" s="63"/>
      <c r="X4" s="63"/>
      <c r="Y4" s="63"/>
      <c r="Z4" s="63"/>
      <c r="AA4" s="65"/>
    </row>
    <row r="5" spans="1:27" x14ac:dyDescent="0.55000000000000004">
      <c r="A5" s="67"/>
      <c r="B5" s="67"/>
      <c r="C5" s="67"/>
      <c r="D5" s="67"/>
      <c r="E5" s="67"/>
      <c r="F5" s="67"/>
      <c r="G5" s="68"/>
      <c r="H5" s="67"/>
      <c r="I5" s="67"/>
      <c r="J5" s="67"/>
      <c r="K5" s="67"/>
      <c r="L5" s="67"/>
      <c r="M5" s="67"/>
      <c r="N5" s="67" t="s">
        <v>577</v>
      </c>
      <c r="O5" s="69" t="s">
        <v>578</v>
      </c>
      <c r="P5" s="67"/>
      <c r="Q5" s="67"/>
      <c r="R5" s="67"/>
      <c r="S5" s="67"/>
      <c r="T5" s="67"/>
      <c r="U5" s="67"/>
      <c r="V5" s="67"/>
      <c r="W5" s="67"/>
      <c r="X5" s="67"/>
      <c r="Y5" s="67"/>
      <c r="Z5" s="67"/>
      <c r="AA5" s="56"/>
    </row>
    <row r="6" spans="1:27" ht="14.7" thickBot="1" x14ac:dyDescent="0.6">
      <c r="A6" s="70" t="s">
        <v>3</v>
      </c>
      <c r="B6" s="67"/>
      <c r="C6" s="67"/>
      <c r="D6" s="67"/>
      <c r="E6" s="67"/>
      <c r="F6" s="67"/>
      <c r="G6" s="68"/>
      <c r="H6" s="67"/>
      <c r="I6" s="67"/>
      <c r="J6" s="67"/>
      <c r="K6" s="67"/>
      <c r="L6" s="67"/>
      <c r="M6" s="67"/>
      <c r="N6" s="67"/>
      <c r="O6" s="67"/>
      <c r="P6" s="67"/>
      <c r="Q6" s="67"/>
      <c r="R6" s="67"/>
      <c r="S6" s="67"/>
      <c r="T6" s="67"/>
      <c r="U6" s="67"/>
      <c r="V6" s="67"/>
      <c r="W6" s="67"/>
      <c r="X6" s="67"/>
      <c r="Y6" s="67"/>
      <c r="Z6" s="67"/>
      <c r="AA6" s="56"/>
    </row>
    <row r="7" spans="1:27" ht="15" x14ac:dyDescent="0.65">
      <c r="A7" s="71"/>
      <c r="B7" s="72"/>
      <c r="C7" s="72"/>
      <c r="D7" s="72"/>
      <c r="E7" s="72"/>
      <c r="F7" s="72"/>
      <c r="G7" s="73" t="s">
        <v>4</v>
      </c>
      <c r="H7" s="116">
        <v>19.7</v>
      </c>
      <c r="I7" s="74" t="s">
        <v>10</v>
      </c>
      <c r="J7" s="67"/>
      <c r="K7" s="67"/>
      <c r="L7" s="67"/>
      <c r="M7" s="67"/>
      <c r="N7" s="67"/>
      <c r="O7" s="67"/>
      <c r="P7" s="67"/>
      <c r="Q7" s="67"/>
      <c r="R7" s="67"/>
      <c r="S7" s="67"/>
      <c r="T7" s="67"/>
      <c r="U7" s="67"/>
      <c r="V7" s="67"/>
      <c r="W7" s="67"/>
      <c r="X7" s="67"/>
      <c r="Y7" s="67"/>
      <c r="Z7" s="67"/>
      <c r="AA7" s="56"/>
    </row>
    <row r="8" spans="1:27" ht="15" x14ac:dyDescent="0.65">
      <c r="A8" s="75"/>
      <c r="B8" s="67"/>
      <c r="C8" s="67"/>
      <c r="D8" s="67"/>
      <c r="E8" s="67"/>
      <c r="F8" s="67"/>
      <c r="G8" s="76" t="s">
        <v>5</v>
      </c>
      <c r="H8" s="117">
        <v>20</v>
      </c>
      <c r="I8" s="77" t="s">
        <v>10</v>
      </c>
      <c r="J8" s="67"/>
      <c r="K8" s="67"/>
      <c r="L8" s="67"/>
      <c r="M8" s="67"/>
      <c r="N8" s="67"/>
      <c r="O8" s="67"/>
      <c r="P8" s="67"/>
      <c r="Q8" s="67"/>
      <c r="R8" s="67"/>
      <c r="S8" s="67"/>
      <c r="T8" s="67"/>
      <c r="U8" s="67"/>
      <c r="V8" s="67"/>
      <c r="W8" s="67"/>
      <c r="X8" s="67"/>
      <c r="Y8" s="67"/>
      <c r="Z8" s="67"/>
      <c r="AA8" s="56"/>
    </row>
    <row r="9" spans="1:27" ht="15" x14ac:dyDescent="0.65">
      <c r="A9" s="75"/>
      <c r="B9" s="67"/>
      <c r="C9" s="67"/>
      <c r="D9" s="67"/>
      <c r="E9" s="67"/>
      <c r="F9" s="67"/>
      <c r="G9" s="76" t="s">
        <v>6</v>
      </c>
      <c r="H9" s="117">
        <v>20.3</v>
      </c>
      <c r="I9" s="77" t="s">
        <v>10</v>
      </c>
      <c r="J9" s="67"/>
      <c r="K9" s="67"/>
      <c r="L9" s="67"/>
      <c r="M9" s="67"/>
      <c r="N9" s="67"/>
      <c r="O9" s="67"/>
      <c r="P9" s="67"/>
      <c r="Q9" s="67"/>
      <c r="R9" s="67"/>
      <c r="S9" s="67"/>
      <c r="T9" s="67"/>
      <c r="U9" s="67"/>
      <c r="V9" s="67"/>
      <c r="W9" s="67"/>
      <c r="X9" s="67"/>
      <c r="Y9" s="67"/>
      <c r="Z9" s="67"/>
      <c r="AA9" s="56"/>
    </row>
    <row r="10" spans="1:27" ht="15" x14ac:dyDescent="0.65">
      <c r="A10" s="75"/>
      <c r="B10" s="67"/>
      <c r="C10" s="67"/>
      <c r="D10" s="67"/>
      <c r="E10" s="67"/>
      <c r="F10" s="67"/>
      <c r="G10" s="76" t="s">
        <v>540</v>
      </c>
      <c r="H10" s="117">
        <v>210</v>
      </c>
      <c r="I10" s="77" t="s">
        <v>10</v>
      </c>
      <c r="J10" s="67"/>
      <c r="K10" s="67"/>
      <c r="L10" s="67"/>
      <c r="M10" s="67"/>
      <c r="N10" s="67"/>
      <c r="O10" s="67"/>
      <c r="P10" s="67"/>
      <c r="Q10" s="67"/>
      <c r="R10" s="67"/>
      <c r="S10" s="67"/>
      <c r="T10" s="67"/>
      <c r="U10" s="67"/>
      <c r="V10" s="67"/>
      <c r="W10" s="67"/>
      <c r="X10" s="67"/>
      <c r="Y10" s="67"/>
      <c r="Z10" s="67"/>
      <c r="AA10" s="56"/>
    </row>
    <row r="11" spans="1:27" ht="15" x14ac:dyDescent="0.65">
      <c r="A11" s="75"/>
      <c r="B11" s="67"/>
      <c r="C11" s="67"/>
      <c r="D11" s="67"/>
      <c r="E11" s="67"/>
      <c r="F11" s="67"/>
      <c r="G11" s="76" t="s">
        <v>7</v>
      </c>
      <c r="H11" s="117">
        <f>12*((2.5+0.3)*0.001)</f>
        <v>3.3599999999999998E-2</v>
      </c>
      <c r="I11" s="77" t="s">
        <v>11</v>
      </c>
      <c r="J11" s="67"/>
      <c r="K11" s="67"/>
      <c r="L11" s="67"/>
      <c r="M11" s="67"/>
      <c r="N11" s="67"/>
      <c r="O11" s="67"/>
      <c r="P11" s="67"/>
      <c r="Q11" s="67"/>
      <c r="R11" s="67"/>
      <c r="S11" s="67"/>
      <c r="T11" s="67"/>
      <c r="U11" s="67"/>
      <c r="V11" s="67"/>
      <c r="W11" s="67"/>
      <c r="X11" s="67"/>
      <c r="Y11" s="67"/>
      <c r="Z11" s="67"/>
      <c r="AA11" s="56"/>
    </row>
    <row r="12" spans="1:27" ht="15" x14ac:dyDescent="0.65">
      <c r="A12" s="75"/>
      <c r="B12" s="67"/>
      <c r="C12" s="67"/>
      <c r="D12" s="67"/>
      <c r="E12" s="67"/>
      <c r="F12" s="67"/>
      <c r="G12" s="76" t="s">
        <v>8</v>
      </c>
      <c r="H12" s="117">
        <v>47</v>
      </c>
      <c r="I12" s="77" t="s">
        <v>12</v>
      </c>
      <c r="J12" s="67"/>
      <c r="K12" s="67"/>
      <c r="L12" s="67"/>
      <c r="M12" s="67"/>
      <c r="N12" s="67"/>
      <c r="O12" s="67"/>
      <c r="P12" s="67"/>
      <c r="Q12" s="67"/>
      <c r="R12" s="67"/>
      <c r="S12" s="67"/>
      <c r="T12" s="67"/>
      <c r="U12" s="67"/>
      <c r="V12" s="67"/>
      <c r="W12" s="67"/>
      <c r="X12" s="67"/>
      <c r="Y12" s="67"/>
      <c r="Z12" s="67"/>
      <c r="AA12" s="56"/>
    </row>
    <row r="13" spans="1:27" ht="15" x14ac:dyDescent="0.65">
      <c r="A13" s="75"/>
      <c r="B13" s="67"/>
      <c r="C13" s="67"/>
      <c r="D13" s="67"/>
      <c r="E13" s="67"/>
      <c r="F13" s="67"/>
      <c r="G13" s="76" t="s">
        <v>75</v>
      </c>
      <c r="H13" s="118">
        <f>RT/1000</f>
        <v>469.25776595744685</v>
      </c>
      <c r="I13" s="77" t="s">
        <v>76</v>
      </c>
      <c r="J13" s="67"/>
      <c r="K13" s="67"/>
      <c r="L13" s="67"/>
      <c r="M13" s="67"/>
      <c r="N13" s="67"/>
      <c r="O13" s="67"/>
      <c r="P13" s="67"/>
      <c r="Q13" s="67"/>
      <c r="R13" s="67"/>
      <c r="S13" s="67"/>
      <c r="T13" s="67"/>
      <c r="U13" s="67"/>
      <c r="V13" s="67"/>
      <c r="W13" s="67"/>
      <c r="X13" s="67"/>
      <c r="Y13" s="67"/>
      <c r="Z13" s="67"/>
      <c r="AA13" s="56"/>
    </row>
    <row r="14" spans="1:27" x14ac:dyDescent="0.55000000000000004">
      <c r="A14" s="75"/>
      <c r="B14" s="67"/>
      <c r="C14" s="67"/>
      <c r="D14" s="67"/>
      <c r="E14" s="67"/>
      <c r="F14" s="67"/>
      <c r="G14" s="76" t="s">
        <v>9</v>
      </c>
      <c r="H14" s="117">
        <v>90</v>
      </c>
      <c r="I14" s="77" t="s">
        <v>13</v>
      </c>
      <c r="J14" s="67"/>
      <c r="K14" s="67"/>
      <c r="L14" s="67"/>
      <c r="M14" s="67"/>
      <c r="N14" s="67"/>
      <c r="O14" s="67"/>
      <c r="P14" s="67"/>
      <c r="Q14" s="67"/>
      <c r="R14" s="67"/>
      <c r="S14" s="67"/>
      <c r="T14" s="67"/>
      <c r="U14" s="67"/>
      <c r="V14" s="67"/>
      <c r="W14" s="67"/>
      <c r="X14" s="67"/>
      <c r="Y14" s="67"/>
      <c r="Z14" s="67"/>
      <c r="AA14" s="56"/>
    </row>
    <row r="15" spans="1:27" ht="15" x14ac:dyDescent="0.65">
      <c r="A15" s="75"/>
      <c r="B15" s="67"/>
      <c r="C15" s="67"/>
      <c r="D15" s="67"/>
      <c r="E15" s="67"/>
      <c r="F15" s="67"/>
      <c r="G15" s="76" t="s">
        <v>14</v>
      </c>
      <c r="H15" s="119">
        <f>POUT</f>
        <v>7.0559999999999992</v>
      </c>
      <c r="I15" s="77" t="s">
        <v>38</v>
      </c>
      <c r="J15" s="67"/>
      <c r="K15" s="67"/>
      <c r="L15" s="67"/>
      <c r="M15" s="67"/>
      <c r="N15" s="67"/>
      <c r="O15" s="67"/>
      <c r="P15" s="67"/>
      <c r="Q15" s="67"/>
      <c r="R15" s="67"/>
      <c r="S15" s="67"/>
      <c r="T15" s="67"/>
      <c r="U15" s="67"/>
      <c r="V15" s="67"/>
      <c r="W15" s="67"/>
      <c r="X15" s="67"/>
      <c r="Y15" s="67"/>
      <c r="Z15" s="67"/>
      <c r="AA15" s="56"/>
    </row>
    <row r="16" spans="1:27" ht="15" x14ac:dyDescent="0.65">
      <c r="A16" s="78"/>
      <c r="B16" s="79"/>
      <c r="C16" s="79"/>
      <c r="D16" s="79"/>
      <c r="E16" s="79"/>
      <c r="F16" s="67"/>
      <c r="G16" s="80" t="s">
        <v>486</v>
      </c>
      <c r="H16" s="119">
        <f>Dc_max_IC*100</f>
        <v>93</v>
      </c>
      <c r="I16" s="77" t="s">
        <v>13</v>
      </c>
      <c r="J16" s="67"/>
      <c r="K16" s="67"/>
      <c r="L16" s="67"/>
      <c r="M16" s="67"/>
      <c r="N16" s="67"/>
      <c r="O16" s="67"/>
      <c r="P16" s="67"/>
      <c r="Q16" s="67"/>
      <c r="R16" s="67"/>
      <c r="S16" s="67"/>
      <c r="T16" s="67"/>
      <c r="U16" s="67"/>
      <c r="V16" s="67"/>
      <c r="W16" s="67"/>
      <c r="X16" s="67"/>
      <c r="Y16" s="67"/>
      <c r="Z16" s="67"/>
      <c r="AA16" s="56"/>
    </row>
    <row r="17" spans="1:27" ht="14.7" thickBot="1" x14ac:dyDescent="0.6">
      <c r="A17" s="78"/>
      <c r="B17" s="79"/>
      <c r="C17" s="79"/>
      <c r="D17" s="79"/>
      <c r="E17" s="79"/>
      <c r="F17" s="67"/>
      <c r="G17" s="80" t="s">
        <v>518</v>
      </c>
      <c r="H17" s="142">
        <f>Variable_Management!B39*100</f>
        <v>90.61904761904762</v>
      </c>
      <c r="I17" s="77" t="s">
        <v>13</v>
      </c>
      <c r="J17" s="67"/>
      <c r="K17" s="67"/>
      <c r="L17" s="67"/>
      <c r="M17" s="67"/>
      <c r="N17" s="67"/>
      <c r="O17" s="67"/>
      <c r="P17" s="67"/>
      <c r="Q17" s="67"/>
      <c r="R17" s="67"/>
      <c r="S17" s="67"/>
      <c r="T17" s="67"/>
      <c r="U17" s="67"/>
      <c r="V17" s="67"/>
      <c r="W17" s="67"/>
      <c r="X17" s="67"/>
      <c r="Y17" s="67"/>
      <c r="Z17" s="67"/>
      <c r="AA17" s="56"/>
    </row>
    <row r="18" spans="1:27" ht="14.7" thickBot="1" x14ac:dyDescent="0.6">
      <c r="A18" s="81"/>
      <c r="B18" s="82"/>
      <c r="C18" s="82"/>
      <c r="D18" s="82"/>
      <c r="E18" s="82"/>
      <c r="F18" s="83"/>
      <c r="G18" s="84" t="s">
        <v>522</v>
      </c>
      <c r="H18" s="138" t="s">
        <v>495</v>
      </c>
      <c r="I18" s="85"/>
      <c r="J18" s="67"/>
      <c r="K18" s="67"/>
      <c r="L18" s="67"/>
      <c r="M18" s="67"/>
      <c r="N18" s="67"/>
      <c r="O18" s="67"/>
      <c r="P18" s="67"/>
      <c r="Q18" s="67"/>
      <c r="R18" s="67"/>
      <c r="S18" s="67"/>
      <c r="T18" s="67"/>
      <c r="U18" s="67"/>
      <c r="V18" s="67"/>
      <c r="W18" s="67"/>
      <c r="X18" s="67"/>
      <c r="Y18" s="67"/>
      <c r="Z18" s="67"/>
      <c r="AA18" s="56"/>
    </row>
    <row r="19" spans="1:27" x14ac:dyDescent="0.55000000000000004">
      <c r="A19" s="79"/>
      <c r="B19" s="79"/>
      <c r="C19" s="79"/>
      <c r="D19" s="79"/>
      <c r="E19" s="79"/>
      <c r="F19" s="67"/>
      <c r="G19" s="68"/>
      <c r="H19" s="67"/>
      <c r="I19" s="67"/>
      <c r="J19" s="67"/>
      <c r="K19" s="67"/>
      <c r="L19" s="67"/>
      <c r="M19" s="67"/>
      <c r="N19" s="67"/>
      <c r="O19" s="67"/>
      <c r="P19" s="67"/>
      <c r="Q19" s="67"/>
      <c r="R19" s="67"/>
      <c r="S19" s="67"/>
      <c r="T19" s="67"/>
      <c r="U19" s="67"/>
      <c r="V19" s="67"/>
      <c r="W19" s="67"/>
      <c r="X19" s="67"/>
      <c r="Y19" s="67"/>
      <c r="Z19" s="67"/>
      <c r="AA19" s="56"/>
    </row>
    <row r="20" spans="1:27" ht="14.7" thickBot="1" x14ac:dyDescent="0.6">
      <c r="A20" s="70" t="s">
        <v>77</v>
      </c>
      <c r="B20" s="79"/>
      <c r="C20" s="79"/>
      <c r="D20" s="79"/>
      <c r="E20" s="79"/>
      <c r="F20" s="67"/>
      <c r="G20" s="68"/>
      <c r="H20" s="67"/>
      <c r="I20" s="67"/>
      <c r="J20" s="67"/>
      <c r="K20" s="67"/>
      <c r="L20" s="67"/>
      <c r="M20" s="67"/>
      <c r="N20" s="67"/>
      <c r="O20" s="67"/>
      <c r="P20" s="67"/>
      <c r="Q20" s="67"/>
      <c r="R20" s="67"/>
      <c r="S20" s="67"/>
      <c r="T20" s="67"/>
      <c r="U20" s="67"/>
      <c r="V20" s="67"/>
      <c r="W20" s="67"/>
      <c r="X20" s="67"/>
      <c r="Y20" s="67"/>
      <c r="Z20" s="67"/>
      <c r="AA20" s="56"/>
    </row>
    <row r="21" spans="1:27" ht="15" x14ac:dyDescent="0.65">
      <c r="A21" s="86"/>
      <c r="B21" s="87"/>
      <c r="C21" s="87"/>
      <c r="D21" s="87"/>
      <c r="E21" s="87"/>
      <c r="F21" s="72"/>
      <c r="G21" s="73" t="s">
        <v>487</v>
      </c>
      <c r="H21" s="116">
        <v>60</v>
      </c>
      <c r="I21" s="74" t="s">
        <v>13</v>
      </c>
      <c r="J21" s="67"/>
      <c r="K21" s="67"/>
      <c r="L21" s="67"/>
      <c r="M21" s="67"/>
      <c r="N21" s="67"/>
      <c r="O21" s="67"/>
      <c r="P21" s="67"/>
      <c r="Q21" s="67"/>
      <c r="R21" s="67"/>
      <c r="S21" s="67"/>
      <c r="T21" s="67"/>
      <c r="U21" s="67"/>
      <c r="V21" s="67"/>
      <c r="W21" s="67"/>
      <c r="X21" s="67"/>
      <c r="Y21" s="67"/>
      <c r="Z21" s="67"/>
      <c r="AA21" s="56"/>
    </row>
    <row r="22" spans="1:27" ht="15" x14ac:dyDescent="0.65">
      <c r="A22" s="75"/>
      <c r="B22" s="67"/>
      <c r="C22" s="67"/>
      <c r="D22" s="67"/>
      <c r="E22" s="67"/>
      <c r="F22" s="67"/>
      <c r="G22" s="76" t="s">
        <v>459</v>
      </c>
      <c r="H22" s="120">
        <f>IF(H18="CCM",Lopt_2*10^6,L_DCM*10^6)</f>
        <v>683.43676122931481</v>
      </c>
      <c r="I22" s="77" t="s">
        <v>542</v>
      </c>
      <c r="J22" s="67"/>
      <c r="K22" s="67"/>
      <c r="L22" s="67"/>
      <c r="M22" s="67"/>
      <c r="N22" s="67"/>
      <c r="O22" s="67"/>
      <c r="P22" s="67"/>
      <c r="Q22" s="67"/>
      <c r="R22" s="67"/>
      <c r="S22" s="67"/>
      <c r="T22" s="67"/>
      <c r="U22" s="67"/>
      <c r="V22" s="67"/>
      <c r="W22" s="67"/>
      <c r="X22" s="67"/>
      <c r="Y22" s="67"/>
      <c r="Z22" s="67"/>
      <c r="AA22" s="56"/>
    </row>
    <row r="23" spans="1:27" ht="15" x14ac:dyDescent="0.65">
      <c r="A23" s="75"/>
      <c r="B23" s="67"/>
      <c r="C23" s="67"/>
      <c r="D23" s="67"/>
      <c r="E23" s="67"/>
      <c r="F23" s="67"/>
      <c r="G23" s="76" t="s">
        <v>460</v>
      </c>
      <c r="H23" s="117">
        <v>820</v>
      </c>
      <c r="I23" s="77" t="s">
        <v>542</v>
      </c>
      <c r="J23" s="67"/>
      <c r="K23" s="67"/>
      <c r="L23" s="67"/>
      <c r="M23" s="67"/>
      <c r="N23" s="67"/>
      <c r="O23" s="67"/>
      <c r="P23" s="67"/>
      <c r="Q23" s="67"/>
      <c r="R23" s="67"/>
      <c r="S23" s="67"/>
      <c r="T23" s="67"/>
      <c r="U23" s="67"/>
      <c r="V23" s="67"/>
      <c r="W23" s="67"/>
      <c r="X23" s="67"/>
      <c r="Y23" s="67"/>
      <c r="Z23" s="67"/>
      <c r="AA23" s="56"/>
    </row>
    <row r="24" spans="1:27" ht="15" x14ac:dyDescent="0.65">
      <c r="A24" s="75"/>
      <c r="B24" s="67"/>
      <c r="C24" s="67"/>
      <c r="D24" s="67"/>
      <c r="E24" s="67"/>
      <c r="F24" s="67"/>
      <c r="G24" s="76" t="s">
        <v>81</v>
      </c>
      <c r="H24" s="117">
        <v>736</v>
      </c>
      <c r="I24" s="77" t="s">
        <v>105</v>
      </c>
      <c r="J24" s="67"/>
      <c r="K24" s="67"/>
      <c r="L24" s="67"/>
      <c r="M24" s="67"/>
      <c r="N24" s="67"/>
      <c r="O24" s="67"/>
      <c r="P24" s="67"/>
      <c r="Q24" s="67"/>
      <c r="R24" s="67"/>
      <c r="S24" s="67"/>
      <c r="T24" s="67"/>
      <c r="U24" s="67"/>
      <c r="V24" s="67"/>
      <c r="W24" s="67"/>
      <c r="X24" s="67"/>
      <c r="Y24" s="67"/>
      <c r="Z24" s="67"/>
      <c r="AA24" s="56"/>
    </row>
    <row r="25" spans="1:27" ht="15.3" thickBot="1" x14ac:dyDescent="0.7">
      <c r="A25" s="88"/>
      <c r="B25" s="83"/>
      <c r="C25" s="83"/>
      <c r="D25" s="83"/>
      <c r="E25" s="83"/>
      <c r="F25" s="83"/>
      <c r="G25" s="89" t="s">
        <v>106</v>
      </c>
      <c r="H25" s="121">
        <f>ILp_VINmin</f>
        <v>0.62957245416112062</v>
      </c>
      <c r="I25" s="85" t="s">
        <v>11</v>
      </c>
      <c r="J25" s="67"/>
      <c r="K25" s="67"/>
      <c r="L25" s="67"/>
      <c r="M25" s="67"/>
      <c r="N25" s="67"/>
      <c r="O25" s="67"/>
      <c r="P25" s="67"/>
      <c r="Q25" s="67"/>
      <c r="R25" s="67"/>
      <c r="S25" s="67"/>
      <c r="T25" s="67"/>
      <c r="U25" s="67"/>
      <c r="V25" s="67"/>
      <c r="W25" s="67"/>
      <c r="X25" s="67"/>
      <c r="Y25" s="67"/>
      <c r="Z25" s="67"/>
      <c r="AA25" s="56"/>
    </row>
    <row r="26" spans="1:27" x14ac:dyDescent="0.55000000000000004">
      <c r="A26" s="67"/>
      <c r="B26" s="67"/>
      <c r="C26" s="67"/>
      <c r="D26" s="67"/>
      <c r="E26" s="67"/>
      <c r="F26" s="67"/>
      <c r="G26" s="68"/>
      <c r="H26" s="67"/>
      <c r="I26" s="67"/>
      <c r="J26" s="67"/>
      <c r="K26" s="67"/>
      <c r="L26" s="67"/>
      <c r="M26" s="67"/>
      <c r="N26" s="67"/>
      <c r="O26" s="67"/>
      <c r="P26" s="67"/>
      <c r="Q26" s="67"/>
      <c r="R26" s="67"/>
      <c r="S26" s="67"/>
      <c r="T26" s="67"/>
      <c r="U26" s="67"/>
      <c r="V26" s="67"/>
      <c r="W26" s="67"/>
      <c r="X26" s="67"/>
      <c r="Y26" s="67"/>
      <c r="Z26" s="67"/>
      <c r="AA26" s="56"/>
    </row>
    <row r="27" spans="1:27" ht="14.7" thickBot="1" x14ac:dyDescent="0.6">
      <c r="A27" s="70" t="s">
        <v>127</v>
      </c>
      <c r="B27" s="67"/>
      <c r="C27" s="67"/>
      <c r="D27" s="67"/>
      <c r="E27" s="67"/>
      <c r="F27" s="67"/>
      <c r="G27" s="68"/>
      <c r="H27" s="67"/>
      <c r="I27" s="67"/>
      <c r="J27" s="67"/>
      <c r="K27" s="67"/>
      <c r="L27" s="67"/>
      <c r="M27" s="67"/>
      <c r="N27" s="67"/>
      <c r="O27" s="67"/>
      <c r="P27" s="67"/>
      <c r="Q27" s="67"/>
      <c r="R27" s="67"/>
      <c r="S27" s="67"/>
      <c r="T27" s="67"/>
      <c r="U27" s="67"/>
      <c r="V27" s="67"/>
      <c r="W27" s="67"/>
      <c r="X27" s="67"/>
      <c r="Y27" s="67"/>
      <c r="Z27" s="67"/>
      <c r="AA27" s="56"/>
    </row>
    <row r="28" spans="1:27" x14ac:dyDescent="0.55000000000000004">
      <c r="A28" s="71"/>
      <c r="B28" s="72"/>
      <c r="C28" s="72"/>
      <c r="D28" s="72"/>
      <c r="E28" s="72"/>
      <c r="F28" s="72"/>
      <c r="G28" s="73" t="s">
        <v>488</v>
      </c>
      <c r="H28" s="116">
        <v>20</v>
      </c>
      <c r="I28" s="74" t="s">
        <v>13</v>
      </c>
      <c r="J28" s="67"/>
      <c r="K28" s="67"/>
      <c r="L28" s="67"/>
      <c r="M28" s="67"/>
      <c r="N28" s="67"/>
      <c r="O28" s="67"/>
      <c r="P28" s="67"/>
      <c r="Q28" s="67"/>
      <c r="R28" s="67"/>
      <c r="S28" s="67"/>
      <c r="T28" s="67"/>
      <c r="U28" s="67"/>
      <c r="V28" s="67"/>
      <c r="W28" s="67"/>
      <c r="X28" s="67"/>
      <c r="Y28" s="67"/>
      <c r="Z28" s="67"/>
      <c r="AA28" s="56"/>
    </row>
    <row r="29" spans="1:27" ht="16.8" x14ac:dyDescent="0.75">
      <c r="A29" s="75"/>
      <c r="B29" s="67"/>
      <c r="C29" s="67"/>
      <c r="D29" s="67"/>
      <c r="E29" s="67"/>
      <c r="F29" s="67"/>
      <c r="G29" s="68" t="s">
        <v>203</v>
      </c>
      <c r="H29" s="118">
        <f>Ipk_selected</f>
        <v>0.75548694499334468</v>
      </c>
      <c r="I29" s="77" t="s">
        <v>11</v>
      </c>
      <c r="J29" s="67"/>
      <c r="K29" s="67"/>
      <c r="L29" s="67"/>
      <c r="M29" s="67"/>
      <c r="N29" s="67"/>
      <c r="O29" s="67"/>
      <c r="P29" s="67"/>
      <c r="Q29" s="67"/>
      <c r="R29" s="67"/>
      <c r="S29" s="67"/>
      <c r="T29" s="67"/>
      <c r="U29" s="67"/>
      <c r="V29" s="67"/>
      <c r="W29" s="67"/>
      <c r="X29" s="67"/>
      <c r="Y29" s="67"/>
      <c r="Z29" s="67"/>
      <c r="AA29" s="56"/>
    </row>
    <row r="30" spans="1:27" ht="16.8" x14ac:dyDescent="0.75">
      <c r="A30" s="75"/>
      <c r="B30" s="67"/>
      <c r="C30" s="67"/>
      <c r="D30" s="67"/>
      <c r="E30" s="67"/>
      <c r="F30" s="67"/>
      <c r="G30" s="68" t="s">
        <v>493</v>
      </c>
      <c r="H30" s="118">
        <f>Variable_Management!B135*1000</f>
        <v>30.391647648778672</v>
      </c>
      <c r="I30" s="77" t="s">
        <v>105</v>
      </c>
      <c r="J30" s="67"/>
      <c r="K30" s="67"/>
      <c r="L30" s="67"/>
      <c r="M30" s="67"/>
      <c r="N30" s="67"/>
      <c r="O30" s="67"/>
      <c r="P30" s="67"/>
      <c r="Q30" s="67"/>
      <c r="R30" s="67"/>
      <c r="S30" s="67"/>
      <c r="T30" s="67"/>
      <c r="U30" s="67"/>
      <c r="V30" s="67"/>
      <c r="W30" s="67"/>
      <c r="X30" s="67"/>
      <c r="Y30" s="67"/>
      <c r="Z30" s="67"/>
      <c r="AA30" s="56"/>
    </row>
    <row r="31" spans="1:27" ht="16.8" x14ac:dyDescent="0.75">
      <c r="A31" s="75"/>
      <c r="B31" s="67"/>
      <c r="C31" s="67"/>
      <c r="D31" s="67"/>
      <c r="E31" s="67"/>
      <c r="F31" s="67"/>
      <c r="G31" s="68" t="s">
        <v>166</v>
      </c>
      <c r="H31" s="122">
        <f>Variable_Management!B136</f>
        <v>2000</v>
      </c>
      <c r="I31" s="90" t="s">
        <v>36</v>
      </c>
      <c r="J31" s="67"/>
      <c r="K31" s="67"/>
      <c r="L31" s="67"/>
      <c r="M31" s="67"/>
      <c r="N31" s="67"/>
      <c r="O31" s="67"/>
      <c r="P31" s="67"/>
      <c r="Q31" s="67"/>
      <c r="R31" s="67"/>
      <c r="S31" s="67"/>
      <c r="T31" s="67"/>
      <c r="U31" s="67"/>
      <c r="V31" s="67"/>
      <c r="W31" s="67"/>
      <c r="X31" s="67"/>
      <c r="Y31" s="67"/>
      <c r="Z31" s="67"/>
      <c r="AA31" s="56"/>
    </row>
    <row r="32" spans="1:27" ht="16.8" x14ac:dyDescent="0.75">
      <c r="A32" s="75"/>
      <c r="B32" s="67"/>
      <c r="C32" s="67"/>
      <c r="D32" s="67"/>
      <c r="E32" s="67"/>
      <c r="F32" s="67"/>
      <c r="G32" s="68" t="s">
        <v>494</v>
      </c>
      <c r="H32" s="117">
        <v>40</v>
      </c>
      <c r="I32" s="77" t="s">
        <v>105</v>
      </c>
      <c r="J32" s="67"/>
      <c r="K32" s="67"/>
      <c r="L32" s="67"/>
      <c r="M32" s="67"/>
      <c r="N32" s="67"/>
      <c r="O32" s="67"/>
      <c r="P32" s="67"/>
      <c r="Q32" s="67"/>
      <c r="R32" s="67"/>
      <c r="S32" s="67"/>
      <c r="T32" s="67"/>
      <c r="U32" s="67"/>
      <c r="V32" s="67"/>
      <c r="W32" s="67"/>
      <c r="X32" s="67"/>
      <c r="Y32" s="67"/>
      <c r="Z32" s="67"/>
      <c r="AA32" s="56"/>
    </row>
    <row r="33" spans="1:27" ht="16.8" x14ac:dyDescent="0.75">
      <c r="A33" s="75"/>
      <c r="B33" s="67"/>
      <c r="C33" s="67"/>
      <c r="D33" s="67"/>
      <c r="E33" s="67"/>
      <c r="F33" s="67"/>
      <c r="G33" s="68" t="s">
        <v>169</v>
      </c>
      <c r="H33" s="117">
        <v>2000</v>
      </c>
      <c r="I33" s="90" t="s">
        <v>36</v>
      </c>
      <c r="J33" s="67"/>
      <c r="K33" s="67"/>
      <c r="L33" s="67"/>
      <c r="M33" s="67"/>
      <c r="N33" s="67"/>
      <c r="O33" s="67"/>
      <c r="P33" s="67"/>
      <c r="Q33" s="67"/>
      <c r="R33" s="67"/>
      <c r="S33" s="67"/>
      <c r="T33" s="67"/>
      <c r="U33" s="67"/>
      <c r="V33" s="67"/>
      <c r="W33" s="67"/>
      <c r="X33" s="67"/>
      <c r="Y33" s="67"/>
      <c r="Z33" s="67"/>
      <c r="AA33" s="56"/>
    </row>
    <row r="34" spans="1:27" x14ac:dyDescent="0.55000000000000004">
      <c r="A34" s="75"/>
      <c r="B34" s="67"/>
      <c r="C34" s="67"/>
      <c r="D34" s="67"/>
      <c r="E34" s="67"/>
      <c r="F34" s="67"/>
      <c r="G34" s="68" t="s">
        <v>173</v>
      </c>
      <c r="H34" s="118">
        <f>IL_pk_max</f>
        <v>1.1450000000000002</v>
      </c>
      <c r="I34" s="90" t="s">
        <v>11</v>
      </c>
      <c r="J34" s="67"/>
      <c r="K34" s="67"/>
      <c r="L34" s="67"/>
      <c r="M34" s="67"/>
      <c r="N34" s="67"/>
      <c r="O34" s="67"/>
      <c r="P34" s="67"/>
      <c r="Q34" s="67"/>
      <c r="R34" s="67"/>
      <c r="S34" s="67"/>
      <c r="T34" s="67"/>
      <c r="U34" s="67"/>
      <c r="V34" s="67"/>
      <c r="W34" s="67"/>
      <c r="X34" s="67"/>
      <c r="Y34" s="67"/>
      <c r="Z34" s="67"/>
      <c r="AA34" s="56"/>
    </row>
    <row r="35" spans="1:27" ht="14.7" thickBot="1" x14ac:dyDescent="0.6">
      <c r="A35" s="88"/>
      <c r="B35" s="83"/>
      <c r="C35" s="83"/>
      <c r="D35" s="83"/>
      <c r="E35" s="83"/>
      <c r="F35" s="83"/>
      <c r="G35" s="91" t="s">
        <v>191</v>
      </c>
      <c r="H35" s="123">
        <f>Variable_Management!B145</f>
        <v>1.3167500000000001</v>
      </c>
      <c r="I35" s="92" t="s">
        <v>11</v>
      </c>
      <c r="J35" s="67"/>
      <c r="K35" s="67"/>
      <c r="L35" s="67"/>
      <c r="M35" s="67"/>
      <c r="N35" s="67"/>
      <c r="O35" s="67"/>
      <c r="P35" s="67"/>
      <c r="Q35" s="67"/>
      <c r="R35" s="67"/>
      <c r="S35" s="67"/>
      <c r="T35" s="67"/>
      <c r="U35" s="67"/>
      <c r="V35" s="67"/>
      <c r="W35" s="67"/>
      <c r="X35" s="67"/>
      <c r="Y35" s="67"/>
      <c r="Z35" s="67"/>
      <c r="AA35" s="56"/>
    </row>
    <row r="36" spans="1:27" x14ac:dyDescent="0.55000000000000004">
      <c r="A36" s="67"/>
      <c r="B36" s="67"/>
      <c r="C36" s="67"/>
      <c r="D36" s="67"/>
      <c r="E36" s="67"/>
      <c r="F36" s="67"/>
      <c r="G36" s="68"/>
      <c r="H36" s="67"/>
      <c r="I36" s="67"/>
      <c r="J36" s="67"/>
      <c r="K36" s="67"/>
      <c r="L36" s="67"/>
      <c r="M36" s="67"/>
      <c r="N36" s="67"/>
      <c r="O36" s="67"/>
      <c r="P36" s="67"/>
      <c r="Q36" s="67"/>
      <c r="R36" s="67"/>
      <c r="S36" s="67"/>
      <c r="T36" s="67"/>
      <c r="U36" s="67"/>
      <c r="V36" s="67"/>
      <c r="W36" s="67"/>
      <c r="X36" s="67"/>
      <c r="Y36" s="67"/>
      <c r="Z36" s="67"/>
      <c r="AA36" s="56"/>
    </row>
    <row r="37" spans="1:27" ht="14.7" thickBot="1" x14ac:dyDescent="0.6">
      <c r="A37" s="70" t="s">
        <v>185</v>
      </c>
      <c r="B37" s="67"/>
      <c r="C37" s="67"/>
      <c r="D37" s="67"/>
      <c r="E37" s="67"/>
      <c r="F37" s="67"/>
      <c r="G37" s="68"/>
      <c r="H37" s="67"/>
      <c r="I37" s="67"/>
      <c r="J37" s="67"/>
      <c r="K37" s="67"/>
      <c r="L37" s="67"/>
      <c r="M37" s="67"/>
      <c r="N37" s="67"/>
      <c r="O37" s="67"/>
      <c r="P37" s="67"/>
      <c r="Q37" s="67"/>
      <c r="R37" s="67"/>
      <c r="S37" s="67"/>
      <c r="T37" s="67"/>
      <c r="U37" s="67"/>
      <c r="V37" s="67"/>
      <c r="W37" s="67"/>
      <c r="X37" s="67"/>
      <c r="Y37" s="67"/>
      <c r="Z37" s="67"/>
      <c r="AA37" s="56"/>
    </row>
    <row r="38" spans="1:27" ht="16.8" x14ac:dyDescent="0.75">
      <c r="A38" s="71"/>
      <c r="B38" s="72"/>
      <c r="C38" s="72"/>
      <c r="D38" s="72"/>
      <c r="E38" s="72"/>
      <c r="F38" s="72"/>
      <c r="G38" s="93" t="s">
        <v>541</v>
      </c>
      <c r="H38" s="116">
        <v>65</v>
      </c>
      <c r="I38" s="74" t="s">
        <v>186</v>
      </c>
      <c r="J38" s="67"/>
      <c r="K38" s="67"/>
      <c r="L38" s="67"/>
      <c r="M38" s="67"/>
      <c r="N38" s="67"/>
      <c r="O38" s="67"/>
      <c r="P38" s="67"/>
      <c r="Q38" s="67"/>
      <c r="R38" s="67"/>
      <c r="S38" s="67"/>
      <c r="T38" s="67"/>
      <c r="U38" s="67"/>
      <c r="V38" s="67"/>
      <c r="W38" s="67"/>
      <c r="X38" s="67"/>
      <c r="Y38" s="67"/>
      <c r="Z38" s="67"/>
      <c r="AA38" s="56"/>
    </row>
    <row r="39" spans="1:27" x14ac:dyDescent="0.55000000000000004">
      <c r="A39" s="75"/>
      <c r="B39" s="67"/>
      <c r="C39" s="67"/>
      <c r="D39" s="67"/>
      <c r="E39" s="67"/>
      <c r="F39" s="67"/>
      <c r="G39" s="68" t="s">
        <v>187</v>
      </c>
      <c r="H39" s="143">
        <f>Cout_min*10^6</f>
        <v>9.966612111292962</v>
      </c>
      <c r="I39" s="77" t="s">
        <v>543</v>
      </c>
      <c r="J39" s="67"/>
      <c r="K39" s="67"/>
      <c r="L39" s="67"/>
      <c r="M39" s="67"/>
      <c r="N39" s="67"/>
      <c r="O39" s="67"/>
      <c r="P39" s="67"/>
      <c r="Q39" s="67"/>
      <c r="R39" s="67"/>
      <c r="S39" s="67"/>
      <c r="T39" s="67"/>
      <c r="U39" s="67"/>
      <c r="V39" s="67"/>
      <c r="W39" s="67"/>
      <c r="X39" s="67"/>
      <c r="Y39" s="67"/>
      <c r="Z39" s="67"/>
      <c r="AA39" s="56"/>
    </row>
    <row r="40" spans="1:27" ht="16.8" x14ac:dyDescent="0.75">
      <c r="A40" s="75"/>
      <c r="B40" s="67"/>
      <c r="C40" s="67"/>
      <c r="D40" s="67"/>
      <c r="E40" s="67"/>
      <c r="F40" s="67"/>
      <c r="G40" s="68" t="s">
        <v>195</v>
      </c>
      <c r="H40" s="118">
        <f>IRMS_COUT</f>
        <v>0.13272107846579184</v>
      </c>
      <c r="I40" s="77" t="s">
        <v>11</v>
      </c>
      <c r="J40" s="67"/>
      <c r="K40" s="67"/>
      <c r="L40" s="67"/>
      <c r="M40" s="67"/>
      <c r="N40" s="67"/>
      <c r="O40" s="67"/>
      <c r="P40" s="67"/>
      <c r="Q40" s="67"/>
      <c r="R40" s="67"/>
      <c r="S40" s="67"/>
      <c r="T40" s="67"/>
      <c r="U40" s="67"/>
      <c r="V40" s="67"/>
      <c r="W40" s="67"/>
      <c r="X40" s="67"/>
      <c r="Y40" s="67"/>
      <c r="Z40" s="67"/>
      <c r="AA40" s="56"/>
    </row>
    <row r="41" spans="1:27" ht="16.8" x14ac:dyDescent="0.75">
      <c r="A41" s="75"/>
      <c r="B41" s="67"/>
      <c r="C41" s="67"/>
      <c r="D41" s="67"/>
      <c r="E41" s="67"/>
      <c r="F41" s="67"/>
      <c r="G41" s="68" t="s">
        <v>188</v>
      </c>
      <c r="H41" s="117">
        <v>10</v>
      </c>
      <c r="I41" s="77" t="s">
        <v>543</v>
      </c>
      <c r="J41" s="67"/>
      <c r="K41" s="67"/>
      <c r="L41" s="67"/>
      <c r="M41" s="67"/>
      <c r="N41" s="67"/>
      <c r="O41" s="67"/>
      <c r="P41" s="67"/>
      <c r="Q41" s="67"/>
      <c r="R41" s="67"/>
      <c r="S41" s="67"/>
      <c r="T41" s="67"/>
      <c r="U41" s="67"/>
      <c r="V41" s="67"/>
      <c r="W41" s="67"/>
      <c r="X41" s="67"/>
      <c r="Y41" s="67"/>
      <c r="Z41" s="67"/>
      <c r="AA41" s="56"/>
    </row>
    <row r="42" spans="1:27" ht="17.100000000000001" thickBot="1" x14ac:dyDescent="0.8">
      <c r="A42" s="88"/>
      <c r="B42" s="83"/>
      <c r="C42" s="83"/>
      <c r="D42" s="83"/>
      <c r="E42" s="83"/>
      <c r="F42" s="83"/>
      <c r="G42" s="91" t="s">
        <v>198</v>
      </c>
      <c r="H42" s="124">
        <v>2</v>
      </c>
      <c r="I42" s="85" t="s">
        <v>105</v>
      </c>
      <c r="J42" s="67"/>
      <c r="K42" s="67"/>
      <c r="L42" s="67"/>
      <c r="M42" s="67"/>
      <c r="N42" s="67"/>
      <c r="O42" s="67"/>
      <c r="P42" s="67"/>
      <c r="Q42" s="67"/>
      <c r="R42" s="67"/>
      <c r="S42" s="67"/>
      <c r="T42" s="67"/>
      <c r="U42" s="67"/>
      <c r="V42" s="67"/>
      <c r="W42" s="67"/>
      <c r="X42" s="67"/>
      <c r="Y42" s="67"/>
      <c r="Z42" s="67"/>
      <c r="AA42" s="56"/>
    </row>
    <row r="43" spans="1:27" x14ac:dyDescent="0.55000000000000004">
      <c r="A43" s="67"/>
      <c r="B43" s="67"/>
      <c r="C43" s="67"/>
      <c r="D43" s="67"/>
      <c r="E43" s="67"/>
      <c r="F43" s="67"/>
      <c r="G43" s="68"/>
      <c r="H43" s="67"/>
      <c r="I43" s="67"/>
      <c r="J43" s="67"/>
      <c r="K43" s="67"/>
      <c r="L43" s="67"/>
      <c r="M43" s="67"/>
      <c r="N43" s="67"/>
      <c r="O43" s="67"/>
      <c r="P43" s="67"/>
      <c r="Q43" s="67"/>
      <c r="R43" s="67"/>
      <c r="S43" s="67"/>
      <c r="T43" s="67"/>
      <c r="U43" s="67"/>
      <c r="V43" s="67"/>
      <c r="W43" s="67"/>
      <c r="X43" s="67"/>
      <c r="Y43" s="67"/>
      <c r="Z43" s="67"/>
      <c r="AA43" s="56"/>
    </row>
    <row r="44" spans="1:27" ht="14.7" thickBot="1" x14ac:dyDescent="0.6">
      <c r="A44" s="70" t="s">
        <v>319</v>
      </c>
      <c r="B44" s="67"/>
      <c r="C44" s="67"/>
      <c r="D44" s="67"/>
      <c r="E44" s="67"/>
      <c r="F44" s="67"/>
      <c r="G44" s="68"/>
      <c r="H44" s="67"/>
      <c r="I44" s="67"/>
      <c r="J44" s="67"/>
      <c r="K44" s="67"/>
      <c r="L44" s="67"/>
      <c r="M44" s="67"/>
      <c r="N44" s="67"/>
      <c r="O44" s="67"/>
      <c r="P44" s="67"/>
      <c r="Q44" s="67"/>
      <c r="R44" s="67"/>
      <c r="S44" s="67"/>
      <c r="T44" s="67"/>
      <c r="U44" s="67"/>
      <c r="V44" s="67"/>
      <c r="W44" s="67"/>
      <c r="X44" s="67"/>
      <c r="Y44" s="67"/>
      <c r="Z44" s="67"/>
      <c r="AA44" s="56"/>
    </row>
    <row r="45" spans="1:27" ht="16.8" x14ac:dyDescent="0.75">
      <c r="A45" s="71"/>
      <c r="B45" s="72"/>
      <c r="C45" s="72"/>
      <c r="D45" s="72"/>
      <c r="E45" s="72"/>
      <c r="F45" s="72"/>
      <c r="G45" s="93" t="s">
        <v>342</v>
      </c>
      <c r="H45" s="126">
        <f>Variable_Management!B161*(10^9)</f>
        <v>625</v>
      </c>
      <c r="I45" s="74" t="s">
        <v>218</v>
      </c>
      <c r="J45" s="67"/>
      <c r="K45" s="67"/>
      <c r="L45" s="67"/>
      <c r="M45" s="67"/>
      <c r="N45" s="67"/>
      <c r="O45" s="67"/>
      <c r="P45" s="67"/>
      <c r="Q45" s="67"/>
      <c r="R45" s="67"/>
      <c r="S45" s="67"/>
      <c r="T45" s="67"/>
      <c r="U45" s="67"/>
      <c r="V45" s="67"/>
      <c r="W45" s="67"/>
      <c r="X45" s="67"/>
      <c r="Y45" s="67"/>
      <c r="Z45" s="67"/>
      <c r="AA45" s="56"/>
    </row>
    <row r="46" spans="1:27" ht="16.8" x14ac:dyDescent="0.75">
      <c r="A46" s="75"/>
      <c r="B46" s="67"/>
      <c r="C46" s="67"/>
      <c r="D46" s="67"/>
      <c r="E46" s="67"/>
      <c r="F46" s="67"/>
      <c r="G46" s="68" t="s">
        <v>529</v>
      </c>
      <c r="H46" s="117">
        <v>91</v>
      </c>
      <c r="I46" s="77" t="s">
        <v>343</v>
      </c>
      <c r="J46" s="67"/>
      <c r="K46" s="67"/>
      <c r="L46" s="67"/>
      <c r="M46" s="67"/>
      <c r="N46" s="67"/>
      <c r="O46" s="67"/>
      <c r="P46" s="67"/>
      <c r="Q46" s="67"/>
      <c r="R46" s="67"/>
      <c r="S46" s="67"/>
      <c r="T46" s="67"/>
      <c r="U46" s="67"/>
      <c r="V46" s="67"/>
      <c r="W46" s="67"/>
      <c r="X46" s="67"/>
      <c r="Y46" s="67"/>
      <c r="Z46" s="67"/>
      <c r="AA46" s="56"/>
    </row>
    <row r="47" spans="1:27" ht="17.100000000000001" thickBot="1" x14ac:dyDescent="0.8">
      <c r="A47" s="88"/>
      <c r="B47" s="83"/>
      <c r="C47" s="83"/>
      <c r="D47" s="83"/>
      <c r="E47" s="83"/>
      <c r="F47" s="83"/>
      <c r="G47" s="91" t="s">
        <v>346</v>
      </c>
      <c r="H47" s="127">
        <f>Variable_Management!B163*(10^9)</f>
        <v>1004.203888596952</v>
      </c>
      <c r="I47" s="85" t="s">
        <v>218</v>
      </c>
      <c r="J47" s="67"/>
      <c r="K47" s="67"/>
      <c r="L47" s="67"/>
      <c r="M47" s="67"/>
      <c r="N47" s="67"/>
      <c r="O47" s="67"/>
      <c r="P47" s="67"/>
      <c r="Q47" s="67"/>
      <c r="R47" s="67"/>
      <c r="S47" s="67"/>
      <c r="T47" s="67"/>
      <c r="U47" s="67"/>
      <c r="V47" s="67"/>
      <c r="W47" s="67"/>
      <c r="X47" s="67"/>
      <c r="Y47" s="67"/>
      <c r="Z47" s="67"/>
      <c r="AA47" s="56"/>
    </row>
    <row r="48" spans="1:27" x14ac:dyDescent="0.55000000000000004">
      <c r="A48" s="67"/>
      <c r="B48" s="67"/>
      <c r="C48" s="67"/>
      <c r="D48" s="67"/>
      <c r="E48" s="67"/>
      <c r="F48" s="67"/>
      <c r="G48" s="68"/>
      <c r="H48" s="67"/>
      <c r="I48" s="67"/>
      <c r="J48" s="67"/>
      <c r="K48" s="67"/>
      <c r="L48" s="67"/>
      <c r="M48" s="67"/>
      <c r="N48" s="67"/>
      <c r="O48" s="67"/>
      <c r="P48" s="67"/>
      <c r="Q48" s="67"/>
      <c r="R48" s="67"/>
      <c r="S48" s="67"/>
      <c r="T48" s="67"/>
      <c r="U48" s="67"/>
      <c r="V48" s="67"/>
      <c r="W48" s="67"/>
      <c r="X48" s="67"/>
      <c r="Y48" s="67"/>
      <c r="Z48" s="67"/>
      <c r="AA48" s="56"/>
    </row>
    <row r="49" spans="1:27" ht="14.7" thickBot="1" x14ac:dyDescent="0.6">
      <c r="A49" s="70" t="s">
        <v>320</v>
      </c>
      <c r="B49" s="67"/>
      <c r="C49" s="67"/>
      <c r="D49" s="67"/>
      <c r="E49" s="67"/>
      <c r="F49" s="67"/>
      <c r="G49" s="68"/>
      <c r="H49" s="67"/>
      <c r="I49" s="67"/>
      <c r="J49" s="67"/>
      <c r="K49" s="67"/>
      <c r="L49" s="67"/>
      <c r="M49" s="67"/>
      <c r="N49" s="67"/>
      <c r="O49" s="67"/>
      <c r="P49" s="67"/>
      <c r="Q49" s="67"/>
      <c r="R49" s="67"/>
      <c r="S49" s="67"/>
      <c r="T49" s="67"/>
      <c r="U49" s="67"/>
      <c r="V49" s="67"/>
      <c r="W49" s="67"/>
      <c r="X49" s="67"/>
      <c r="Y49" s="67"/>
      <c r="Z49" s="67"/>
      <c r="AA49" s="56"/>
    </row>
    <row r="50" spans="1:27" ht="16.8" x14ac:dyDescent="0.75">
      <c r="A50" s="71"/>
      <c r="B50" s="72"/>
      <c r="C50" s="72"/>
      <c r="D50" s="72"/>
      <c r="E50" s="72"/>
      <c r="F50" s="72"/>
      <c r="G50" s="93" t="s">
        <v>348</v>
      </c>
      <c r="H50" s="116">
        <v>20.5</v>
      </c>
      <c r="I50" s="74" t="s">
        <v>10</v>
      </c>
      <c r="J50" s="67"/>
      <c r="K50" s="67"/>
      <c r="L50" s="67"/>
      <c r="M50" s="67"/>
      <c r="N50" s="67"/>
      <c r="O50" s="67"/>
      <c r="P50" s="67"/>
      <c r="Q50" s="67"/>
      <c r="R50" s="67"/>
      <c r="S50" s="67"/>
      <c r="T50" s="67"/>
      <c r="U50" s="67"/>
      <c r="V50" s="67"/>
      <c r="W50" s="67"/>
      <c r="X50" s="67"/>
      <c r="Y50" s="67"/>
      <c r="Z50" s="67"/>
      <c r="AA50" s="56"/>
    </row>
    <row r="51" spans="1:27" ht="16.8" x14ac:dyDescent="0.75">
      <c r="A51" s="75"/>
      <c r="B51" s="67"/>
      <c r="C51" s="67"/>
      <c r="D51" s="67"/>
      <c r="E51" s="67"/>
      <c r="F51" s="67"/>
      <c r="G51" s="68" t="s">
        <v>347</v>
      </c>
      <c r="H51" s="117">
        <v>19.3</v>
      </c>
      <c r="I51" s="77" t="s">
        <v>10</v>
      </c>
      <c r="J51" s="67"/>
      <c r="K51" s="67"/>
      <c r="L51" s="67"/>
      <c r="M51" s="67"/>
      <c r="N51" s="67"/>
      <c r="O51" s="67"/>
      <c r="P51" s="67"/>
      <c r="Q51" s="115">
        <f>VIN_min</f>
        <v>19.7</v>
      </c>
      <c r="R51" s="67"/>
      <c r="S51" s="67"/>
      <c r="T51" s="67"/>
      <c r="U51" s="67"/>
      <c r="V51" s="67"/>
      <c r="W51" s="67"/>
      <c r="X51" s="67"/>
      <c r="Y51" s="67"/>
      <c r="Z51" s="67"/>
      <c r="AA51" s="56"/>
    </row>
    <row r="52" spans="1:27" ht="16.8" x14ac:dyDescent="0.75">
      <c r="A52" s="75"/>
      <c r="B52" s="67"/>
      <c r="C52" s="67"/>
      <c r="D52" s="67"/>
      <c r="E52" s="67"/>
      <c r="F52" s="67"/>
      <c r="G52" s="68" t="s">
        <v>463</v>
      </c>
      <c r="H52" s="125">
        <f>Ruvlo_top_calc/1000</f>
        <v>104.6999999999997</v>
      </c>
      <c r="I52" s="90" t="s">
        <v>215</v>
      </c>
      <c r="J52" s="67"/>
      <c r="K52" s="67"/>
      <c r="L52" s="67"/>
      <c r="M52" s="67"/>
      <c r="N52" s="67"/>
      <c r="O52" s="67"/>
      <c r="P52" s="67"/>
      <c r="Q52" s="67"/>
      <c r="R52" s="67"/>
      <c r="S52" s="67"/>
      <c r="T52" s="67"/>
      <c r="U52" s="67"/>
      <c r="V52" s="67"/>
      <c r="W52" s="67"/>
      <c r="X52" s="67"/>
      <c r="Y52" s="67"/>
      <c r="Z52" s="67"/>
      <c r="AA52" s="56"/>
    </row>
    <row r="53" spans="1:27" ht="16.8" x14ac:dyDescent="0.75">
      <c r="A53" s="75"/>
      <c r="B53" s="67"/>
      <c r="C53" s="67"/>
      <c r="D53" s="67"/>
      <c r="E53" s="67"/>
      <c r="F53" s="67"/>
      <c r="G53" s="68" t="s">
        <v>464</v>
      </c>
      <c r="H53" s="117">
        <v>100</v>
      </c>
      <c r="I53" s="90" t="s">
        <v>215</v>
      </c>
      <c r="J53" s="67"/>
      <c r="K53" s="67"/>
      <c r="L53" s="67"/>
      <c r="M53" s="67"/>
      <c r="N53" s="67"/>
      <c r="O53" s="67"/>
      <c r="P53" s="67"/>
      <c r="Q53" s="67"/>
      <c r="R53" s="67"/>
      <c r="S53" s="67"/>
      <c r="T53" s="67"/>
      <c r="U53" s="67"/>
      <c r="V53" s="67"/>
      <c r="W53" s="67"/>
      <c r="X53" s="67"/>
      <c r="Y53" s="67"/>
      <c r="Z53" s="67"/>
      <c r="AA53" s="56"/>
    </row>
    <row r="54" spans="1:27" ht="17.100000000000001" thickBot="1" x14ac:dyDescent="0.8">
      <c r="A54" s="88"/>
      <c r="B54" s="83"/>
      <c r="C54" s="83"/>
      <c r="D54" s="83"/>
      <c r="E54" s="83"/>
      <c r="F54" s="83"/>
      <c r="G54" s="91" t="s">
        <v>465</v>
      </c>
      <c r="H54" s="219">
        <f>IF(Ruvlo_bottom_calc/1000=0,"NA",Ruvlo_bottom_calc/1000)</f>
        <v>7.8947368421052637</v>
      </c>
      <c r="I54" s="92" t="s">
        <v>215</v>
      </c>
      <c r="J54" s="67"/>
      <c r="K54" s="67"/>
      <c r="L54" s="67"/>
      <c r="M54" s="67"/>
      <c r="N54" s="67"/>
      <c r="O54" s="67"/>
      <c r="P54" s="67"/>
      <c r="Q54" s="67"/>
      <c r="R54" s="67"/>
      <c r="S54" s="67"/>
      <c r="T54" s="67"/>
      <c r="U54" s="67"/>
      <c r="V54" s="67"/>
      <c r="W54" s="67"/>
      <c r="X54" s="67"/>
      <c r="Y54" s="67"/>
      <c r="Z54" s="67"/>
      <c r="AA54" s="56"/>
    </row>
    <row r="55" spans="1:27" x14ac:dyDescent="0.55000000000000004">
      <c r="A55" s="67"/>
      <c r="B55" s="67"/>
      <c r="C55" s="67"/>
      <c r="D55" s="67"/>
      <c r="E55" s="67"/>
      <c r="F55" s="67"/>
      <c r="G55" s="68"/>
      <c r="H55" s="67"/>
      <c r="I55" s="67"/>
      <c r="J55" s="67"/>
      <c r="K55" s="67"/>
      <c r="L55" s="67"/>
      <c r="M55" s="67"/>
      <c r="N55" s="67"/>
      <c r="O55" s="67"/>
      <c r="P55" s="67"/>
      <c r="Q55" s="67"/>
      <c r="R55" s="67"/>
      <c r="S55" s="67"/>
      <c r="T55" s="67"/>
      <c r="U55" s="67"/>
      <c r="V55" s="67"/>
      <c r="W55" s="67"/>
      <c r="X55" s="67"/>
      <c r="Y55" s="67"/>
      <c r="Z55" s="67"/>
      <c r="AA55" s="56"/>
    </row>
    <row r="56" spans="1:27" ht="14.7" thickBot="1" x14ac:dyDescent="0.6">
      <c r="A56" s="70" t="s">
        <v>371</v>
      </c>
      <c r="B56" s="67"/>
      <c r="C56" s="67"/>
      <c r="D56" s="67"/>
      <c r="E56" s="67"/>
      <c r="F56" s="67"/>
      <c r="G56" s="67"/>
      <c r="H56" s="67"/>
      <c r="I56" s="67"/>
      <c r="J56" s="67"/>
      <c r="K56" s="67"/>
      <c r="L56" s="67"/>
      <c r="M56" s="67"/>
      <c r="N56" s="67"/>
      <c r="O56" s="67"/>
      <c r="P56" s="67"/>
      <c r="Q56" s="67"/>
      <c r="R56" s="67"/>
      <c r="S56" s="67"/>
      <c r="T56" s="67"/>
      <c r="U56" s="67"/>
      <c r="V56" s="67"/>
      <c r="W56" s="67"/>
      <c r="X56" s="67"/>
      <c r="Y56" s="67"/>
      <c r="Z56" s="67"/>
      <c r="AA56" s="56"/>
    </row>
    <row r="57" spans="1:27" ht="16.8" x14ac:dyDescent="0.75">
      <c r="A57" s="94"/>
      <c r="B57" s="72"/>
      <c r="C57" s="72"/>
      <c r="D57" s="72"/>
      <c r="E57" s="72"/>
      <c r="F57" s="72"/>
      <c r="G57" s="95" t="s">
        <v>489</v>
      </c>
      <c r="H57" s="128" t="str">
        <f>VIN_nom&amp;"V"</f>
        <v>20V</v>
      </c>
      <c r="I57" s="74"/>
      <c r="J57" s="67"/>
      <c r="K57" s="67"/>
      <c r="L57" s="67"/>
      <c r="M57" s="67"/>
      <c r="N57" s="67"/>
      <c r="O57" s="67"/>
      <c r="P57" s="67"/>
      <c r="Q57" s="67"/>
      <c r="R57" s="67"/>
      <c r="S57" s="67"/>
      <c r="T57" s="67"/>
      <c r="U57" s="67"/>
      <c r="V57" s="67"/>
      <c r="W57" s="67"/>
      <c r="X57" s="67"/>
      <c r="Y57" s="67"/>
      <c r="Z57" s="67"/>
      <c r="AA57" s="56"/>
    </row>
    <row r="58" spans="1:27" x14ac:dyDescent="0.55000000000000004">
      <c r="A58" s="75"/>
      <c r="B58" s="67"/>
      <c r="C58" s="67"/>
      <c r="D58" s="67"/>
      <c r="E58" s="67"/>
      <c r="F58" s="67"/>
      <c r="G58" s="67"/>
      <c r="H58" s="129"/>
      <c r="I58" s="77"/>
      <c r="J58" s="67"/>
      <c r="K58" s="67"/>
      <c r="L58" s="67"/>
      <c r="M58" s="67"/>
      <c r="N58" s="67"/>
      <c r="O58" s="67"/>
      <c r="P58" s="67"/>
      <c r="Q58" s="67"/>
      <c r="R58" s="67"/>
      <c r="S58" s="67"/>
      <c r="T58" s="67"/>
      <c r="U58" s="67"/>
      <c r="V58" s="67"/>
      <c r="W58" s="67"/>
      <c r="X58" s="67"/>
      <c r="Y58" s="67"/>
      <c r="Z58" s="67"/>
      <c r="AA58" s="56"/>
    </row>
    <row r="59" spans="1:27" x14ac:dyDescent="0.55000000000000004">
      <c r="A59" s="96"/>
      <c r="B59" s="67"/>
      <c r="C59" s="67"/>
      <c r="D59" s="67"/>
      <c r="E59" s="67"/>
      <c r="F59" s="67"/>
      <c r="G59" s="97" t="s">
        <v>216</v>
      </c>
      <c r="H59" s="119"/>
      <c r="I59" s="77"/>
      <c r="J59" s="67"/>
      <c r="K59" s="67"/>
      <c r="L59" s="67"/>
      <c r="M59" s="67"/>
      <c r="N59" s="67"/>
      <c r="O59" s="67"/>
      <c r="P59" s="67"/>
      <c r="Q59" s="67"/>
      <c r="R59" s="67"/>
      <c r="S59" s="67"/>
      <c r="T59" s="67"/>
      <c r="U59" s="67"/>
      <c r="V59" s="67"/>
      <c r="W59" s="67"/>
      <c r="X59" s="67"/>
      <c r="Y59" s="67"/>
      <c r="Z59" s="67"/>
      <c r="AA59" s="56"/>
    </row>
    <row r="60" spans="1:27" ht="16.8" x14ac:dyDescent="0.75">
      <c r="A60" s="96"/>
      <c r="B60" s="67"/>
      <c r="C60" s="67"/>
      <c r="D60" s="67"/>
      <c r="E60" s="67"/>
      <c r="F60" s="67"/>
      <c r="G60" s="68" t="s">
        <v>318</v>
      </c>
      <c r="H60" s="117">
        <v>100</v>
      </c>
      <c r="I60" s="90" t="s">
        <v>215</v>
      </c>
      <c r="J60" s="67"/>
      <c r="K60" s="67"/>
      <c r="L60" s="67"/>
      <c r="M60" s="67"/>
      <c r="N60" s="67"/>
      <c r="O60" s="67"/>
      <c r="P60" s="67"/>
      <c r="Q60" s="67"/>
      <c r="R60" s="67"/>
      <c r="S60" s="67"/>
      <c r="T60" s="67"/>
      <c r="U60" s="67"/>
      <c r="V60" s="67"/>
      <c r="W60" s="67"/>
      <c r="X60" s="67"/>
      <c r="Y60" s="67"/>
      <c r="Z60" s="67"/>
      <c r="AA60" s="56"/>
    </row>
    <row r="61" spans="1:27" ht="16.8" x14ac:dyDescent="0.75">
      <c r="A61" s="96"/>
      <c r="B61" s="67"/>
      <c r="C61" s="67"/>
      <c r="D61" s="67"/>
      <c r="E61" s="67"/>
      <c r="F61" s="67"/>
      <c r="G61" s="68" t="s">
        <v>294</v>
      </c>
      <c r="H61" s="125">
        <f>RFBB_calc/1000</f>
        <v>0.4784688995215311</v>
      </c>
      <c r="I61" s="90" t="s">
        <v>215</v>
      </c>
      <c r="J61" s="67"/>
      <c r="K61" s="67"/>
      <c r="L61" s="67"/>
      <c r="M61" s="67"/>
      <c r="N61" s="67"/>
      <c r="O61" s="67"/>
      <c r="P61" s="67"/>
      <c r="Q61" s="67"/>
      <c r="R61" s="67"/>
      <c r="S61" s="67"/>
      <c r="T61" s="67"/>
      <c r="U61" s="67"/>
      <c r="V61" s="67"/>
      <c r="W61" s="67"/>
      <c r="X61" s="67"/>
      <c r="Y61" s="67"/>
      <c r="Z61" s="67"/>
      <c r="AA61" s="56"/>
    </row>
    <row r="62" spans="1:27" ht="16.8" x14ac:dyDescent="0.75">
      <c r="A62" s="96"/>
      <c r="B62" s="67"/>
      <c r="C62" s="67"/>
      <c r="D62" s="67"/>
      <c r="E62" s="67"/>
      <c r="F62" s="67"/>
      <c r="G62" s="68" t="s">
        <v>530</v>
      </c>
      <c r="H62" s="117">
        <v>0.5</v>
      </c>
      <c r="I62" s="90" t="s">
        <v>215</v>
      </c>
      <c r="J62" s="67"/>
      <c r="K62" s="67"/>
      <c r="L62" s="67"/>
      <c r="M62" s="67"/>
      <c r="N62" s="67"/>
      <c r="O62" s="67"/>
      <c r="P62" s="67"/>
      <c r="Q62" s="67"/>
      <c r="R62" s="67"/>
      <c r="S62" s="67"/>
      <c r="T62" s="67"/>
      <c r="U62" s="67"/>
      <c r="V62" s="67"/>
      <c r="W62" s="67"/>
      <c r="X62" s="67"/>
      <c r="Y62" s="67"/>
      <c r="Z62" s="67"/>
      <c r="AA62" s="56"/>
    </row>
    <row r="63" spans="1:27" x14ac:dyDescent="0.55000000000000004">
      <c r="A63" s="75"/>
      <c r="B63" s="67"/>
      <c r="C63" s="67"/>
      <c r="D63" s="67"/>
      <c r="E63" s="67"/>
      <c r="F63" s="67"/>
      <c r="G63" s="68"/>
      <c r="H63" s="119"/>
      <c r="I63" s="77"/>
      <c r="J63" s="67"/>
      <c r="K63" s="67"/>
      <c r="L63" s="67"/>
      <c r="M63" s="67"/>
      <c r="N63" s="67"/>
      <c r="O63" s="67"/>
      <c r="P63" s="67"/>
      <c r="Q63" s="67"/>
      <c r="R63" s="67"/>
      <c r="S63" s="67"/>
      <c r="T63" s="67"/>
      <c r="U63" s="67"/>
      <c r="V63" s="67"/>
      <c r="W63" s="67"/>
      <c r="X63" s="67"/>
      <c r="Y63" s="67"/>
      <c r="Z63" s="67"/>
      <c r="AA63" s="56"/>
    </row>
    <row r="64" spans="1:27" x14ac:dyDescent="0.55000000000000004">
      <c r="A64" s="75"/>
      <c r="B64" s="67"/>
      <c r="C64" s="67"/>
      <c r="D64" s="67"/>
      <c r="E64" s="67"/>
      <c r="F64" s="67"/>
      <c r="G64" s="68"/>
      <c r="H64" s="119"/>
      <c r="I64" s="77"/>
      <c r="J64" s="67"/>
      <c r="K64" s="67"/>
      <c r="L64" s="67"/>
      <c r="M64" s="67"/>
      <c r="N64" s="67"/>
      <c r="O64" s="67"/>
      <c r="P64" s="67"/>
      <c r="Q64" s="67"/>
      <c r="R64" s="67"/>
      <c r="S64" s="67"/>
      <c r="T64" s="67"/>
      <c r="U64" s="67"/>
      <c r="V64" s="67"/>
      <c r="W64" s="67"/>
      <c r="X64" s="67"/>
      <c r="Y64" s="67"/>
      <c r="Z64" s="67"/>
      <c r="AA64" s="56"/>
    </row>
    <row r="65" spans="1:27" x14ac:dyDescent="0.55000000000000004">
      <c r="A65" s="75"/>
      <c r="B65" s="67"/>
      <c r="C65" s="67"/>
      <c r="D65" s="67"/>
      <c r="E65" s="67"/>
      <c r="F65" s="67"/>
      <c r="G65" s="68" t="s">
        <v>550</v>
      </c>
      <c r="H65" s="220">
        <f>fcross_est/1000</f>
        <v>2.1350603487270354</v>
      </c>
      <c r="I65" s="77" t="s">
        <v>12</v>
      </c>
      <c r="J65" s="67"/>
      <c r="K65" s="67"/>
      <c r="L65" s="67"/>
      <c r="M65" s="67"/>
      <c r="N65" s="67"/>
      <c r="O65" s="67"/>
      <c r="P65" s="67"/>
      <c r="Q65" s="67"/>
      <c r="R65" s="67"/>
      <c r="S65" s="67"/>
      <c r="T65" s="67"/>
      <c r="U65" s="67"/>
      <c r="V65" s="67"/>
      <c r="W65" s="67"/>
      <c r="X65" s="67"/>
      <c r="Y65" s="67"/>
      <c r="Z65" s="67"/>
      <c r="AA65" s="56"/>
    </row>
    <row r="66" spans="1:27" ht="16.8" x14ac:dyDescent="0.75">
      <c r="A66" s="75"/>
      <c r="B66" s="67"/>
      <c r="C66" s="67"/>
      <c r="D66" s="67"/>
      <c r="E66" s="67"/>
      <c r="F66" s="67"/>
      <c r="G66" s="68" t="s">
        <v>551</v>
      </c>
      <c r="H66" s="117">
        <v>0.55000000000000004</v>
      </c>
      <c r="I66" s="77" t="s">
        <v>12</v>
      </c>
      <c r="J66" s="67"/>
      <c r="K66" s="67"/>
      <c r="L66" s="67"/>
      <c r="M66" s="67"/>
      <c r="N66" s="67"/>
      <c r="O66" s="67"/>
      <c r="P66" s="67"/>
      <c r="Q66" s="67"/>
      <c r="R66" s="67"/>
      <c r="S66" s="67"/>
      <c r="T66" s="67"/>
      <c r="U66" s="67"/>
      <c r="V66" s="67"/>
      <c r="W66" s="67"/>
      <c r="X66" s="67"/>
      <c r="Y66" s="67"/>
      <c r="Z66" s="67"/>
      <c r="AA66" s="56"/>
    </row>
    <row r="67" spans="1:27" x14ac:dyDescent="0.55000000000000004">
      <c r="A67" s="75"/>
      <c r="B67" s="67"/>
      <c r="C67" s="67"/>
      <c r="D67" s="67"/>
      <c r="E67" s="67"/>
      <c r="F67" s="67"/>
      <c r="G67" s="68"/>
      <c r="H67" s="119"/>
      <c r="I67" s="77"/>
      <c r="J67" s="67"/>
      <c r="K67" s="67"/>
      <c r="L67" s="67" t="str">
        <f>Loop_Modeling!A68</f>
        <v>Crossover Frequency = 0.5 kHz</v>
      </c>
      <c r="M67" s="67"/>
      <c r="N67" s="67"/>
      <c r="O67" s="67"/>
      <c r="P67" s="67"/>
      <c r="Q67" s="67"/>
      <c r="R67" s="67"/>
      <c r="S67" s="67"/>
      <c r="T67" s="67"/>
      <c r="U67" s="67"/>
      <c r="V67" s="67"/>
      <c r="W67" s="67"/>
      <c r="X67" s="67"/>
      <c r="Y67" s="67"/>
      <c r="Z67" s="67"/>
      <c r="AA67" s="56"/>
    </row>
    <row r="68" spans="1:27" ht="14.7" thickBot="1" x14ac:dyDescent="0.6">
      <c r="A68" s="75"/>
      <c r="B68" s="67"/>
      <c r="C68" s="67"/>
      <c r="D68" s="67"/>
      <c r="E68" s="67"/>
      <c r="F68" s="99" t="s">
        <v>323</v>
      </c>
      <c r="G68" s="99"/>
      <c r="H68" s="130" t="s">
        <v>324</v>
      </c>
      <c r="I68" s="100"/>
      <c r="J68" s="67"/>
      <c r="K68" s="67"/>
      <c r="L68" s="67" t="str">
        <f>Loop_Modeling!A69</f>
        <v>Phase Margin = 84°</v>
      </c>
      <c r="M68" s="67"/>
      <c r="N68" s="67"/>
      <c r="O68" s="67"/>
      <c r="P68" s="67"/>
      <c r="Q68" s="67"/>
      <c r="R68" s="67"/>
      <c r="S68" s="67"/>
      <c r="T68" s="67"/>
      <c r="U68" s="67"/>
      <c r="V68" s="67"/>
      <c r="W68" s="67"/>
      <c r="X68" s="67"/>
      <c r="Y68" s="67"/>
      <c r="Z68" s="67"/>
      <c r="AA68" s="56"/>
    </row>
    <row r="69" spans="1:27" ht="17.100000000000001" thickBot="1" x14ac:dyDescent="0.8">
      <c r="A69" s="75"/>
      <c r="B69" s="67"/>
      <c r="C69" s="67"/>
      <c r="D69" s="67"/>
      <c r="E69" s="68" t="s">
        <v>322</v>
      </c>
      <c r="F69" s="141">
        <f>Rcomp_calc/1000</f>
        <v>10.194410980996022</v>
      </c>
      <c r="G69" s="135" t="s">
        <v>215</v>
      </c>
      <c r="H69" s="132">
        <v>10</v>
      </c>
      <c r="I69" s="90" t="s">
        <v>215</v>
      </c>
      <c r="J69" s="67"/>
      <c r="K69" s="67"/>
      <c r="L69" s="67"/>
      <c r="M69" s="67"/>
      <c r="N69" s="67"/>
      <c r="O69" s="67"/>
      <c r="P69" s="67"/>
      <c r="Q69" s="67"/>
      <c r="R69" s="67"/>
      <c r="S69" s="67"/>
      <c r="T69" s="67"/>
      <c r="U69" s="67"/>
      <c r="V69" s="67"/>
      <c r="W69" s="67"/>
      <c r="X69" s="67"/>
      <c r="Y69" s="67"/>
      <c r="Z69" s="67"/>
      <c r="AA69" s="56"/>
    </row>
    <row r="70" spans="1:27" ht="17.100000000000001" thickBot="1" x14ac:dyDescent="0.8">
      <c r="A70" s="75"/>
      <c r="B70" s="67"/>
      <c r="C70" s="67"/>
      <c r="D70" s="67"/>
      <c r="E70" s="68" t="s">
        <v>448</v>
      </c>
      <c r="F70" s="133">
        <f>CComp_calc*(10^9)</f>
        <v>294.97933621909692</v>
      </c>
      <c r="G70" s="135" t="s">
        <v>218</v>
      </c>
      <c r="H70" s="132">
        <v>1000</v>
      </c>
      <c r="I70" s="77" t="s">
        <v>218</v>
      </c>
      <c r="J70" s="67"/>
      <c r="K70" s="67"/>
      <c r="L70" s="67"/>
      <c r="M70" s="67"/>
      <c r="N70" s="67"/>
      <c r="O70" s="67"/>
      <c r="P70" s="67"/>
      <c r="Q70" s="67"/>
      <c r="R70" s="67"/>
      <c r="S70" s="67"/>
      <c r="T70" s="67"/>
      <c r="U70" s="67"/>
      <c r="V70" s="67"/>
      <c r="W70" s="67"/>
      <c r="X70" s="67"/>
      <c r="Y70" s="67"/>
      <c r="Z70" s="67"/>
      <c r="AA70" s="56"/>
    </row>
    <row r="71" spans="1:27" ht="17.100000000000001" thickBot="1" x14ac:dyDescent="0.8">
      <c r="A71" s="88"/>
      <c r="B71" s="83"/>
      <c r="C71" s="83"/>
      <c r="D71" s="83"/>
      <c r="E71" s="91" t="s">
        <v>449</v>
      </c>
      <c r="F71" s="131">
        <f>Variable_Management!B231*(10^12)</f>
        <v>1469.7258096793855</v>
      </c>
      <c r="G71" s="136" t="s">
        <v>217</v>
      </c>
      <c r="H71" s="124">
        <v>1000</v>
      </c>
      <c r="I71" s="85" t="s">
        <v>217</v>
      </c>
      <c r="J71" s="67"/>
      <c r="K71" s="67"/>
      <c r="L71" s="67"/>
      <c r="M71" s="67"/>
      <c r="N71" s="67"/>
      <c r="O71" s="67"/>
      <c r="P71" s="67"/>
      <c r="Q71" s="67"/>
      <c r="R71" s="67"/>
      <c r="S71" s="67"/>
      <c r="T71" s="67"/>
      <c r="U71" s="67"/>
      <c r="V71" s="67"/>
      <c r="W71" s="67"/>
      <c r="X71" s="67"/>
      <c r="Y71" s="67"/>
      <c r="Z71" s="67"/>
      <c r="AA71" s="56"/>
    </row>
    <row r="72" spans="1:27" x14ac:dyDescent="0.55000000000000004">
      <c r="A72" s="67"/>
      <c r="B72" s="67"/>
      <c r="C72" s="67"/>
      <c r="D72" s="67"/>
      <c r="E72" s="68"/>
      <c r="F72" s="101"/>
      <c r="G72" s="68"/>
      <c r="H72" s="98"/>
      <c r="I72" s="67"/>
      <c r="J72" s="67"/>
      <c r="K72" s="67"/>
      <c r="L72" s="67"/>
      <c r="M72" s="67"/>
      <c r="N72" s="67"/>
      <c r="O72" s="67"/>
      <c r="P72" s="67"/>
      <c r="Q72" s="67"/>
      <c r="R72" s="67"/>
      <c r="S72" s="67"/>
      <c r="T72" s="67"/>
      <c r="U72" s="67"/>
      <c r="V72" s="67"/>
      <c r="W72" s="67"/>
      <c r="X72" s="67"/>
      <c r="Y72" s="67"/>
      <c r="Z72" s="67"/>
      <c r="AA72" s="56"/>
    </row>
    <row r="73" spans="1:27" ht="23.1" x14ac:dyDescent="0.85">
      <c r="A73" s="102" t="s">
        <v>321</v>
      </c>
      <c r="B73" s="103"/>
      <c r="C73" s="103"/>
      <c r="D73" s="103"/>
      <c r="E73" s="103"/>
      <c r="F73" s="103"/>
      <c r="G73" s="104"/>
      <c r="H73" s="103"/>
      <c r="I73" s="103"/>
      <c r="J73" s="103"/>
      <c r="K73" s="103"/>
      <c r="L73" s="103"/>
      <c r="M73" s="103"/>
      <c r="N73" s="103"/>
      <c r="O73" s="103"/>
      <c r="P73" s="103"/>
      <c r="Q73" s="103"/>
      <c r="R73" s="103"/>
      <c r="S73" s="103"/>
      <c r="T73" s="105"/>
      <c r="U73" s="105"/>
      <c r="V73" s="105"/>
      <c r="W73" s="105"/>
      <c r="X73" s="105"/>
      <c r="Y73" s="105"/>
      <c r="Z73" s="105"/>
    </row>
    <row r="74" spans="1:27" x14ac:dyDescent="0.55000000000000004">
      <c r="A74" s="67"/>
      <c r="B74" s="67"/>
      <c r="C74" s="67"/>
      <c r="D74" s="67"/>
      <c r="E74" s="67"/>
      <c r="F74" s="67"/>
      <c r="G74" s="67"/>
      <c r="H74" s="67"/>
      <c r="I74" s="67"/>
      <c r="J74" s="67"/>
      <c r="K74" s="67"/>
      <c r="L74" s="67"/>
      <c r="M74" s="67"/>
      <c r="N74" s="67"/>
      <c r="O74" s="67"/>
      <c r="P74" s="67"/>
      <c r="Q74" s="67"/>
      <c r="R74" s="67"/>
      <c r="S74" s="67"/>
      <c r="T74" s="67"/>
      <c r="U74" s="67"/>
      <c r="V74" s="67"/>
      <c r="W74" s="67"/>
      <c r="X74" s="67"/>
      <c r="Y74" s="67"/>
      <c r="Z74" s="67"/>
      <c r="AA74" s="56"/>
    </row>
    <row r="75" spans="1:27" ht="14.7" thickBot="1" x14ac:dyDescent="0.6">
      <c r="A75" s="106" t="s">
        <v>399</v>
      </c>
      <c r="B75" s="67"/>
      <c r="C75" s="67"/>
      <c r="D75" s="67"/>
      <c r="E75" s="67"/>
      <c r="F75" s="67"/>
      <c r="G75" s="67"/>
      <c r="H75" s="67"/>
      <c r="I75" s="67"/>
      <c r="J75" s="67"/>
      <c r="K75" s="67"/>
      <c r="L75" s="67"/>
      <c r="M75" s="67"/>
      <c r="N75" s="67"/>
      <c r="O75" s="67"/>
      <c r="P75" s="67"/>
      <c r="Q75" s="67"/>
      <c r="R75" s="67"/>
      <c r="S75" s="67"/>
      <c r="T75" s="67"/>
      <c r="U75" s="67"/>
      <c r="V75" s="67"/>
      <c r="W75" s="67"/>
      <c r="X75" s="67"/>
      <c r="Y75" s="67"/>
      <c r="Z75" s="67"/>
      <c r="AA75" s="56"/>
    </row>
    <row r="76" spans="1:27" ht="14.7" x14ac:dyDescent="0.6">
      <c r="A76" s="71"/>
      <c r="B76" s="72"/>
      <c r="C76" s="72"/>
      <c r="D76" s="72"/>
      <c r="E76" s="72"/>
      <c r="F76" s="72"/>
      <c r="G76" s="107" t="s">
        <v>387</v>
      </c>
      <c r="H76" s="116">
        <v>4.9000000000000004</v>
      </c>
      <c r="I76" s="108" t="s">
        <v>394</v>
      </c>
      <c r="J76" s="98"/>
      <c r="K76" s="98"/>
      <c r="L76" s="98"/>
      <c r="M76" s="98"/>
      <c r="N76" s="98"/>
      <c r="O76" s="98"/>
      <c r="P76" s="98"/>
      <c r="Q76" s="98"/>
      <c r="R76" s="98"/>
      <c r="S76" s="98"/>
      <c r="T76" s="98"/>
      <c r="U76" s="98"/>
      <c r="V76" s="98"/>
      <c r="W76" s="98"/>
      <c r="X76" s="98"/>
      <c r="Y76" s="98"/>
      <c r="Z76" s="98"/>
      <c r="AA76" s="56"/>
    </row>
    <row r="77" spans="1:27" ht="14.7" x14ac:dyDescent="0.6">
      <c r="A77" s="96"/>
      <c r="B77" s="67"/>
      <c r="C77" s="67"/>
      <c r="D77" s="67"/>
      <c r="E77" s="67"/>
      <c r="F77" s="67"/>
      <c r="G77" s="109" t="s">
        <v>388</v>
      </c>
      <c r="H77" s="117">
        <v>4.5</v>
      </c>
      <c r="I77" s="110" t="s">
        <v>395</v>
      </c>
      <c r="J77" s="98"/>
      <c r="K77" s="98"/>
      <c r="L77" s="98"/>
      <c r="M77" s="98"/>
      <c r="N77" s="98"/>
      <c r="O77" s="98"/>
      <c r="P77" s="98"/>
      <c r="Q77" s="98"/>
      <c r="R77" s="98"/>
      <c r="S77" s="98"/>
      <c r="T77" s="98"/>
      <c r="U77" s="98"/>
      <c r="V77" s="98"/>
      <c r="W77" s="98"/>
      <c r="X77" s="98"/>
      <c r="Y77" s="98"/>
      <c r="Z77" s="98"/>
      <c r="AA77" s="56"/>
    </row>
    <row r="78" spans="1:27" ht="14.7" x14ac:dyDescent="0.6">
      <c r="A78" s="96"/>
      <c r="B78" s="67"/>
      <c r="C78" s="67"/>
      <c r="D78" s="67"/>
      <c r="E78" s="67"/>
      <c r="F78" s="67"/>
      <c r="G78" s="109" t="s">
        <v>389</v>
      </c>
      <c r="H78" s="117">
        <v>2</v>
      </c>
      <c r="I78" s="110" t="s">
        <v>395</v>
      </c>
      <c r="J78" s="98"/>
      <c r="K78" s="98"/>
      <c r="L78" s="98"/>
      <c r="M78" s="98"/>
      <c r="N78" s="98"/>
      <c r="O78" s="98"/>
      <c r="P78" s="98"/>
      <c r="Q78" s="98"/>
      <c r="R78" s="98"/>
      <c r="S78" s="98"/>
      <c r="T78" s="98"/>
      <c r="U78" s="98"/>
      <c r="V78" s="98"/>
      <c r="W78" s="98"/>
      <c r="X78" s="98"/>
      <c r="Y78" s="98"/>
      <c r="Z78" s="98"/>
      <c r="AA78" s="56"/>
    </row>
    <row r="79" spans="1:27" ht="14.7" x14ac:dyDescent="0.6">
      <c r="A79" s="75"/>
      <c r="B79" s="67"/>
      <c r="C79" s="67"/>
      <c r="D79" s="67"/>
      <c r="E79" s="67"/>
      <c r="F79" s="67"/>
      <c r="G79" s="109" t="s">
        <v>390</v>
      </c>
      <c r="H79" s="117">
        <v>0.2</v>
      </c>
      <c r="I79" s="110" t="s">
        <v>395</v>
      </c>
      <c r="J79" s="98"/>
      <c r="K79" s="98"/>
      <c r="L79" s="98"/>
      <c r="M79" s="98"/>
      <c r="N79" s="98"/>
      <c r="O79" s="98"/>
      <c r="P79" s="98"/>
      <c r="Q79" s="98"/>
      <c r="R79" s="98"/>
      <c r="S79" s="98"/>
      <c r="T79" s="98"/>
      <c r="U79" s="98"/>
      <c r="V79" s="98"/>
      <c r="W79" s="98"/>
      <c r="X79" s="98"/>
      <c r="Y79" s="98"/>
      <c r="Z79" s="98"/>
      <c r="AA79" s="56"/>
    </row>
    <row r="80" spans="1:27" ht="14.7" x14ac:dyDescent="0.6">
      <c r="A80" s="75"/>
      <c r="B80" s="67"/>
      <c r="C80" s="67"/>
      <c r="D80" s="67"/>
      <c r="E80" s="67"/>
      <c r="F80" s="67"/>
      <c r="G80" s="109" t="s">
        <v>391</v>
      </c>
      <c r="H80" s="117">
        <v>1.5</v>
      </c>
      <c r="I80" s="110" t="s">
        <v>396</v>
      </c>
      <c r="J80" s="98"/>
      <c r="K80" s="98"/>
      <c r="L80" s="98"/>
      <c r="M80" s="98"/>
      <c r="N80" s="98"/>
      <c r="O80" s="98"/>
      <c r="P80" s="98"/>
      <c r="Q80" s="98"/>
      <c r="R80" s="98"/>
      <c r="S80" s="98"/>
      <c r="T80" s="98"/>
      <c r="U80" s="98"/>
      <c r="V80" s="98"/>
      <c r="W80" s="98"/>
      <c r="X80" s="98"/>
      <c r="Y80" s="98"/>
      <c r="Z80" s="98"/>
      <c r="AA80" s="56"/>
    </row>
    <row r="81" spans="1:27" ht="14.7" x14ac:dyDescent="0.6">
      <c r="A81" s="75"/>
      <c r="B81" s="67"/>
      <c r="C81" s="67"/>
      <c r="D81" s="67"/>
      <c r="E81" s="67"/>
      <c r="F81" s="67"/>
      <c r="G81" s="109" t="s">
        <v>392</v>
      </c>
      <c r="H81" s="117">
        <v>0.38</v>
      </c>
      <c r="I81" s="110" t="s">
        <v>397</v>
      </c>
      <c r="J81" s="98"/>
      <c r="K81" s="98"/>
      <c r="L81" s="98"/>
      <c r="M81" s="98"/>
      <c r="N81" s="98"/>
      <c r="O81" s="98"/>
      <c r="P81" s="98"/>
      <c r="Q81" s="98"/>
      <c r="R81" s="98"/>
      <c r="S81" s="98"/>
      <c r="T81" s="98"/>
      <c r="U81" s="98"/>
      <c r="V81" s="98"/>
      <c r="W81" s="98"/>
      <c r="X81" s="98"/>
      <c r="Y81" s="98"/>
      <c r="Z81" s="98"/>
      <c r="AA81" s="56"/>
    </row>
    <row r="82" spans="1:27" ht="15" thickBot="1" x14ac:dyDescent="0.65">
      <c r="A82" s="88"/>
      <c r="B82" s="83"/>
      <c r="C82" s="83"/>
      <c r="D82" s="83"/>
      <c r="E82" s="83"/>
      <c r="F82" s="83"/>
      <c r="G82" s="111" t="s">
        <v>393</v>
      </c>
      <c r="H82" s="124">
        <v>1.4</v>
      </c>
      <c r="I82" s="112" t="s">
        <v>10</v>
      </c>
      <c r="J82" s="98"/>
      <c r="K82" s="98"/>
      <c r="L82" s="98"/>
      <c r="M82" s="98"/>
      <c r="N82" s="98"/>
      <c r="O82" s="98"/>
      <c r="P82" s="98"/>
      <c r="Q82" s="98"/>
      <c r="R82" s="98"/>
      <c r="S82" s="98"/>
      <c r="T82" s="98"/>
      <c r="U82" s="98"/>
      <c r="V82" s="98"/>
      <c r="W82" s="98"/>
      <c r="X82" s="98"/>
      <c r="Y82" s="98"/>
      <c r="Z82" s="98"/>
      <c r="AA82" s="56"/>
    </row>
    <row r="83" spans="1:27" x14ac:dyDescent="0.55000000000000004">
      <c r="A83" s="67"/>
      <c r="B83" s="67"/>
      <c r="C83" s="67"/>
      <c r="D83" s="67"/>
      <c r="E83" s="67"/>
      <c r="F83" s="67"/>
      <c r="G83" s="68"/>
      <c r="H83" s="67"/>
      <c r="I83" s="67"/>
      <c r="J83" s="67"/>
      <c r="K83" s="67"/>
      <c r="L83" s="67"/>
      <c r="M83" s="67"/>
      <c r="N83" s="67"/>
      <c r="O83" s="67"/>
      <c r="P83" s="67"/>
      <c r="Q83" s="67"/>
      <c r="R83" s="67"/>
      <c r="S83" s="67"/>
      <c r="T83" s="67"/>
      <c r="U83" s="67"/>
      <c r="V83" s="67"/>
      <c r="W83" s="67"/>
      <c r="X83" s="67"/>
      <c r="Y83" s="67"/>
      <c r="Z83" s="67"/>
      <c r="AA83" s="56"/>
    </row>
    <row r="84" spans="1:27" ht="14.7" thickBot="1" x14ac:dyDescent="0.6">
      <c r="A84" s="106" t="s">
        <v>398</v>
      </c>
      <c r="B84" s="67"/>
      <c r="C84" s="67"/>
      <c r="D84" s="67"/>
      <c r="E84" s="67"/>
      <c r="F84" s="67"/>
      <c r="G84" s="68"/>
      <c r="H84" s="67"/>
      <c r="I84" s="67"/>
      <c r="J84" s="67"/>
      <c r="K84" s="67"/>
      <c r="L84" s="67"/>
      <c r="M84" s="67"/>
      <c r="N84" s="67"/>
      <c r="O84" s="67"/>
      <c r="P84" s="67"/>
      <c r="Q84" s="67"/>
      <c r="R84" s="67"/>
      <c r="S84" s="67"/>
      <c r="T84" s="67"/>
      <c r="U84" s="67"/>
      <c r="V84" s="67"/>
      <c r="W84" s="67"/>
      <c r="X84" s="67"/>
      <c r="Y84" s="67"/>
      <c r="Z84" s="67"/>
      <c r="AA84" s="56"/>
    </row>
    <row r="85" spans="1:27" ht="16.8" x14ac:dyDescent="0.75">
      <c r="A85" s="71"/>
      <c r="B85" s="72"/>
      <c r="C85" s="72"/>
      <c r="D85" s="72"/>
      <c r="E85" s="72"/>
      <c r="F85" s="72"/>
      <c r="G85" s="93" t="s">
        <v>492</v>
      </c>
      <c r="H85" s="134">
        <f>IOUT</f>
        <v>3.3599999999999998E-2</v>
      </c>
      <c r="I85" s="74" t="s">
        <v>11</v>
      </c>
      <c r="J85" s="98"/>
      <c r="K85" s="98"/>
      <c r="L85" s="98"/>
      <c r="M85" s="98"/>
      <c r="N85" s="98"/>
      <c r="O85" s="98"/>
      <c r="P85" s="98"/>
      <c r="Q85" s="98"/>
      <c r="R85" s="98"/>
      <c r="S85" s="98"/>
      <c r="T85" s="98"/>
      <c r="U85" s="98"/>
      <c r="V85" s="98"/>
      <c r="W85" s="98"/>
      <c r="X85" s="98"/>
      <c r="Y85" s="98"/>
      <c r="Z85" s="98"/>
      <c r="AA85" s="56"/>
    </row>
    <row r="86" spans="1:27" ht="16.8" x14ac:dyDescent="0.75">
      <c r="A86" s="75"/>
      <c r="B86" s="67"/>
      <c r="C86" s="67"/>
      <c r="D86" s="67"/>
      <c r="E86" s="67"/>
      <c r="F86" s="67"/>
      <c r="G86" s="68" t="s">
        <v>400</v>
      </c>
      <c r="H86" s="117">
        <v>920</v>
      </c>
      <c r="I86" s="77" t="s">
        <v>186</v>
      </c>
      <c r="J86" s="98"/>
      <c r="K86" s="98"/>
      <c r="L86" s="98"/>
      <c r="M86" s="98"/>
      <c r="N86" s="98"/>
      <c r="O86" s="98"/>
      <c r="P86" s="98"/>
      <c r="Q86" s="98"/>
      <c r="R86" s="98"/>
      <c r="S86" s="98"/>
      <c r="T86" s="98"/>
      <c r="U86" s="98"/>
      <c r="V86" s="98"/>
      <c r="W86" s="98"/>
      <c r="X86" s="98"/>
      <c r="Y86" s="98"/>
      <c r="Z86" s="98"/>
      <c r="AA86" s="56"/>
    </row>
    <row r="87" spans="1:27" ht="14.7" thickBot="1" x14ac:dyDescent="0.6">
      <c r="A87" s="88"/>
      <c r="B87" s="83"/>
      <c r="C87" s="83"/>
      <c r="D87" s="83"/>
      <c r="E87" s="83"/>
      <c r="F87" s="83"/>
      <c r="G87" s="91" t="s">
        <v>408</v>
      </c>
      <c r="H87" s="124">
        <v>10</v>
      </c>
      <c r="I87" s="85" t="s">
        <v>395</v>
      </c>
      <c r="J87" s="98"/>
      <c r="K87" s="98"/>
      <c r="L87" s="98"/>
      <c r="M87" s="98"/>
      <c r="N87" s="98"/>
      <c r="O87" s="98"/>
      <c r="P87" s="98"/>
      <c r="Q87" s="98"/>
      <c r="R87" s="98"/>
      <c r="S87" s="98"/>
      <c r="T87" s="98"/>
      <c r="U87" s="98"/>
      <c r="V87" s="98"/>
      <c r="W87" s="98"/>
      <c r="X87" s="98"/>
      <c r="Y87" s="98"/>
      <c r="Z87" s="98"/>
      <c r="AA87" s="56"/>
    </row>
    <row r="88" spans="1:27" x14ac:dyDescent="0.55000000000000004">
      <c r="A88" s="67"/>
      <c r="B88" s="67"/>
      <c r="C88" s="67"/>
      <c r="D88" s="67"/>
      <c r="E88" s="67"/>
      <c r="F88" s="67"/>
      <c r="G88" s="68"/>
      <c r="H88" s="67"/>
      <c r="I88" s="67"/>
      <c r="J88" s="67"/>
      <c r="K88" s="67"/>
      <c r="L88" s="67"/>
      <c r="M88" s="67"/>
      <c r="N88" s="67"/>
      <c r="O88" s="67"/>
      <c r="P88" s="67"/>
      <c r="Q88" s="67"/>
      <c r="R88" s="67"/>
      <c r="S88" s="67"/>
      <c r="T88" s="67"/>
      <c r="U88" s="67"/>
      <c r="V88" s="67"/>
      <c r="W88" s="67"/>
      <c r="X88" s="67"/>
      <c r="Y88" s="67"/>
      <c r="Z88" s="67"/>
      <c r="AA88" s="56"/>
    </row>
    <row r="89" spans="1:27" x14ac:dyDescent="0.55000000000000004">
      <c r="A89" s="67"/>
      <c r="B89" s="67"/>
      <c r="C89" s="67"/>
      <c r="D89" s="67"/>
      <c r="E89" s="67"/>
      <c r="F89" s="67"/>
      <c r="G89" s="68"/>
      <c r="H89" s="67"/>
      <c r="I89" s="67"/>
      <c r="J89" s="67"/>
      <c r="K89" s="67"/>
      <c r="L89" s="67"/>
      <c r="M89" s="67"/>
      <c r="N89" s="67"/>
      <c r="O89" s="67"/>
      <c r="P89" s="67"/>
      <c r="Q89" s="67"/>
      <c r="R89" s="67"/>
      <c r="S89" s="67"/>
      <c r="T89" s="67"/>
      <c r="U89" s="67"/>
      <c r="V89" s="67"/>
      <c r="W89" s="67"/>
      <c r="X89" s="67"/>
      <c r="Y89" s="67"/>
      <c r="Z89" s="67"/>
      <c r="AA89" s="56"/>
    </row>
    <row r="90" spans="1:27" x14ac:dyDescent="0.55000000000000004">
      <c r="A90" s="67"/>
      <c r="B90" s="67"/>
      <c r="C90" s="67"/>
      <c r="D90" s="67"/>
      <c r="E90" s="67"/>
      <c r="F90" s="67"/>
      <c r="G90" s="68"/>
      <c r="H90" s="67"/>
      <c r="I90" s="67"/>
      <c r="J90" s="67"/>
      <c r="K90" s="67"/>
      <c r="L90" s="67"/>
      <c r="M90" s="67"/>
      <c r="N90" s="67"/>
      <c r="O90" s="67"/>
      <c r="P90" s="67"/>
      <c r="Q90" s="67"/>
      <c r="R90" s="67"/>
      <c r="S90" s="67"/>
      <c r="T90" s="67"/>
      <c r="U90" s="67"/>
      <c r="V90" s="67"/>
      <c r="W90" s="67"/>
      <c r="X90" s="67"/>
      <c r="Y90" s="67"/>
      <c r="Z90" s="67"/>
      <c r="AA90" s="56"/>
    </row>
    <row r="91" spans="1:27" x14ac:dyDescent="0.55000000000000004">
      <c r="A91" s="67"/>
      <c r="B91" s="67"/>
      <c r="C91" s="67"/>
      <c r="D91" s="67"/>
      <c r="E91" s="67"/>
      <c r="F91" s="67"/>
      <c r="G91" s="68"/>
      <c r="H91" s="67"/>
      <c r="I91" s="67"/>
      <c r="J91" s="67"/>
      <c r="K91" s="67"/>
      <c r="L91" s="67"/>
      <c r="M91" s="67"/>
      <c r="N91" s="67"/>
      <c r="O91" s="67"/>
      <c r="P91" s="67"/>
      <c r="Q91" s="67"/>
      <c r="R91" s="67"/>
      <c r="S91" s="67"/>
      <c r="T91" s="67"/>
      <c r="U91" s="67"/>
      <c r="V91" s="67"/>
      <c r="W91" s="67"/>
      <c r="X91" s="67"/>
      <c r="Y91" s="67"/>
      <c r="Z91" s="67"/>
      <c r="AA91" s="56"/>
    </row>
    <row r="92" spans="1:27" x14ac:dyDescent="0.55000000000000004">
      <c r="A92" s="67"/>
      <c r="B92" s="67"/>
      <c r="C92" s="67"/>
      <c r="D92" s="67"/>
      <c r="E92" s="67"/>
      <c r="F92" s="67"/>
      <c r="G92" s="68"/>
      <c r="H92" s="67"/>
      <c r="I92" s="67"/>
      <c r="J92" s="67"/>
      <c r="K92" s="67"/>
      <c r="L92" s="67"/>
      <c r="M92" s="67"/>
      <c r="N92" s="67"/>
      <c r="O92" s="67"/>
      <c r="P92" s="67"/>
      <c r="Q92" s="67"/>
      <c r="R92" s="67"/>
      <c r="S92" s="67"/>
      <c r="T92" s="67"/>
      <c r="U92" s="67"/>
      <c r="V92" s="67"/>
      <c r="W92" s="67"/>
      <c r="X92" s="67"/>
      <c r="Y92" s="67"/>
      <c r="Z92" s="67"/>
      <c r="AA92" s="56"/>
    </row>
    <row r="93" spans="1:27" x14ac:dyDescent="0.55000000000000004">
      <c r="A93" s="67"/>
      <c r="B93" s="67"/>
      <c r="C93" s="67"/>
      <c r="D93" s="67"/>
      <c r="E93" s="67"/>
      <c r="F93" s="67"/>
      <c r="G93" s="68"/>
      <c r="H93" s="67"/>
      <c r="I93" s="67"/>
      <c r="J93" s="67"/>
      <c r="K93" s="67"/>
      <c r="L93" s="67"/>
      <c r="M93" s="67"/>
      <c r="N93" s="67"/>
      <c r="O93" s="67"/>
      <c r="P93" s="67"/>
      <c r="Q93" s="67"/>
      <c r="R93" s="67"/>
      <c r="S93" s="67"/>
      <c r="T93" s="67"/>
      <c r="U93" s="67"/>
      <c r="V93" s="67"/>
      <c r="W93" s="67"/>
      <c r="X93" s="67"/>
      <c r="Y93" s="67"/>
      <c r="Z93" s="67"/>
      <c r="AA93" s="56"/>
    </row>
    <row r="94" spans="1:27" x14ac:dyDescent="0.55000000000000004">
      <c r="A94" s="67"/>
      <c r="B94" s="67"/>
      <c r="C94" s="67"/>
      <c r="D94" s="67"/>
      <c r="E94" s="67"/>
      <c r="F94" s="67"/>
      <c r="G94" s="68"/>
      <c r="H94" s="67"/>
      <c r="I94" s="67"/>
      <c r="J94" s="67"/>
      <c r="K94" s="67"/>
      <c r="L94" s="67"/>
      <c r="M94" s="67"/>
      <c r="N94" s="67"/>
      <c r="O94" s="67"/>
      <c r="P94" s="67"/>
      <c r="Q94" s="67"/>
      <c r="R94" s="67"/>
      <c r="S94" s="67"/>
      <c r="T94" s="67"/>
      <c r="U94" s="67"/>
      <c r="V94" s="67"/>
      <c r="W94" s="67"/>
      <c r="X94" s="67"/>
      <c r="Y94" s="67"/>
      <c r="Z94" s="67"/>
      <c r="AA94" s="56"/>
    </row>
    <row r="95" spans="1:27" x14ac:dyDescent="0.55000000000000004">
      <c r="A95" s="67"/>
      <c r="B95" s="67"/>
      <c r="C95" s="67"/>
      <c r="D95" s="67"/>
      <c r="E95" s="67"/>
      <c r="F95" s="67"/>
      <c r="G95" s="68"/>
      <c r="H95" s="67"/>
      <c r="I95" s="67"/>
      <c r="J95" s="67"/>
      <c r="K95" s="67"/>
      <c r="L95" s="67"/>
      <c r="M95" s="67"/>
      <c r="N95" s="67"/>
      <c r="O95" s="67"/>
      <c r="P95" s="67"/>
      <c r="Q95" s="67"/>
      <c r="R95" s="67"/>
      <c r="S95" s="67"/>
      <c r="T95" s="67"/>
      <c r="U95" s="67"/>
      <c r="V95" s="67"/>
      <c r="W95" s="67"/>
      <c r="X95" s="67"/>
      <c r="Y95" s="67"/>
      <c r="Z95" s="67"/>
      <c r="AA95" s="56"/>
    </row>
    <row r="96" spans="1:27" x14ac:dyDescent="0.55000000000000004">
      <c r="A96" s="67"/>
      <c r="B96" s="67"/>
      <c r="C96" s="67"/>
      <c r="D96" s="67"/>
      <c r="E96" s="67"/>
      <c r="F96" s="67"/>
      <c r="G96" s="68"/>
      <c r="H96" s="67"/>
      <c r="I96" s="67"/>
      <c r="J96" s="67"/>
      <c r="K96" s="67"/>
      <c r="L96" s="67"/>
      <c r="M96" s="67"/>
      <c r="N96" s="67"/>
      <c r="O96" s="67"/>
      <c r="P96" s="67"/>
      <c r="Q96" s="67"/>
      <c r="R96" s="67"/>
      <c r="S96" s="67"/>
      <c r="T96" s="67"/>
      <c r="U96" s="67"/>
      <c r="V96" s="67"/>
      <c r="W96" s="67"/>
      <c r="X96" s="67"/>
      <c r="Y96" s="67"/>
      <c r="Z96" s="67"/>
      <c r="AA96" s="56"/>
    </row>
    <row r="97" spans="1:27" x14ac:dyDescent="0.55000000000000004">
      <c r="A97" s="67"/>
      <c r="B97" s="67"/>
      <c r="C97" s="67"/>
      <c r="D97" s="67"/>
      <c r="E97" s="67"/>
      <c r="F97" s="67"/>
      <c r="G97" s="68"/>
      <c r="H97" s="67"/>
      <c r="I97" s="67"/>
      <c r="J97" s="67"/>
      <c r="K97" s="67"/>
      <c r="L97" s="67"/>
      <c r="M97" s="67"/>
      <c r="N97" s="67"/>
      <c r="O97" s="67"/>
      <c r="P97" s="67"/>
      <c r="Q97" s="67"/>
      <c r="R97" s="67"/>
      <c r="S97" s="67"/>
      <c r="T97" s="67"/>
      <c r="U97" s="67"/>
      <c r="V97" s="67"/>
      <c r="W97" s="67"/>
      <c r="X97" s="67"/>
      <c r="Y97" s="67"/>
      <c r="Z97" s="67"/>
      <c r="AA97" s="56"/>
    </row>
    <row r="98" spans="1:27" x14ac:dyDescent="0.55000000000000004">
      <c r="A98" s="67"/>
      <c r="B98" s="67"/>
      <c r="C98" s="67"/>
      <c r="D98" s="67"/>
      <c r="E98" s="67"/>
      <c r="F98" s="67"/>
      <c r="G98" s="68"/>
      <c r="H98" s="67"/>
      <c r="I98" s="67"/>
      <c r="J98" s="67"/>
      <c r="K98" s="67"/>
      <c r="L98" s="67"/>
      <c r="M98" s="67"/>
      <c r="N98" s="67"/>
      <c r="O98" s="67"/>
      <c r="P98" s="67"/>
      <c r="Q98" s="67"/>
      <c r="R98" s="67"/>
      <c r="S98" s="67"/>
      <c r="T98" s="67"/>
      <c r="U98" s="67"/>
      <c r="V98" s="67"/>
      <c r="W98" s="67"/>
      <c r="X98" s="67"/>
      <c r="Y98" s="67"/>
      <c r="Z98" s="67"/>
      <c r="AA98" s="56"/>
    </row>
    <row r="99" spans="1:27" x14ac:dyDescent="0.55000000000000004">
      <c r="A99" s="67"/>
      <c r="B99" s="67"/>
      <c r="C99" s="67"/>
      <c r="D99" s="67"/>
      <c r="E99" s="67"/>
      <c r="F99" s="67"/>
      <c r="G99" s="68"/>
      <c r="H99" s="67"/>
      <c r="I99" s="67"/>
      <c r="J99" s="67"/>
      <c r="K99" s="67"/>
      <c r="L99" s="67"/>
      <c r="M99" s="67"/>
      <c r="N99" s="67"/>
      <c r="O99" s="67"/>
      <c r="P99" s="67"/>
      <c r="Q99" s="67"/>
      <c r="R99" s="67"/>
      <c r="S99" s="67"/>
      <c r="T99" s="67"/>
      <c r="U99" s="67"/>
      <c r="V99" s="67"/>
      <c r="W99" s="67"/>
      <c r="X99" s="67"/>
      <c r="Y99" s="67"/>
      <c r="Z99" s="67"/>
      <c r="AA99" s="56"/>
    </row>
    <row r="100" spans="1:27" x14ac:dyDescent="0.55000000000000004">
      <c r="A100" s="58"/>
      <c r="B100" s="58"/>
      <c r="C100" s="58"/>
      <c r="D100" s="58"/>
      <c r="E100" s="58"/>
      <c r="F100" s="58"/>
      <c r="G100" s="59"/>
      <c r="H100" s="58"/>
      <c r="I100" s="58"/>
      <c r="J100" s="58"/>
      <c r="K100" s="58"/>
      <c r="L100" s="58"/>
      <c r="M100" s="58"/>
      <c r="N100" s="58"/>
      <c r="O100" s="58"/>
      <c r="P100" s="58"/>
      <c r="Q100" s="58"/>
      <c r="R100" s="58"/>
      <c r="S100" s="58"/>
      <c r="T100" s="58"/>
      <c r="U100" s="58"/>
      <c r="V100" s="58"/>
      <c r="W100" s="58"/>
      <c r="X100" s="58"/>
      <c r="Y100" s="58"/>
      <c r="Z100" s="58"/>
      <c r="AA100" s="56"/>
    </row>
  </sheetData>
  <sheetProtection algorithmName="SHA-512" hashValue="IUA5uLyW0mrRZkyPJKKIRFc3+5hN1b0hecgM8dzHCtjOUVEzhalBCWCXogf3HWMbmjeUOfL+5zp1szCxL2zuFA==" saltValue="VgYrN/Jn0z4UXKKRqvjtkQ==" spinCount="100000" sheet="1" objects="1" scenarios="1" selectLockedCells="1"/>
  <mergeCells count="1">
    <mergeCell ref="N3:O3"/>
  </mergeCells>
  <conditionalFormatting sqref="H7">
    <cfRule type="cellIs" dxfId="10" priority="2" operator="greaterThan">
      <formula>VIN_op_max_56</formula>
    </cfRule>
    <cfRule type="cellIs" dxfId="9" priority="17" operator="greaterThan">
      <formula>VIN_op_max</formula>
    </cfRule>
    <cfRule type="cellIs" dxfId="8" priority="18" operator="lessThan">
      <formula>VIN_op_min</formula>
    </cfRule>
  </conditionalFormatting>
  <conditionalFormatting sqref="H8">
    <cfRule type="cellIs" dxfId="7" priority="16" operator="notBetween">
      <formula>$H$7</formula>
      <formula>$H$9</formula>
    </cfRule>
  </conditionalFormatting>
  <conditionalFormatting sqref="H9">
    <cfRule type="cellIs" dxfId="6" priority="1" operator="greaterThan">
      <formula>VIN_op_max_56</formula>
    </cfRule>
    <cfRule type="cellIs" dxfId="5" priority="13" operator="greaterThan">
      <formula>VIN_op_max</formula>
    </cfRule>
    <cfRule type="cellIs" dxfId="4" priority="14" operator="lessThan">
      <formula>VIN_op_min</formula>
    </cfRule>
  </conditionalFormatting>
  <conditionalFormatting sqref="H17">
    <cfRule type="cellIs" dxfId="3" priority="6" operator="greaterThan">
      <formula>$H$16</formula>
    </cfRule>
  </conditionalFormatting>
  <conditionalFormatting sqref="H57">
    <cfRule type="expression" dxfId="1" priority="11">
      <formula>$H$8&gt;$H$9</formula>
    </cfRule>
    <cfRule type="expression" dxfId="0" priority="12">
      <formula>$H$8&lt;$H$7</formula>
    </cfRule>
  </conditionalFormatting>
  <dataValidations count="1">
    <dataValidation type="list" allowBlank="1" showInputMessage="1" showErrorMessage="1" sqref="H18" xr:uid="{B6CBC9E4-52B2-4FA8-BCFD-24B327448BB5}">
      <formula1>CondMode</formula1>
    </dataValidation>
  </dataValidations>
  <hyperlinks>
    <hyperlink ref="N3" location="About!A1" display="TERMS OF USE" xr:uid="{EE270A3B-8816-419E-84BC-D008FEAD0366}"/>
    <hyperlink ref="N3:O3" location="Licenses!A1" display="TERMS OF USE" xr:uid="{7B8CA94F-4734-4CAD-88EF-98DE4E41009B}"/>
  </hyperlinks>
  <pageMargins left="0.2" right="0.2" top="0.25" bottom="0.25" header="0" footer="0"/>
  <pageSetup paperSize="9" scale="44"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70" r:id="rId4" name="Drop Down 146">
              <controlPr defaultSize="0" print="0" autoLine="0" autoPict="0" altText="This is just there to fix the excel issue with comments and linked pictures">
                <anchor moveWithCells="1">
                  <from>
                    <xdr:col>14</xdr:col>
                    <xdr:colOff>594360</xdr:colOff>
                    <xdr:row>30</xdr:row>
                    <xdr:rowOff>91440</xdr:rowOff>
                  </from>
                  <to>
                    <xdr:col>16</xdr:col>
                    <xdr:colOff>220980</xdr:colOff>
                    <xdr:row>31</xdr:row>
                    <xdr:rowOff>114300</xdr:rowOff>
                  </to>
                </anchor>
              </controlPr>
            </control>
          </mc:Choice>
        </mc:AlternateContent>
        <mc:AlternateContent xmlns:mc="http://schemas.openxmlformats.org/markup-compatibility/2006">
          <mc:Choice Requires="x14">
            <control shapeId="1060" r:id="rId5" name="Spinner 36">
              <controlPr defaultSize="0" autoPict="0">
                <anchor moveWithCells="1" sizeWithCells="1">
                  <from>
                    <xdr:col>7</xdr:col>
                    <xdr:colOff>510540</xdr:colOff>
                    <xdr:row>56</xdr:row>
                    <xdr:rowOff>0</xdr:rowOff>
                  </from>
                  <to>
                    <xdr:col>8</xdr:col>
                    <xdr:colOff>15240</xdr:colOff>
                    <xdr:row>58</xdr:row>
                    <xdr:rowOff>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3" id="{AB53E77D-5294-4F50-832B-89A6F7F8A8A1}">
            <xm:f>NOT(Variable_Management!$K$30)</xm:f>
            <x14:dxf>
              <font>
                <color rgb="FFC00000"/>
              </font>
              <fill>
                <patternFill>
                  <bgColor theme="5" tint="0.59996337778862885"/>
                </patternFill>
              </fill>
            </x14:dxf>
          </x14:cfRule>
          <xm:sqref>H23</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
  <sheetViews>
    <sheetView workbookViewId="0">
      <selection activeCell="C31" sqref="C31"/>
    </sheetView>
  </sheetViews>
  <sheetFormatPr defaultRowHeight="14.4" x14ac:dyDescent="0.55000000000000004"/>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S256"/>
  <sheetViews>
    <sheetView zoomScale="85" zoomScaleNormal="85" workbookViewId="0">
      <pane ySplit="5" topLeftCell="A48" activePane="bottomLeft" state="frozen"/>
      <selection activeCell="N8" sqref="N8"/>
      <selection pane="bottomLeft" activeCell="B89" sqref="B89"/>
    </sheetView>
  </sheetViews>
  <sheetFormatPr defaultRowHeight="14.4" x14ac:dyDescent="0.55000000000000004"/>
  <cols>
    <col min="1" max="1" width="28.89453125" customWidth="1"/>
    <col min="2" max="2" width="19.5234375" customWidth="1"/>
    <col min="3" max="3" width="10.89453125" customWidth="1"/>
    <col min="4" max="4" width="10" bestFit="1" customWidth="1"/>
    <col min="5" max="5" width="18.68359375" customWidth="1"/>
    <col min="6" max="6" width="14.68359375" customWidth="1"/>
    <col min="7" max="7" width="15.1015625" customWidth="1"/>
    <col min="8" max="9" width="12.5234375" customWidth="1"/>
    <col min="11" max="11" width="12.89453125" bestFit="1" customWidth="1"/>
    <col min="12" max="14" width="12.20703125" bestFit="1" customWidth="1"/>
  </cols>
  <sheetData>
    <row r="1" spans="1:17" ht="27.6" x14ac:dyDescent="0.95">
      <c r="A1" s="229" t="s">
        <v>15</v>
      </c>
      <c r="B1" s="229"/>
      <c r="C1" s="229"/>
      <c r="D1" s="229"/>
      <c r="E1" s="229"/>
      <c r="F1" s="229"/>
      <c r="G1" s="229"/>
      <c r="H1" s="229"/>
      <c r="I1" s="229"/>
      <c r="J1" s="229"/>
    </row>
    <row r="2" spans="1:17" x14ac:dyDescent="0.55000000000000004">
      <c r="A2" s="5"/>
      <c r="B2" s="5" t="s">
        <v>16</v>
      </c>
      <c r="C2" s="6"/>
      <c r="D2" s="4"/>
      <c r="E2" s="5"/>
      <c r="F2" s="5"/>
      <c r="G2" s="5"/>
      <c r="H2" s="5"/>
      <c r="I2" s="5"/>
      <c r="J2" s="5"/>
    </row>
    <row r="3" spans="1:17" x14ac:dyDescent="0.55000000000000004">
      <c r="A3" s="5"/>
      <c r="B3" s="5" t="s">
        <v>17</v>
      </c>
      <c r="C3" s="7"/>
      <c r="D3" s="4"/>
      <c r="E3" s="5"/>
      <c r="F3" s="14" t="s">
        <v>63</v>
      </c>
      <c r="G3" s="15" t="s">
        <v>64</v>
      </c>
      <c r="H3" s="26" t="s">
        <v>67</v>
      </c>
      <c r="I3" s="5"/>
      <c r="J3" s="5"/>
    </row>
    <row r="4" spans="1:17" x14ac:dyDescent="0.55000000000000004">
      <c r="A4" s="5"/>
      <c r="B4" s="5" t="s">
        <v>18</v>
      </c>
      <c r="C4" s="8"/>
      <c r="D4" s="4"/>
      <c r="E4" s="5"/>
      <c r="F4" s="5"/>
      <c r="G4" s="5"/>
      <c r="H4" s="5"/>
      <c r="I4" s="5"/>
      <c r="J4" s="5"/>
    </row>
    <row r="5" spans="1:17" x14ac:dyDescent="0.55000000000000004">
      <c r="A5" s="9" t="s">
        <v>19</v>
      </c>
      <c r="B5" s="9" t="s">
        <v>20</v>
      </c>
      <c r="C5" s="9" t="s">
        <v>21</v>
      </c>
      <c r="D5" s="4"/>
      <c r="E5" s="230" t="s">
        <v>22</v>
      </c>
      <c r="F5" s="230"/>
      <c r="G5" s="230"/>
      <c r="H5" s="230"/>
      <c r="I5" s="5"/>
      <c r="J5" s="9" t="s">
        <v>23</v>
      </c>
      <c r="K5" s="9" t="s">
        <v>71</v>
      </c>
      <c r="L5" s="4"/>
      <c r="M5" s="4"/>
      <c r="N5" s="4"/>
      <c r="O5" s="4"/>
      <c r="P5" s="4"/>
      <c r="Q5" s="4"/>
    </row>
    <row r="6" spans="1:17" ht="15.3" x14ac:dyDescent="0.55000000000000004">
      <c r="A6" s="10" t="s">
        <v>24</v>
      </c>
      <c r="B6" s="9"/>
      <c r="C6" s="9"/>
      <c r="D6" s="9"/>
      <c r="E6" s="5"/>
      <c r="F6" s="5"/>
      <c r="G6" s="5"/>
      <c r="H6" s="5"/>
      <c r="I6" s="5"/>
      <c r="J6" s="9"/>
      <c r="K6" s="4"/>
      <c r="L6" s="4"/>
      <c r="M6" s="4"/>
      <c r="N6" s="4"/>
      <c r="O6" s="4"/>
      <c r="P6" s="4"/>
      <c r="Q6" s="4"/>
    </row>
    <row r="7" spans="1:17" x14ac:dyDescent="0.55000000000000004">
      <c r="A7" t="s">
        <v>25</v>
      </c>
      <c r="B7" s="3">
        <f>'Design Converter'!H7</f>
        <v>19.7</v>
      </c>
      <c r="C7" t="s">
        <v>10</v>
      </c>
      <c r="E7" t="s">
        <v>28</v>
      </c>
    </row>
    <row r="8" spans="1:17" x14ac:dyDescent="0.55000000000000004">
      <c r="A8" t="s">
        <v>26</v>
      </c>
      <c r="B8" s="3">
        <f>'Design Converter'!H8</f>
        <v>20</v>
      </c>
      <c r="C8" t="s">
        <v>10</v>
      </c>
      <c r="E8" t="s">
        <v>29</v>
      </c>
      <c r="K8">
        <f>IF(VIN_min&lt;VIN_min,1,IF(VIN_nom&gt;VIN_max,1,0))</f>
        <v>0</v>
      </c>
    </row>
    <row r="9" spans="1:17" x14ac:dyDescent="0.55000000000000004">
      <c r="A9" t="s">
        <v>27</v>
      </c>
      <c r="B9" s="3">
        <f>'Design Converter'!H9</f>
        <v>20.3</v>
      </c>
      <c r="C9" t="s">
        <v>10</v>
      </c>
      <c r="E9" t="s">
        <v>30</v>
      </c>
    </row>
    <row r="10" spans="1:17" x14ac:dyDescent="0.55000000000000004">
      <c r="A10" t="s">
        <v>68</v>
      </c>
      <c r="B10" s="3">
        <f>'Design Converter'!H12*1000</f>
        <v>47000</v>
      </c>
      <c r="C10" t="s">
        <v>69</v>
      </c>
      <c r="E10" t="s">
        <v>70</v>
      </c>
    </row>
    <row r="11" spans="1:17" x14ac:dyDescent="0.55000000000000004">
      <c r="A11" t="s">
        <v>73</v>
      </c>
      <c r="B11" s="18">
        <f>((2.21*10^10)/Fsw)-955</f>
        <v>469257.76595744683</v>
      </c>
      <c r="C11" s="2" t="s">
        <v>36</v>
      </c>
      <c r="E11" t="s">
        <v>74</v>
      </c>
    </row>
    <row r="13" spans="1:17" x14ac:dyDescent="0.55000000000000004">
      <c r="A13" t="s">
        <v>31</v>
      </c>
      <c r="B13" s="3">
        <f>'Design Converter'!H10</f>
        <v>210</v>
      </c>
      <c r="C13" t="s">
        <v>10</v>
      </c>
      <c r="E13" t="s">
        <v>32</v>
      </c>
    </row>
    <row r="14" spans="1:17" x14ac:dyDescent="0.55000000000000004">
      <c r="A14" t="s">
        <v>33</v>
      </c>
      <c r="B14" s="3">
        <f>'Design Converter'!H11</f>
        <v>3.3599999999999998E-2</v>
      </c>
      <c r="C14" t="s">
        <v>11</v>
      </c>
      <c r="E14" t="s">
        <v>34</v>
      </c>
    </row>
    <row r="15" spans="1:17" x14ac:dyDescent="0.55000000000000004">
      <c r="A15" t="s">
        <v>35</v>
      </c>
      <c r="B15" s="1">
        <f>VOUT/IOUT</f>
        <v>6250</v>
      </c>
      <c r="C15" s="2" t="s">
        <v>36</v>
      </c>
      <c r="E15" t="s">
        <v>42</v>
      </c>
    </row>
    <row r="16" spans="1:17" x14ac:dyDescent="0.55000000000000004">
      <c r="A16" t="s">
        <v>37</v>
      </c>
      <c r="B16" s="1">
        <f>VOUT*IOUT</f>
        <v>7.0559999999999992</v>
      </c>
      <c r="C16" s="2" t="s">
        <v>38</v>
      </c>
      <c r="E16" t="s">
        <v>41</v>
      </c>
    </row>
    <row r="17" spans="1:19" x14ac:dyDescent="0.55000000000000004">
      <c r="A17" t="s">
        <v>39</v>
      </c>
      <c r="B17" s="11">
        <f>'Design Converter'!H14/100</f>
        <v>0.9</v>
      </c>
      <c r="E17" t="s">
        <v>40</v>
      </c>
    </row>
    <row r="19" spans="1:19" x14ac:dyDescent="0.55000000000000004">
      <c r="A19" s="33" t="s">
        <v>519</v>
      </c>
    </row>
    <row r="20" spans="1:19" x14ac:dyDescent="0.55000000000000004">
      <c r="A20" t="s">
        <v>43</v>
      </c>
      <c r="B20" s="1">
        <f>IF(B$36="DCM",B55,B39)</f>
        <v>0.90619047619047621</v>
      </c>
      <c r="E20" t="s">
        <v>44</v>
      </c>
    </row>
    <row r="21" spans="1:19" x14ac:dyDescent="0.55000000000000004">
      <c r="A21" t="s">
        <v>45</v>
      </c>
      <c r="B21" s="12">
        <f>Constants!B20</f>
        <v>0.93</v>
      </c>
      <c r="E21" t="s">
        <v>46</v>
      </c>
      <c r="K21">
        <f>IF(((1-D_limit_nom)/Constants!B12)&lt;Fsw,1,0)</f>
        <v>0</v>
      </c>
    </row>
    <row r="23" spans="1:19" x14ac:dyDescent="0.55000000000000004">
      <c r="A23" t="s">
        <v>82</v>
      </c>
      <c r="B23" s="1">
        <f>IF(B$36="DCM",B58,B42)</f>
        <v>0.90619047619047621</v>
      </c>
      <c r="E23" t="s">
        <v>506</v>
      </c>
    </row>
    <row r="24" spans="1:19" x14ac:dyDescent="0.55000000000000004">
      <c r="B24" s="13">
        <f>IF(B$36="DCM",B59,B43)</f>
        <v>1.9280648429584602E-5</v>
      </c>
      <c r="C24" t="s">
        <v>54</v>
      </c>
      <c r="E24" t="s">
        <v>333</v>
      </c>
    </row>
    <row r="25" spans="1:19" x14ac:dyDescent="0.55000000000000004">
      <c r="A25" t="s">
        <v>92</v>
      </c>
      <c r="B25" s="17">
        <f>IF(B$36="DCM",B60,B44)</f>
        <v>0.35817258883248726</v>
      </c>
      <c r="C25" t="s">
        <v>11</v>
      </c>
      <c r="E25" t="s">
        <v>95</v>
      </c>
      <c r="K25" t="s">
        <v>559</v>
      </c>
      <c r="L25" t="s">
        <v>560</v>
      </c>
      <c r="M25" t="s">
        <v>572</v>
      </c>
    </row>
    <row r="26" spans="1:19" x14ac:dyDescent="0.55000000000000004">
      <c r="J26" t="s">
        <v>561</v>
      </c>
      <c r="K26" t="b">
        <f>Dc_CCM_VIN_min&lt;B58</f>
        <v>1</v>
      </c>
      <c r="L26" t="b">
        <f>Dc_CCM_VIN_nom&lt;Dc_DCM_VIN_nom</f>
        <v>1</v>
      </c>
      <c r="M26" t="b">
        <f>Dc_CCM_VIN_max&lt;B66</f>
        <v>1</v>
      </c>
    </row>
    <row r="27" spans="1:19" x14ac:dyDescent="0.55000000000000004">
      <c r="A27" t="s">
        <v>83</v>
      </c>
      <c r="B27" s="1">
        <f>IF(B$36="DCM",B62,B46)</f>
        <v>0.90476190476190477</v>
      </c>
      <c r="E27" t="s">
        <v>507</v>
      </c>
      <c r="J27" t="s">
        <v>565</v>
      </c>
      <c r="K27" t="b">
        <f>AND(K26:M26)</f>
        <v>1</v>
      </c>
    </row>
    <row r="28" spans="1:19" x14ac:dyDescent="0.55000000000000004">
      <c r="B28" s="13">
        <f>IF(B$36="DCM",B63,B47)</f>
        <v>1.9250253292806485E-5</v>
      </c>
      <c r="C28" t="s">
        <v>54</v>
      </c>
      <c r="E28" t="s">
        <v>333</v>
      </c>
      <c r="J28" t="s">
        <v>566</v>
      </c>
      <c r="K28" t="b">
        <f>NOT(OR(K26:M26))</f>
        <v>0</v>
      </c>
    </row>
    <row r="29" spans="1:19" x14ac:dyDescent="0.55000000000000004">
      <c r="A29" t="s">
        <v>93</v>
      </c>
      <c r="B29" s="17">
        <f>IF(B$36="DCM",B64,B48)</f>
        <v>0.35279999999999995</v>
      </c>
      <c r="C29" t="s">
        <v>11</v>
      </c>
      <c r="E29" t="s">
        <v>96</v>
      </c>
      <c r="J29" t="s">
        <v>562</v>
      </c>
      <c r="K29" t="b">
        <f>NOT(OR(K27:K28))</f>
        <v>0</v>
      </c>
    </row>
    <row r="30" spans="1:19" x14ac:dyDescent="0.55000000000000004">
      <c r="J30" t="s">
        <v>567</v>
      </c>
      <c r="K30" t="b">
        <f>IF(Dc_Mode="CCM",K27,IF(Dc_Mode="DCM",K28,K29))</f>
        <v>1</v>
      </c>
      <c r="P30" t="s">
        <v>557</v>
      </c>
      <c r="Q30" t="s">
        <v>555</v>
      </c>
      <c r="R30" t="s">
        <v>556</v>
      </c>
      <c r="S30" t="s">
        <v>558</v>
      </c>
    </row>
    <row r="31" spans="1:19" x14ac:dyDescent="0.55000000000000004">
      <c r="A31" t="s">
        <v>84</v>
      </c>
      <c r="B31" s="1">
        <f>IF(B$36="DCM",B66,B50)</f>
        <v>0.90333333333333332</v>
      </c>
      <c r="E31" t="s">
        <v>508</v>
      </c>
      <c r="K31" t="s">
        <v>554</v>
      </c>
      <c r="L31" s="137">
        <f>VIN_min/(Fsw*2*IOUT)*Dc_VIN_min*(1-Dc_VIN_min)</f>
        <v>5.3023149440458372E-4</v>
      </c>
      <c r="M31" s="137">
        <f>VIN_nom/(Fsw*2*IOUT)*Dc_VIN_nom*(1-Dc_VIN_nom)</f>
        <v>5.4564210013623821E-4</v>
      </c>
      <c r="N31" s="137">
        <f>VIN_max/(Fsw*2*IOUT)*Dc_VIN_max*(1-Dc_VIN_max)</f>
        <v>5.6124655240346742E-4</v>
      </c>
      <c r="P31" s="137">
        <f>Q31*0.9</f>
        <v>4.7720834496412537E-4</v>
      </c>
      <c r="Q31" s="137">
        <f>MIN(L31:N31)</f>
        <v>5.3023149440458372E-4</v>
      </c>
      <c r="R31" s="137">
        <f>MAX(L31:N31)</f>
        <v>5.6124655240346742E-4</v>
      </c>
      <c r="S31" s="137">
        <f>R31*1.1</f>
        <v>6.1737120764381417E-4</v>
      </c>
    </row>
    <row r="32" spans="1:19" x14ac:dyDescent="0.55000000000000004">
      <c r="B32" s="13">
        <f>IF(B$36="DCM",B67,B51)</f>
        <v>1.9219858156028369E-5</v>
      </c>
      <c r="C32" t="s">
        <v>54</v>
      </c>
      <c r="E32" t="s">
        <v>333</v>
      </c>
    </row>
    <row r="33" spans="1:14" x14ac:dyDescent="0.55000000000000004">
      <c r="A33" t="s">
        <v>94</v>
      </c>
      <c r="B33" s="17">
        <f>IF(B$36="DCM",B68,B52)</f>
        <v>0.34758620689655167</v>
      </c>
      <c r="C33" t="s">
        <v>11</v>
      </c>
      <c r="E33" t="s">
        <v>97</v>
      </c>
    </row>
    <row r="34" spans="1:14" x14ac:dyDescent="0.55000000000000004">
      <c r="N34" t="s">
        <v>553</v>
      </c>
    </row>
    <row r="35" spans="1:14" x14ac:dyDescent="0.55000000000000004">
      <c r="A35" t="s">
        <v>534</v>
      </c>
      <c r="B35" s="140" t="str">
        <f>IF(AND(K35&lt;Lm,L35&lt;Lm,M35&lt;Lm),"CCM",IF(AND(K35&gt;Lm,L35&gt;Lm,M35&gt;Lm),"DCM","CCM/DCM"))</f>
        <v>CCM</v>
      </c>
      <c r="E35" t="s">
        <v>517</v>
      </c>
      <c r="K35" s="137">
        <f>VIN_min/(Fsw*2*IOUT)*Dc_CCM_VIN_min*(1-Dc_CCM_VIN_min)</f>
        <v>5.3023149440458372E-4</v>
      </c>
      <c r="L35" s="137">
        <f>IF(AND(B50&lt;0.5,B42&gt;0.5),VIN_min/(Fsw*2*IOUT)*0.5*(1-0.5),VIN_min/(Fsw*2*IOUT)*Dc_CCM_VIN_nom*(1-Dc_CCM_VIN_nom))</f>
        <v>5.3745746863419468E-4</v>
      </c>
      <c r="M35" s="137">
        <f>VIN_min/(Fsw*2*IOUT)*Dc_CCM_VIN_max*(1-Dc_VIN_max)</f>
        <v>5.4465798435213337E-4</v>
      </c>
      <c r="N35" t="b">
        <f>IF(Dc_Mode="CCM",IF(Lm&lt;MAX(K35,L35,M35),TRUE,IF(Lm&gt;MIN(K35,L35,M35),TRUE,FALSE)))</f>
        <v>1</v>
      </c>
    </row>
    <row r="36" spans="1:14" x14ac:dyDescent="0.55000000000000004">
      <c r="A36" t="s">
        <v>533</v>
      </c>
      <c r="B36" s="139" t="str">
        <f>'Design Converter'!H18</f>
        <v>CCM</v>
      </c>
      <c r="E36" t="s">
        <v>516</v>
      </c>
      <c r="K36" t="str">
        <f>IF(OR(B35="CCM",B35="CCM/DCM"),"CCM","DCM")</f>
        <v>CCM</v>
      </c>
      <c r="L36" t="str">
        <f>IF(B35="CCM/DCM","DCM","")</f>
        <v/>
      </c>
    </row>
    <row r="38" spans="1:14" x14ac:dyDescent="0.55000000000000004">
      <c r="A38" s="33" t="s">
        <v>495</v>
      </c>
    </row>
    <row r="39" spans="1:14" x14ac:dyDescent="0.55000000000000004">
      <c r="A39" t="s">
        <v>509</v>
      </c>
      <c r="B39" s="1">
        <f>1-VIN_min/VOUT</f>
        <v>0.90619047619047621</v>
      </c>
      <c r="E39" t="s">
        <v>44</v>
      </c>
    </row>
    <row r="42" spans="1:14" x14ac:dyDescent="0.55000000000000004">
      <c r="A42" t="s">
        <v>510</v>
      </c>
      <c r="B42" s="1">
        <f>1-VIN_min/VOUT</f>
        <v>0.90619047619047621</v>
      </c>
      <c r="E42" t="s">
        <v>85</v>
      </c>
    </row>
    <row r="43" spans="1:14" x14ac:dyDescent="0.55000000000000004">
      <c r="B43" s="13">
        <f>B42/Fsw</f>
        <v>1.9280648429584602E-5</v>
      </c>
      <c r="C43" t="s">
        <v>54</v>
      </c>
      <c r="E43" t="s">
        <v>333</v>
      </c>
    </row>
    <row r="44" spans="1:14" x14ac:dyDescent="0.55000000000000004">
      <c r="A44" t="s">
        <v>511</v>
      </c>
      <c r="B44" s="17">
        <f>(VOUT*IOUT)/(VIN_min)</f>
        <v>0.35817258883248726</v>
      </c>
      <c r="C44" t="s">
        <v>11</v>
      </c>
      <c r="E44" t="s">
        <v>95</v>
      </c>
    </row>
    <row r="46" spans="1:14" x14ac:dyDescent="0.55000000000000004">
      <c r="A46" t="s">
        <v>512</v>
      </c>
      <c r="B46" s="1">
        <f>1-VIN_nom/VOUT</f>
        <v>0.90476190476190477</v>
      </c>
      <c r="E46" t="s">
        <v>86</v>
      </c>
    </row>
    <row r="47" spans="1:14" x14ac:dyDescent="0.55000000000000004">
      <c r="B47" s="13">
        <f>B46/Fsw</f>
        <v>1.9250253292806485E-5</v>
      </c>
      <c r="C47" t="s">
        <v>54</v>
      </c>
      <c r="E47" t="s">
        <v>333</v>
      </c>
    </row>
    <row r="48" spans="1:14" x14ac:dyDescent="0.55000000000000004">
      <c r="A48" t="s">
        <v>513</v>
      </c>
      <c r="B48" s="17">
        <f>(VOUT*IOUT)/(VIN_nom)</f>
        <v>0.35279999999999995</v>
      </c>
      <c r="C48" t="s">
        <v>11</v>
      </c>
      <c r="E48" t="s">
        <v>96</v>
      </c>
    </row>
    <row r="50" spans="1:5" x14ac:dyDescent="0.55000000000000004">
      <c r="A50" t="s">
        <v>514</v>
      </c>
      <c r="B50" s="1">
        <f>1-VIN_max/VOUT</f>
        <v>0.90333333333333332</v>
      </c>
      <c r="E50" t="s">
        <v>87</v>
      </c>
    </row>
    <row r="51" spans="1:5" x14ac:dyDescent="0.55000000000000004">
      <c r="B51" s="13">
        <f>B50/Fsw</f>
        <v>1.9219858156028369E-5</v>
      </c>
      <c r="C51" t="s">
        <v>54</v>
      </c>
      <c r="E51" t="s">
        <v>333</v>
      </c>
    </row>
    <row r="52" spans="1:5" x14ac:dyDescent="0.55000000000000004">
      <c r="A52" t="s">
        <v>515</v>
      </c>
      <c r="B52" s="17">
        <f>(VOUT*IOUT)/(VIN_max)</f>
        <v>0.34758620689655167</v>
      </c>
      <c r="C52" t="s">
        <v>11</v>
      </c>
      <c r="E52" t="s">
        <v>97</v>
      </c>
    </row>
    <row r="54" spans="1:5" x14ac:dyDescent="0.55000000000000004">
      <c r="A54" s="33" t="s">
        <v>496</v>
      </c>
    </row>
    <row r="55" spans="1:5" x14ac:dyDescent="0.55000000000000004">
      <c r="A55" t="s">
        <v>497</v>
      </c>
      <c r="B55" s="1">
        <f>1/VIN_min*SQRT(2*Lm*(VOUT-VIN_min)*Fsw*IOUT)</f>
        <v>1.1269214870297515</v>
      </c>
      <c r="E55" t="s">
        <v>44</v>
      </c>
    </row>
    <row r="58" spans="1:5" x14ac:dyDescent="0.55000000000000004">
      <c r="A58" t="s">
        <v>501</v>
      </c>
      <c r="B58" s="1">
        <f>1/VIN_min*SQRT(2*Lm*(VOUT-VIN_min)*Fsw*IOUT)</f>
        <v>1.1269214870297515</v>
      </c>
      <c r="E58" t="s">
        <v>498</v>
      </c>
    </row>
    <row r="59" spans="1:5" x14ac:dyDescent="0.55000000000000004">
      <c r="B59" s="13">
        <f>B58/Fsw</f>
        <v>2.3977052915526627E-5</v>
      </c>
      <c r="C59" t="s">
        <v>54</v>
      </c>
      <c r="E59" t="s">
        <v>333</v>
      </c>
    </row>
    <row r="60" spans="1:5" x14ac:dyDescent="0.55000000000000004">
      <c r="A60" t="s">
        <v>502</v>
      </c>
      <c r="B60" s="17">
        <f>(VOUT*IOUT)/(VIN_min)</f>
        <v>0.35817258883248726</v>
      </c>
      <c r="C60" t="s">
        <v>11</v>
      </c>
      <c r="E60" t="s">
        <v>95</v>
      </c>
    </row>
    <row r="62" spans="1:5" x14ac:dyDescent="0.55000000000000004">
      <c r="A62" t="s">
        <v>503</v>
      </c>
      <c r="B62" s="1">
        <f>1/VIN_nom*SQRT(2*Lm*(VOUT-VIN_nom)*Fsw*IOUT)</f>
        <v>1.1091423713843052</v>
      </c>
      <c r="E62" t="s">
        <v>499</v>
      </c>
    </row>
    <row r="63" spans="1:5" x14ac:dyDescent="0.55000000000000004">
      <c r="B63" s="13">
        <f>B62/Fsw</f>
        <v>2.3598773859240536E-5</v>
      </c>
      <c r="C63" t="s">
        <v>54</v>
      </c>
      <c r="E63" t="s">
        <v>333</v>
      </c>
    </row>
    <row r="64" spans="1:5" x14ac:dyDescent="0.55000000000000004">
      <c r="A64" t="s">
        <v>504</v>
      </c>
      <c r="B64" s="17">
        <f>(VOUT*IOUT)/(VIN_nom)</f>
        <v>0.35279999999999995</v>
      </c>
      <c r="C64" t="s">
        <v>11</v>
      </c>
      <c r="E64" t="s">
        <v>96</v>
      </c>
    </row>
    <row r="66" spans="1:5" x14ac:dyDescent="0.55000000000000004">
      <c r="A66" t="s">
        <v>505</v>
      </c>
      <c r="B66" s="1">
        <f>1/VIN_max*SQRT(2*Lm*(VOUT-VIN_max)*Fsw*IOUT)</f>
        <v>1.091888065763591</v>
      </c>
      <c r="E66" t="s">
        <v>500</v>
      </c>
    </row>
    <row r="67" spans="1:5" x14ac:dyDescent="0.55000000000000004">
      <c r="B67" s="13">
        <f>B66/Fsw</f>
        <v>2.3231660973693427E-5</v>
      </c>
      <c r="C67" t="s">
        <v>54</v>
      </c>
      <c r="E67" t="s">
        <v>333</v>
      </c>
    </row>
    <row r="68" spans="1:5" x14ac:dyDescent="0.55000000000000004">
      <c r="A68" t="s">
        <v>94</v>
      </c>
      <c r="B68" s="17">
        <f>(VOUT*IOUT)/(VIN_max)</f>
        <v>0.34758620689655167</v>
      </c>
      <c r="C68" t="s">
        <v>11</v>
      </c>
      <c r="E68" t="s">
        <v>97</v>
      </c>
    </row>
    <row r="70" spans="1:5" x14ac:dyDescent="0.55000000000000004">
      <c r="A70" s="19" t="s">
        <v>77</v>
      </c>
    </row>
    <row r="71" spans="1:5" x14ac:dyDescent="0.55000000000000004">
      <c r="A71" t="s">
        <v>99</v>
      </c>
      <c r="B71" s="3">
        <f>'Design Converter'!H21/100</f>
        <v>0.6</v>
      </c>
      <c r="E71" t="s">
        <v>122</v>
      </c>
    </row>
    <row r="72" spans="1:5" x14ac:dyDescent="0.55000000000000004">
      <c r="A72" s="22" t="s">
        <v>107</v>
      </c>
    </row>
    <row r="73" spans="1:5" x14ac:dyDescent="0.55000000000000004">
      <c r="A73" t="s">
        <v>90</v>
      </c>
      <c r="B73" s="25">
        <f>(VIN_min*Dc_VIN_min)/(IL_avg_VIN_min*ILrip*Fsw)</f>
        <v>1.7674383146819464E-3</v>
      </c>
      <c r="C73" t="s">
        <v>98</v>
      </c>
      <c r="E73" t="s">
        <v>91</v>
      </c>
    </row>
    <row r="74" spans="1:5" x14ac:dyDescent="0.55000000000000004">
      <c r="A74" t="s">
        <v>569</v>
      </c>
      <c r="B74" s="25">
        <f>(VIN_nom*Dc_VIN_nom)/(IL_avg_VIN_nom*ILrip*Fsw)</f>
        <v>1.8188070004541278E-3</v>
      </c>
      <c r="C74" t="s">
        <v>98</v>
      </c>
      <c r="E74" t="s">
        <v>570</v>
      </c>
    </row>
    <row r="75" spans="1:5" x14ac:dyDescent="0.55000000000000004">
      <c r="A75" t="s">
        <v>568</v>
      </c>
      <c r="B75" s="25">
        <f>(VIN_max*Dc_VIN_max)/(IL_avg_VIN_max*ILrip*Fsw)</f>
        <v>1.8708218413448913E-3</v>
      </c>
      <c r="C75" t="s">
        <v>98</v>
      </c>
      <c r="E75" t="s">
        <v>571</v>
      </c>
    </row>
    <row r="76" spans="1:5" x14ac:dyDescent="0.55000000000000004">
      <c r="A76" t="s">
        <v>100</v>
      </c>
      <c r="B76" s="25">
        <f>AVERAGE(B73:B75)</f>
        <v>1.8190223854936552E-3</v>
      </c>
      <c r="C76" t="s">
        <v>98</v>
      </c>
      <c r="E76" t="s">
        <v>101</v>
      </c>
    </row>
    <row r="78" spans="1:5" x14ac:dyDescent="0.55000000000000004">
      <c r="A78" s="22" t="s">
        <v>108</v>
      </c>
    </row>
    <row r="79" spans="1:5" x14ac:dyDescent="0.55000000000000004">
      <c r="A79" t="s">
        <v>133</v>
      </c>
      <c r="B79" s="12">
        <v>0.33</v>
      </c>
      <c r="C79" t="s">
        <v>13</v>
      </c>
      <c r="E79" t="s">
        <v>132</v>
      </c>
    </row>
    <row r="80" spans="1:5" x14ac:dyDescent="0.55000000000000004">
      <c r="A80" t="s">
        <v>109</v>
      </c>
      <c r="B80" s="1">
        <f>IF(Dc_VIN_max&lt;Dc_rip_max,VOUT*(1-Dc_rip_max),VOUT*(1-Dc_VIN_max))</f>
        <v>20.300000000000004</v>
      </c>
      <c r="C80" t="s">
        <v>10</v>
      </c>
      <c r="E80" t="s">
        <v>136</v>
      </c>
    </row>
    <row r="81" spans="1:5" x14ac:dyDescent="0.55000000000000004">
      <c r="A81" t="s">
        <v>110</v>
      </c>
      <c r="B81" s="16">
        <f>(VOUT*IOUT)/(VIN_33)</f>
        <v>0.34758620689655162</v>
      </c>
      <c r="C81" t="s">
        <v>11</v>
      </c>
      <c r="E81" t="s">
        <v>135</v>
      </c>
    </row>
    <row r="82" spans="1:5" x14ac:dyDescent="0.55000000000000004">
      <c r="A82" t="s">
        <v>111</v>
      </c>
      <c r="B82" s="25">
        <f>(VIN_33*0.33)/(IIN_33*ILrip*Fsw)</f>
        <v>6.8343676122931477E-4</v>
      </c>
      <c r="C82" t="s">
        <v>98</v>
      </c>
      <c r="E82" t="s">
        <v>134</v>
      </c>
    </row>
    <row r="84" spans="1:5" x14ac:dyDescent="0.55000000000000004">
      <c r="A84" t="s">
        <v>102</v>
      </c>
      <c r="B84" s="21">
        <f>'Design Converter'!H23*10^-6</f>
        <v>8.1999999999999998E-4</v>
      </c>
      <c r="C84" t="s">
        <v>98</v>
      </c>
      <c r="E84" t="s">
        <v>103</v>
      </c>
    </row>
    <row r="85" spans="1:5" x14ac:dyDescent="0.55000000000000004">
      <c r="A85" t="s">
        <v>104</v>
      </c>
      <c r="B85" s="3">
        <f>'Design Converter'!H24*10^-3</f>
        <v>0.73599999999999999</v>
      </c>
      <c r="C85" s="2" t="s">
        <v>36</v>
      </c>
      <c r="E85" t="s">
        <v>137</v>
      </c>
    </row>
    <row r="86" spans="1:5" x14ac:dyDescent="0.55000000000000004">
      <c r="A86" t="s">
        <v>138</v>
      </c>
      <c r="B86" s="12">
        <v>0.2</v>
      </c>
      <c r="C86" s="2"/>
      <c r="E86" t="s">
        <v>139</v>
      </c>
    </row>
    <row r="88" spans="1:5" x14ac:dyDescent="0.55000000000000004">
      <c r="A88" s="22" t="s">
        <v>573</v>
      </c>
      <c r="C88" s="2"/>
    </row>
    <row r="89" spans="1:5" x14ac:dyDescent="0.55000000000000004">
      <c r="A89" t="s">
        <v>574</v>
      </c>
      <c r="B89" s="227">
        <f>VIN_min/(2*Fsw*IOUT)*(1-VIN_min/VOUT)*(1-(1-VIN_min/VOUT))</f>
        <v>5.3023149440458372E-4</v>
      </c>
      <c r="C89" s="2"/>
    </row>
    <row r="90" spans="1:5" x14ac:dyDescent="0.55000000000000004">
      <c r="C90" s="2"/>
    </row>
    <row r="91" spans="1:5" x14ac:dyDescent="0.55000000000000004">
      <c r="A91" s="22" t="s">
        <v>495</v>
      </c>
      <c r="C91" s="2"/>
    </row>
    <row r="92" spans="1:5" x14ac:dyDescent="0.55000000000000004">
      <c r="A92" t="s">
        <v>115</v>
      </c>
      <c r="B92" s="16">
        <f>(VIN_min*Dc_VIN_min)/(Lm*Fsw)</f>
        <v>0.46320582202782512</v>
      </c>
      <c r="C92" t="s">
        <v>11</v>
      </c>
      <c r="E92" t="s">
        <v>116</v>
      </c>
    </row>
    <row r="93" spans="1:5" x14ac:dyDescent="0.55000000000000004">
      <c r="A93" t="s">
        <v>113</v>
      </c>
      <c r="B93" s="16">
        <f>(IL_avg_VIN_min/EFF_est)+(ILrip_VINmin/2)</f>
        <v>0.62957245416112062</v>
      </c>
      <c r="C93" t="s">
        <v>11</v>
      </c>
      <c r="E93" t="s">
        <v>114</v>
      </c>
    </row>
    <row r="95" spans="1:5" x14ac:dyDescent="0.55000000000000004">
      <c r="A95" t="s">
        <v>117</v>
      </c>
      <c r="B95" s="16">
        <f>(VIN_nom*Dc_VIN_nom)/(Lm*Fsw)</f>
        <v>0.4695183729952801</v>
      </c>
      <c r="C95" t="s">
        <v>11</v>
      </c>
      <c r="E95" t="s">
        <v>123</v>
      </c>
    </row>
    <row r="96" spans="1:5" x14ac:dyDescent="0.55000000000000004">
      <c r="A96" t="s">
        <v>118</v>
      </c>
      <c r="B96" s="16">
        <f>(IL_avg_VIN_nom/EFF_est)+(ILrip_VINnom/2)</f>
        <v>0.62675918649763995</v>
      </c>
      <c r="C96" t="s">
        <v>11</v>
      </c>
      <c r="E96" t="s">
        <v>124</v>
      </c>
    </row>
    <row r="98" spans="1:5" x14ac:dyDescent="0.55000000000000004">
      <c r="A98" t="s">
        <v>119</v>
      </c>
      <c r="B98" s="16">
        <f>(VIN_max*Dc_VIN_max)/(Lm*Fsw)</f>
        <v>0.47580868361875112</v>
      </c>
      <c r="C98" t="s">
        <v>11</v>
      </c>
      <c r="E98" t="s">
        <v>125</v>
      </c>
    </row>
    <row r="99" spans="1:5" x14ac:dyDescent="0.55000000000000004">
      <c r="A99" t="s">
        <v>120</v>
      </c>
      <c r="B99" s="16">
        <f>(IL_avg_VIN_max/EFF_est)+(ILrip_VINmax/2)</f>
        <v>0.62411123836109961</v>
      </c>
      <c r="C99" t="s">
        <v>11</v>
      </c>
      <c r="E99" t="s">
        <v>126</v>
      </c>
    </row>
    <row r="100" spans="1:5" x14ac:dyDescent="0.55000000000000004">
      <c r="C100" s="2"/>
    </row>
    <row r="101" spans="1:5" x14ac:dyDescent="0.55000000000000004">
      <c r="A101" s="22" t="s">
        <v>496</v>
      </c>
      <c r="C101" s="2"/>
    </row>
    <row r="102" spans="1:5" x14ac:dyDescent="0.55000000000000004">
      <c r="A102" t="s">
        <v>115</v>
      </c>
      <c r="B102" s="16">
        <f>(VIN_min*Dc_VIN_min)/(Lm*Fsw)</f>
        <v>0.46320582202782512</v>
      </c>
      <c r="C102" t="s">
        <v>11</v>
      </c>
      <c r="E102" t="s">
        <v>116</v>
      </c>
    </row>
    <row r="103" spans="1:5" x14ac:dyDescent="0.55000000000000004">
      <c r="A103" t="s">
        <v>113</v>
      </c>
      <c r="B103" s="16">
        <f>B102</f>
        <v>0.46320582202782512</v>
      </c>
      <c r="C103" t="s">
        <v>11</v>
      </c>
      <c r="E103" t="s">
        <v>114</v>
      </c>
    </row>
    <row r="105" spans="1:5" x14ac:dyDescent="0.55000000000000004">
      <c r="A105" t="s">
        <v>117</v>
      </c>
      <c r="B105" s="16">
        <f>(VIN_nom*Dc_VIN_nom)/(Lm*Fsw)</f>
        <v>0.4695183729952801</v>
      </c>
      <c r="C105" t="s">
        <v>11</v>
      </c>
      <c r="E105" t="s">
        <v>123</v>
      </c>
    </row>
    <row r="106" spans="1:5" x14ac:dyDescent="0.55000000000000004">
      <c r="A106" t="s">
        <v>118</v>
      </c>
      <c r="B106" s="16">
        <f>B105</f>
        <v>0.4695183729952801</v>
      </c>
      <c r="C106" t="s">
        <v>11</v>
      </c>
      <c r="E106" t="s">
        <v>124</v>
      </c>
    </row>
    <row r="108" spans="1:5" x14ac:dyDescent="0.55000000000000004">
      <c r="A108" t="s">
        <v>119</v>
      </c>
      <c r="B108" s="16">
        <f>(VIN_max*Dc_VIN_max)/(Lm*Fsw)</f>
        <v>0.47580868361875112</v>
      </c>
      <c r="C108" t="s">
        <v>11</v>
      </c>
      <c r="E108" t="s">
        <v>125</v>
      </c>
    </row>
    <row r="109" spans="1:5" x14ac:dyDescent="0.55000000000000004">
      <c r="A109" t="s">
        <v>120</v>
      </c>
      <c r="B109" s="16">
        <f>B108</f>
        <v>0.47580868361875112</v>
      </c>
      <c r="C109" t="s">
        <v>11</v>
      </c>
      <c r="E109" t="s">
        <v>126</v>
      </c>
    </row>
    <row r="110" spans="1:5" x14ac:dyDescent="0.55000000000000004">
      <c r="C110" s="2"/>
    </row>
    <row r="111" spans="1:5" x14ac:dyDescent="0.55000000000000004">
      <c r="A111" s="22" t="s">
        <v>324</v>
      </c>
      <c r="B111" t="s">
        <v>112</v>
      </c>
    </row>
    <row r="112" spans="1:5" x14ac:dyDescent="0.55000000000000004">
      <c r="A112" t="s">
        <v>115</v>
      </c>
      <c r="B112" s="16">
        <f>IF(B$36="CCM",B92,B102)</f>
        <v>0.46320582202782512</v>
      </c>
      <c r="C112" t="s">
        <v>11</v>
      </c>
      <c r="E112" t="s">
        <v>116</v>
      </c>
    </row>
    <row r="113" spans="1:13" x14ac:dyDescent="0.55000000000000004">
      <c r="A113" t="s">
        <v>113</v>
      </c>
      <c r="B113" s="16">
        <f>IF(B$36="CCM",B93,B103)</f>
        <v>0.62957245416112062</v>
      </c>
      <c r="C113" t="s">
        <v>11</v>
      </c>
      <c r="E113" t="s">
        <v>114</v>
      </c>
    </row>
    <row r="115" spans="1:13" x14ac:dyDescent="0.55000000000000004">
      <c r="A115" t="s">
        <v>117</v>
      </c>
      <c r="B115" s="16">
        <f>IF(B$36="CCM",B95,B105)</f>
        <v>0.4695183729952801</v>
      </c>
      <c r="C115" t="s">
        <v>11</v>
      </c>
      <c r="E115" t="s">
        <v>123</v>
      </c>
    </row>
    <row r="116" spans="1:13" x14ac:dyDescent="0.55000000000000004">
      <c r="A116" t="s">
        <v>118</v>
      </c>
      <c r="B116" s="16">
        <f>IF(B$36="CCM",B96,B106)</f>
        <v>0.62675918649763995</v>
      </c>
      <c r="C116" t="s">
        <v>11</v>
      </c>
      <c r="E116" t="s">
        <v>124</v>
      </c>
    </row>
    <row r="118" spans="1:13" x14ac:dyDescent="0.55000000000000004">
      <c r="A118" t="s">
        <v>119</v>
      </c>
      <c r="B118" s="16">
        <f>IF(B$36="CCM",B98,B108)</f>
        <v>0.47580868361875112</v>
      </c>
      <c r="C118" t="s">
        <v>11</v>
      </c>
      <c r="E118" t="s">
        <v>125</v>
      </c>
    </row>
    <row r="119" spans="1:13" x14ac:dyDescent="0.55000000000000004">
      <c r="A119" t="s">
        <v>120</v>
      </c>
      <c r="B119" s="16">
        <f>IF(B$36="CCM",B99,B109)</f>
        <v>0.62411123836109961</v>
      </c>
      <c r="C119" t="s">
        <v>11</v>
      </c>
      <c r="E119" t="s">
        <v>126</v>
      </c>
    </row>
    <row r="121" spans="1:13" x14ac:dyDescent="0.55000000000000004">
      <c r="A121" s="19" t="s">
        <v>121</v>
      </c>
    </row>
    <row r="122" spans="1:13" x14ac:dyDescent="0.55000000000000004">
      <c r="A122" t="s">
        <v>128</v>
      </c>
      <c r="B122" s="3">
        <f>'Design Converter'!H28/100</f>
        <v>0.2</v>
      </c>
      <c r="E122" t="s">
        <v>129</v>
      </c>
    </row>
    <row r="123" spans="1:13" x14ac:dyDescent="0.55000000000000004">
      <c r="A123" t="s">
        <v>130</v>
      </c>
      <c r="B123" s="17">
        <f>(1+Ipk_margin)*ILp_VINmin</f>
        <v>0.75548694499334468</v>
      </c>
      <c r="C123" t="s">
        <v>11</v>
      </c>
      <c r="E123" t="s">
        <v>131</v>
      </c>
    </row>
    <row r="124" spans="1:13" x14ac:dyDescent="0.55000000000000004">
      <c r="B124" s="17"/>
    </row>
    <row r="125" spans="1:13" x14ac:dyDescent="0.55000000000000004">
      <c r="A125" t="s">
        <v>142</v>
      </c>
      <c r="B125" s="12">
        <v>0.6</v>
      </c>
      <c r="E125" t="s">
        <v>143</v>
      </c>
      <c r="J125">
        <f>Fsw*Isl*Rsl_int*Lm</f>
        <v>1.5412146</v>
      </c>
    </row>
    <row r="126" spans="1:13" x14ac:dyDescent="0.55000000000000004">
      <c r="J126">
        <f>Isl</f>
        <v>2.9999999999999997E-5</v>
      </c>
      <c r="K126">
        <f>Fsw</f>
        <v>47000</v>
      </c>
      <c r="L126">
        <f>Lm</f>
        <v>8.1999999999999998E-4</v>
      </c>
      <c r="M126">
        <f>Rsl_int</f>
        <v>1333</v>
      </c>
    </row>
    <row r="127" spans="1:13" x14ac:dyDescent="0.55000000000000004">
      <c r="A127" t="s">
        <v>140</v>
      </c>
      <c r="B127" s="25">
        <f>(1/B125)*((Fsw*Isl*Rsl_int*Lm)/(VOUT-VIN_min))</f>
        <v>1.3498113504992118E-2</v>
      </c>
      <c r="C127" s="2" t="s">
        <v>36</v>
      </c>
      <c r="E127" t="s">
        <v>141</v>
      </c>
    </row>
    <row r="128" spans="1:13" x14ac:dyDescent="0.55000000000000004">
      <c r="A128" t="s">
        <v>148</v>
      </c>
      <c r="B128" s="25">
        <f>Vcl/Ipk_selected</f>
        <v>0.13236496098669306</v>
      </c>
      <c r="C128" s="2" t="s">
        <v>36</v>
      </c>
      <c r="E128" t="s">
        <v>149</v>
      </c>
    </row>
    <row r="130" spans="1:11" x14ac:dyDescent="0.55000000000000004">
      <c r="A130" t="s">
        <v>155</v>
      </c>
      <c r="B130" s="12">
        <v>0.83299999999999996</v>
      </c>
      <c r="E130" t="s">
        <v>156</v>
      </c>
    </row>
    <row r="131" spans="1:11" x14ac:dyDescent="0.55000000000000004">
      <c r="A131" t="s">
        <v>154</v>
      </c>
      <c r="B131" s="24">
        <f>(Lm*Fsw*(Vcl+(Dc_VIN_min*Isl*Rsl_int)))/((Dc_VIN_min*Kslope*VOUT)-(Dc_VIN_min*Kslope*VIN_min)+(Ipk_selected*Lm*Fsw))</f>
        <v>3.0391647648778674E-2</v>
      </c>
      <c r="C131" s="2" t="s">
        <v>36</v>
      </c>
      <c r="E131" t="s">
        <v>165</v>
      </c>
    </row>
    <row r="132" spans="1:11" x14ac:dyDescent="0.55000000000000004">
      <c r="A132" t="s">
        <v>157</v>
      </c>
      <c r="B132" s="16">
        <f>(Vcl-(Ipk_selected*Rcs_w_sl))/(Isl*Dc_VIN_min)</f>
        <v>2833.8231673755663</v>
      </c>
      <c r="C132" s="2" t="s">
        <v>36</v>
      </c>
      <c r="E132" t="s">
        <v>164</v>
      </c>
    </row>
    <row r="134" spans="1:11" x14ac:dyDescent="0.55000000000000004">
      <c r="A134" t="s">
        <v>152</v>
      </c>
      <c r="B134" s="1">
        <f>IF(AND(Rcs_wo_sl&gt;Rcs_max,OR(B36="CCM",B36="CCM/DCM")),1,0)</f>
        <v>1</v>
      </c>
      <c r="E134" t="s">
        <v>153</v>
      </c>
    </row>
    <row r="135" spans="1:11" x14ac:dyDescent="0.55000000000000004">
      <c r="A135" t="s">
        <v>158</v>
      </c>
      <c r="B135" s="27">
        <f>IF(B134=0,Rcs_wo_sl,Rcs_w_sl)</f>
        <v>3.0391647648778674E-2</v>
      </c>
      <c r="C135" s="2" t="s">
        <v>36</v>
      </c>
      <c r="E135" t="s">
        <v>162</v>
      </c>
    </row>
    <row r="136" spans="1:11" x14ac:dyDescent="0.55000000000000004">
      <c r="A136" t="s">
        <v>159</v>
      </c>
      <c r="B136" s="1">
        <f>IF(K136&gt;Rsl_max,Rsl_max,K136)</f>
        <v>2000</v>
      </c>
      <c r="C136" s="2" t="s">
        <v>36</v>
      </c>
      <c r="E136" t="s">
        <v>163</v>
      </c>
      <c r="K136">
        <f>IF(B134=0,0,B132)</f>
        <v>2833.8231673755663</v>
      </c>
    </row>
    <row r="138" spans="1:11" x14ac:dyDescent="0.55000000000000004">
      <c r="A138" t="s">
        <v>160</v>
      </c>
      <c r="B138" s="28">
        <f>'Design Converter'!H32/1000</f>
        <v>0.04</v>
      </c>
      <c r="C138" s="2" t="s">
        <v>36</v>
      </c>
      <c r="E138" t="s">
        <v>167</v>
      </c>
    </row>
    <row r="139" spans="1:11" x14ac:dyDescent="0.55000000000000004">
      <c r="A139" t="s">
        <v>161</v>
      </c>
      <c r="B139" s="3">
        <f>'Design Converter'!H33</f>
        <v>2000</v>
      </c>
      <c r="C139" s="2" t="s">
        <v>36</v>
      </c>
      <c r="E139" t="s">
        <v>168</v>
      </c>
    </row>
    <row r="141" spans="1:11" x14ac:dyDescent="0.55000000000000004">
      <c r="A141" t="s">
        <v>172</v>
      </c>
      <c r="B141" s="1">
        <f>(Isl*(Rsl_int+R_sl)*Fsw)/(((VOUT-VIN_min)/Lm)*R_cs)</f>
        <v>0.50625520231213861</v>
      </c>
      <c r="C141" t="s">
        <v>180</v>
      </c>
      <c r="E141" t="s">
        <v>170</v>
      </c>
      <c r="K141">
        <f>IF(B141&lt;0.5,1,0)</f>
        <v>0</v>
      </c>
    </row>
    <row r="142" spans="1:11" x14ac:dyDescent="0.55000000000000004">
      <c r="A142" t="s">
        <v>174</v>
      </c>
      <c r="B142" s="17">
        <f>(Vcl-(Isl*R_sl*Dc_VIN_min))/R_cs</f>
        <v>1.1407142857142858</v>
      </c>
      <c r="C142" t="s">
        <v>11</v>
      </c>
      <c r="E142" t="s">
        <v>176</v>
      </c>
      <c r="K142">
        <f>IF(IL_pk&lt;Ipk_selected,1,0)</f>
        <v>0</v>
      </c>
    </row>
    <row r="143" spans="1:11" x14ac:dyDescent="0.55000000000000004">
      <c r="A143" t="s">
        <v>175</v>
      </c>
      <c r="B143" s="17">
        <f>(Vcl-(Isl*R_sl*Dc_VIN_max))/R_cs</f>
        <v>1.1450000000000002</v>
      </c>
      <c r="C143" t="s">
        <v>11</v>
      </c>
      <c r="E143" t="s">
        <v>177</v>
      </c>
    </row>
    <row r="144" spans="1:11" x14ac:dyDescent="0.55000000000000004">
      <c r="A144" t="s">
        <v>178</v>
      </c>
      <c r="B144" s="1">
        <f>0.15</f>
        <v>0.15</v>
      </c>
      <c r="E144" t="s">
        <v>179</v>
      </c>
    </row>
    <row r="145" spans="1:5" x14ac:dyDescent="0.55000000000000004">
      <c r="A145" t="s">
        <v>181</v>
      </c>
      <c r="B145" s="16">
        <f>(1+B144)*B143</f>
        <v>1.3167500000000001</v>
      </c>
      <c r="C145" t="s">
        <v>11</v>
      </c>
      <c r="E145" t="s">
        <v>182</v>
      </c>
    </row>
    <row r="147" spans="1:5" x14ac:dyDescent="0.55000000000000004">
      <c r="A147" s="22" t="s">
        <v>183</v>
      </c>
    </row>
    <row r="148" spans="1:5" x14ac:dyDescent="0.55000000000000004">
      <c r="A148" t="s">
        <v>184</v>
      </c>
    </row>
    <row r="150" spans="1:5" x14ac:dyDescent="0.55000000000000004">
      <c r="A150" s="30" t="s">
        <v>185</v>
      </c>
    </row>
    <row r="152" spans="1:5" x14ac:dyDescent="0.55000000000000004">
      <c r="A152" t="s">
        <v>190</v>
      </c>
      <c r="B152" s="31">
        <f>'Design Converter'!H38/1000</f>
        <v>6.5000000000000002E-2</v>
      </c>
      <c r="C152" t="s">
        <v>10</v>
      </c>
      <c r="E152" t="s">
        <v>189</v>
      </c>
    </row>
    <row r="153" spans="1:5" x14ac:dyDescent="0.55000000000000004">
      <c r="A153" t="s">
        <v>192</v>
      </c>
      <c r="B153" s="1">
        <f>IOUT*Dc_VIN_min/(Fsw*Vout_rip_sel)</f>
        <v>9.9666121112929616E-6</v>
      </c>
      <c r="C153" t="s">
        <v>193</v>
      </c>
      <c r="E153" t="s">
        <v>194</v>
      </c>
    </row>
    <row r="154" spans="1:5" x14ac:dyDescent="0.55000000000000004">
      <c r="A154" t="s">
        <v>196</v>
      </c>
      <c r="B154" s="16">
        <f>SQRT((1-Dc_VIN_min)*((IOUT^2)*(Dc_VIN_min/((1-Dc_VIN_min)^2))+((ILrip_VINmin^2)/3)))</f>
        <v>0.13272107846579184</v>
      </c>
      <c r="C154" t="s">
        <v>11</v>
      </c>
      <c r="E154" t="s">
        <v>197</v>
      </c>
    </row>
    <row r="155" spans="1:5" x14ac:dyDescent="0.55000000000000004">
      <c r="A155" t="s">
        <v>202</v>
      </c>
      <c r="B155" s="3">
        <f>'Design Converter'!H41*(10^-6)</f>
        <v>9.9999999999999991E-6</v>
      </c>
      <c r="C155" t="s">
        <v>193</v>
      </c>
      <c r="E155" t="s">
        <v>200</v>
      </c>
    </row>
    <row r="156" spans="1:5" x14ac:dyDescent="0.55000000000000004">
      <c r="A156" t="s">
        <v>199</v>
      </c>
      <c r="B156" s="3">
        <f>'Design Converter'!H42/1000</f>
        <v>2E-3</v>
      </c>
      <c r="C156" s="2" t="s">
        <v>36</v>
      </c>
      <c r="E156" t="s">
        <v>201</v>
      </c>
    </row>
    <row r="157" spans="1:5" x14ac:dyDescent="0.55000000000000004">
      <c r="A157" t="s">
        <v>331</v>
      </c>
      <c r="B157">
        <f>SQRT((IOUT^2)+(IL_avg_VIN_min^2)-(2*IOUT*IL_avg_VIN_min)-(2*Dc_VIN_min*(IOUT^2))-(Dc_VIN_min*(IL_avg_VIN_min^2))+(2*Dc_VIN_min*IOUT*IL_avg_VIN_min))</f>
        <v>9.4125094341368815E-2</v>
      </c>
      <c r="E157" s="38" t="s">
        <v>332</v>
      </c>
    </row>
    <row r="159" spans="1:5" x14ac:dyDescent="0.55000000000000004">
      <c r="A159" s="30" t="s">
        <v>350</v>
      </c>
    </row>
    <row r="160" spans="1:5" x14ac:dyDescent="0.55000000000000004">
      <c r="A160" t="s">
        <v>335</v>
      </c>
      <c r="B160" s="12">
        <f>Iss</f>
        <v>9.9999999999999991E-6</v>
      </c>
      <c r="C160" t="s">
        <v>11</v>
      </c>
      <c r="E160" t="s">
        <v>337</v>
      </c>
    </row>
    <row r="161" spans="1:5" x14ac:dyDescent="0.55000000000000004">
      <c r="A161" t="s">
        <v>338</v>
      </c>
      <c r="B161" s="1">
        <f>Iss*VOUT*Cout/(Vref*IOUT)</f>
        <v>6.2499999999999995E-7</v>
      </c>
      <c r="C161" t="s">
        <v>193</v>
      </c>
      <c r="E161" t="s">
        <v>339</v>
      </c>
    </row>
    <row r="162" spans="1:5" x14ac:dyDescent="0.55000000000000004">
      <c r="A162" t="s">
        <v>340</v>
      </c>
      <c r="B162" s="3">
        <f>'Design Converter'!H46*(10^-3)</f>
        <v>9.0999999999999998E-2</v>
      </c>
      <c r="C162" t="s">
        <v>54</v>
      </c>
      <c r="E162" t="s">
        <v>341</v>
      </c>
    </row>
    <row r="163" spans="1:5" x14ac:dyDescent="0.55000000000000004">
      <c r="A163" t="s">
        <v>344</v>
      </c>
      <c r="B163" s="1">
        <f>(tss*Iss)/(Vref*(1-(VIN_min/VOUT)))</f>
        <v>1.0042038885969519E-6</v>
      </c>
      <c r="C163" t="s">
        <v>193</v>
      </c>
      <c r="E163" t="s">
        <v>345</v>
      </c>
    </row>
    <row r="165" spans="1:5" x14ac:dyDescent="0.55000000000000004">
      <c r="A165" s="30" t="s">
        <v>349</v>
      </c>
    </row>
    <row r="166" spans="1:5" x14ac:dyDescent="0.55000000000000004">
      <c r="A166" t="s">
        <v>351</v>
      </c>
      <c r="B166" s="3">
        <f>'Design Converter'!H50</f>
        <v>20.5</v>
      </c>
      <c r="C166" t="s">
        <v>10</v>
      </c>
      <c r="E166" t="s">
        <v>353</v>
      </c>
    </row>
    <row r="167" spans="1:5" x14ac:dyDescent="0.55000000000000004">
      <c r="A167" t="s">
        <v>352</v>
      </c>
      <c r="B167" s="3">
        <f>'Design Converter'!H51</f>
        <v>19.3</v>
      </c>
      <c r="C167" t="s">
        <v>10</v>
      </c>
      <c r="E167" t="s">
        <v>354</v>
      </c>
    </row>
    <row r="168" spans="1:5" x14ac:dyDescent="0.55000000000000004">
      <c r="A168" t="s">
        <v>356</v>
      </c>
      <c r="B168" s="12">
        <f>UV_rise</f>
        <v>1.5</v>
      </c>
      <c r="C168" t="s">
        <v>10</v>
      </c>
      <c r="E168" t="s">
        <v>361</v>
      </c>
    </row>
    <row r="169" spans="1:5" x14ac:dyDescent="0.55000000000000004">
      <c r="A169" t="s">
        <v>357</v>
      </c>
      <c r="B169" s="12">
        <f>UV_fall</f>
        <v>1.45</v>
      </c>
      <c r="C169" t="s">
        <v>10</v>
      </c>
      <c r="E169" t="s">
        <v>360</v>
      </c>
    </row>
    <row r="170" spans="1:5" x14ac:dyDescent="0.55000000000000004">
      <c r="A170" t="s">
        <v>362</v>
      </c>
      <c r="B170" s="12">
        <f>UV_I_hyst</f>
        <v>4.9999999999999996E-6</v>
      </c>
      <c r="C170" t="s">
        <v>11</v>
      </c>
      <c r="E170" t="s">
        <v>364</v>
      </c>
    </row>
    <row r="171" spans="1:5" x14ac:dyDescent="0.55000000000000004">
      <c r="A171" t="s">
        <v>365</v>
      </c>
      <c r="B171" s="18">
        <f>((Vuvlo_on*0.967)-Vuvlo_off)/(UV_I_hyst)</f>
        <v>104699.99999999971</v>
      </c>
      <c r="C171" s="2" t="s">
        <v>36</v>
      </c>
      <c r="E171" t="s">
        <v>466</v>
      </c>
    </row>
    <row r="172" spans="1:5" x14ac:dyDescent="0.55000000000000004">
      <c r="A172" t="s">
        <v>365</v>
      </c>
      <c r="B172" s="3">
        <f>'Design Converter'!H53*1000</f>
        <v>100000</v>
      </c>
      <c r="C172" s="2" t="s">
        <v>36</v>
      </c>
      <c r="E172" t="s">
        <v>467</v>
      </c>
    </row>
    <row r="173" spans="1:5" x14ac:dyDescent="0.55000000000000004">
      <c r="A173" t="s">
        <v>366</v>
      </c>
      <c r="B173" s="18">
        <f>UV_rise*Ruvlo_top/(Vuvlo_on-UV_rise)</f>
        <v>7894.7368421052633</v>
      </c>
      <c r="C173" s="2" t="s">
        <v>36</v>
      </c>
      <c r="E173" t="s">
        <v>468</v>
      </c>
    </row>
    <row r="174" spans="1:5" x14ac:dyDescent="0.55000000000000004">
      <c r="A174" t="s">
        <v>367</v>
      </c>
      <c r="B174" s="17">
        <f>UV_rise*(Ruvlo_top+Ruvlo_bottom_calc)/Ruvlo_bottom_calc</f>
        <v>20.5</v>
      </c>
      <c r="E174" t="s">
        <v>369</v>
      </c>
    </row>
    <row r="175" spans="1:5" x14ac:dyDescent="0.55000000000000004">
      <c r="A175" t="s">
        <v>368</v>
      </c>
      <c r="B175" s="17">
        <f>Ruvlo_top*((UV_fall/Ruvlo_top)-(UV_I_hyst)+(UV_fall/Ruvlo_bottom_calc))</f>
        <v>19.316666666666666</v>
      </c>
      <c r="E175" t="s">
        <v>370</v>
      </c>
    </row>
    <row r="178" spans="1:5" x14ac:dyDescent="0.55000000000000004">
      <c r="A178" s="30" t="s">
        <v>204</v>
      </c>
    </row>
    <row r="179" spans="1:5" x14ac:dyDescent="0.55000000000000004">
      <c r="A179" s="34" t="s">
        <v>232</v>
      </c>
      <c r="B179" s="3" t="str">
        <f>'Design Converter'!H57</f>
        <v>20V</v>
      </c>
      <c r="C179" t="s">
        <v>10</v>
      </c>
      <c r="E179" t="s">
        <v>276</v>
      </c>
    </row>
    <row r="180" spans="1:5" x14ac:dyDescent="0.55000000000000004">
      <c r="A180" s="34"/>
    </row>
    <row r="181" spans="1:5" x14ac:dyDescent="0.55000000000000004">
      <c r="A181" s="33" t="s">
        <v>291</v>
      </c>
    </row>
    <row r="182" spans="1:5" x14ac:dyDescent="0.55000000000000004">
      <c r="A182" t="s">
        <v>224</v>
      </c>
      <c r="B182" s="3">
        <f>'Design Converter'!H60*(10^3)</f>
        <v>100000</v>
      </c>
      <c r="C182" s="2" t="s">
        <v>36</v>
      </c>
      <c r="E182" t="s">
        <v>277</v>
      </c>
    </row>
    <row r="183" spans="1:5" x14ac:dyDescent="0.55000000000000004">
      <c r="A183" t="s">
        <v>281</v>
      </c>
      <c r="B183" s="18">
        <f>(RFBT*Vref)/(VOUT-Vref)</f>
        <v>478.46889952153111</v>
      </c>
      <c r="C183" s="2" t="s">
        <v>36</v>
      </c>
      <c r="E183" t="s">
        <v>284</v>
      </c>
    </row>
    <row r="184" spans="1:5" x14ac:dyDescent="0.55000000000000004">
      <c r="A184" t="s">
        <v>225</v>
      </c>
      <c r="B184" s="3">
        <f>'Design Converter'!H62*(10^3)</f>
        <v>500</v>
      </c>
      <c r="C184" s="2" t="s">
        <v>36</v>
      </c>
      <c r="E184" t="s">
        <v>285</v>
      </c>
    </row>
    <row r="185" spans="1:5" x14ac:dyDescent="0.55000000000000004">
      <c r="A185" t="s">
        <v>286</v>
      </c>
      <c r="B185" s="1">
        <f>VOUT/(RFBB+RFBT)</f>
        <v>2.08955223880597E-3</v>
      </c>
      <c r="C185" s="2" t="s">
        <v>11</v>
      </c>
      <c r="E185" t="s">
        <v>287</v>
      </c>
    </row>
    <row r="186" spans="1:5" x14ac:dyDescent="0.55000000000000004">
      <c r="C186" s="2"/>
    </row>
    <row r="187" spans="1:5" x14ac:dyDescent="0.55000000000000004">
      <c r="A187" s="33" t="s">
        <v>292</v>
      </c>
      <c r="E187" t="s">
        <v>457</v>
      </c>
    </row>
    <row r="189" spans="1:5" x14ac:dyDescent="0.55000000000000004">
      <c r="A189" t="s">
        <v>470</v>
      </c>
      <c r="B189">
        <f>(Gcomp*(VIN_min/VOUT)*(VOUT/IOUT))/(2*R_cs*Acs)</f>
        <v>1062.6860119047619</v>
      </c>
    </row>
    <row r="191" spans="1:5" x14ac:dyDescent="0.55000000000000004">
      <c r="A191" t="s">
        <v>471</v>
      </c>
      <c r="B191" s="12">
        <f>2/(Cout*(VOUT/IOUT))</f>
        <v>32</v>
      </c>
      <c r="C191" t="s">
        <v>454</v>
      </c>
      <c r="E191" t="s">
        <v>453</v>
      </c>
    </row>
    <row r="192" spans="1:5" x14ac:dyDescent="0.55000000000000004">
      <c r="A192" t="s">
        <v>472</v>
      </c>
      <c r="B192" s="1">
        <f>B191/(2*PI())</f>
        <v>5.0929581789406511</v>
      </c>
      <c r="C192" t="s">
        <v>69</v>
      </c>
      <c r="E192" t="s">
        <v>288</v>
      </c>
    </row>
    <row r="194" spans="1:5" x14ac:dyDescent="0.55000000000000004">
      <c r="A194" t="s">
        <v>473</v>
      </c>
      <c r="B194" s="12">
        <f>1/(Cout*Resr)</f>
        <v>50000000.000000007</v>
      </c>
      <c r="C194" t="s">
        <v>455</v>
      </c>
      <c r="E194" t="s">
        <v>456</v>
      </c>
    </row>
    <row r="195" spans="1:5" x14ac:dyDescent="0.55000000000000004">
      <c r="A195" t="s">
        <v>474</v>
      </c>
      <c r="B195" s="1">
        <f>B194/(2*PI())</f>
        <v>7957747.1545947678</v>
      </c>
      <c r="C195" t="s">
        <v>69</v>
      </c>
      <c r="E195" t="s">
        <v>290</v>
      </c>
    </row>
    <row r="197" spans="1:5" x14ac:dyDescent="0.55000000000000004">
      <c r="A197" t="s">
        <v>475</v>
      </c>
      <c r="B197" s="12">
        <f>((VOUT/IOUT)*((VIN_min/VOUT)^2))/(Lm)</f>
        <v>67074.899065317164</v>
      </c>
      <c r="E197" t="s">
        <v>452</v>
      </c>
    </row>
    <row r="198" spans="1:5" x14ac:dyDescent="0.55000000000000004">
      <c r="A198" t="s">
        <v>476</v>
      </c>
      <c r="B198" s="18">
        <f>B197/(2*PI())</f>
        <v>10675.301743635177</v>
      </c>
      <c r="C198" t="s">
        <v>69</v>
      </c>
      <c r="E198" t="s">
        <v>289</v>
      </c>
    </row>
    <row r="199" spans="1:5" x14ac:dyDescent="0.55000000000000004">
      <c r="B199">
        <f>Fsw/10</f>
        <v>4700</v>
      </c>
      <c r="C199" t="s">
        <v>69</v>
      </c>
      <c r="E199" t="s">
        <v>297</v>
      </c>
    </row>
    <row r="200" spans="1:5" x14ac:dyDescent="0.55000000000000004">
      <c r="B200">
        <f>IF((B198/5)&lt;(B199),0,1)</f>
        <v>0</v>
      </c>
      <c r="E200" t="s">
        <v>299</v>
      </c>
    </row>
    <row r="202" spans="1:5" x14ac:dyDescent="0.55000000000000004">
      <c r="A202" t="s">
        <v>477</v>
      </c>
      <c r="B202" s="1">
        <f>(Isl*(Rsl_int+R_sl)*Fsw)</f>
        <v>4699.53</v>
      </c>
      <c r="C202" t="s">
        <v>180</v>
      </c>
      <c r="E202" t="s">
        <v>248</v>
      </c>
    </row>
    <row r="203" spans="1:5" x14ac:dyDescent="0.55000000000000004">
      <c r="A203" t="s">
        <v>478</v>
      </c>
      <c r="B203" s="1">
        <f>(R_cs*VIN_min*Acs)/Lm</f>
        <v>960.97560975609758</v>
      </c>
      <c r="C203" t="s">
        <v>180</v>
      </c>
      <c r="E203" t="s">
        <v>249</v>
      </c>
    </row>
    <row r="204" spans="1:5" x14ac:dyDescent="0.55000000000000004">
      <c r="B204" s="1"/>
    </row>
    <row r="205" spans="1:5" x14ac:dyDescent="0.55000000000000004">
      <c r="A205" t="s">
        <v>479</v>
      </c>
      <c r="B205" s="1">
        <f>2*PI()*Fsw</f>
        <v>295309.70943744056</v>
      </c>
      <c r="C205" t="s">
        <v>251</v>
      </c>
    </row>
    <row r="206" spans="1:5" x14ac:dyDescent="0.55000000000000004">
      <c r="A206" t="s">
        <v>480</v>
      </c>
      <c r="B206" s="1">
        <f>1/(PI()*(((VIN_min/VOUT)*(1+(B202/B203)))-0.5))</f>
        <v>6.0546074426521388</v>
      </c>
    </row>
    <row r="212" spans="1:5" x14ac:dyDescent="0.55000000000000004">
      <c r="A212" t="s">
        <v>293</v>
      </c>
      <c r="B212" s="17">
        <f>IF(B200=0,fz_rhp/5,Fsw/10)</f>
        <v>2135.0603487270355</v>
      </c>
      <c r="C212" t="s">
        <v>69</v>
      </c>
      <c r="E212" t="s">
        <v>298</v>
      </c>
    </row>
    <row r="213" spans="1:5" x14ac:dyDescent="0.55000000000000004">
      <c r="A213" t="s">
        <v>295</v>
      </c>
      <c r="B213" s="3">
        <f>'Design Converter'!H66*1000</f>
        <v>550</v>
      </c>
      <c r="C213" t="s">
        <v>69</v>
      </c>
      <c r="E213" t="s">
        <v>296</v>
      </c>
    </row>
    <row r="215" spans="1:5" x14ac:dyDescent="0.55000000000000004">
      <c r="A215" t="s">
        <v>304</v>
      </c>
      <c r="B215" s="20">
        <f>Gplant_fc_dB</f>
        <v>19.87607847707087</v>
      </c>
      <c r="C215" t="s">
        <v>275</v>
      </c>
      <c r="E215" t="s">
        <v>305</v>
      </c>
    </row>
    <row r="216" spans="1:5" x14ac:dyDescent="0.55000000000000004">
      <c r="A216" t="s">
        <v>300</v>
      </c>
      <c r="B216" s="20">
        <f>10^(B215/20)</f>
        <v>9.8583429868923016</v>
      </c>
      <c r="C216" t="s">
        <v>180</v>
      </c>
      <c r="E216" t="s">
        <v>301</v>
      </c>
    </row>
    <row r="217" spans="1:5" x14ac:dyDescent="0.55000000000000004">
      <c r="A217" t="s">
        <v>306</v>
      </c>
      <c r="B217" s="20">
        <f>1/B216</f>
        <v>0.10143692518404002</v>
      </c>
      <c r="C217" t="s">
        <v>180</v>
      </c>
      <c r="E217" t="s">
        <v>307</v>
      </c>
    </row>
    <row r="219" spans="1:5" x14ac:dyDescent="0.55000000000000004">
      <c r="A219" t="s">
        <v>313</v>
      </c>
      <c r="B219">
        <f>fcross/10</f>
        <v>55</v>
      </c>
      <c r="C219" t="s">
        <v>69</v>
      </c>
      <c r="E219" t="s">
        <v>311</v>
      </c>
    </row>
    <row r="220" spans="1:5" x14ac:dyDescent="0.55000000000000004">
      <c r="A220" t="s">
        <v>314</v>
      </c>
      <c r="B220" s="35">
        <f>SQRT(B192*fcross)</f>
        <v>52.925674284012274</v>
      </c>
      <c r="C220" t="s">
        <v>69</v>
      </c>
      <c r="E220" t="s">
        <v>312</v>
      </c>
    </row>
    <row r="221" spans="1:5" x14ac:dyDescent="0.55000000000000004">
      <c r="A221" t="s">
        <v>310</v>
      </c>
      <c r="B221" s="35">
        <f>B220</f>
        <v>52.925674284012274</v>
      </c>
      <c r="C221" t="s">
        <v>69</v>
      </c>
    </row>
    <row r="223" spans="1:5" x14ac:dyDescent="0.55000000000000004">
      <c r="A223" t="s">
        <v>317</v>
      </c>
      <c r="B223" s="32">
        <f>fz_rhp</f>
        <v>10675.301743635177</v>
      </c>
      <c r="C223" t="s">
        <v>69</v>
      </c>
      <c r="E223" t="s">
        <v>490</v>
      </c>
    </row>
    <row r="224" spans="1:5" x14ac:dyDescent="0.55000000000000004">
      <c r="E224" t="s">
        <v>491</v>
      </c>
    </row>
    <row r="227" spans="1:5" x14ac:dyDescent="0.55000000000000004">
      <c r="A227" t="s">
        <v>308</v>
      </c>
      <c r="B227" s="23">
        <f>(Gea_mid_calc*(RFBT+RFBB)/(RFBB*gm_ea))</f>
        <v>10194.410980996021</v>
      </c>
      <c r="C227" s="2" t="s">
        <v>36</v>
      </c>
      <c r="E227" t="s">
        <v>309</v>
      </c>
    </row>
    <row r="228" spans="1:5" x14ac:dyDescent="0.55000000000000004">
      <c r="A228" t="s">
        <v>214</v>
      </c>
      <c r="B228" s="3">
        <f>'Design Converter'!H69*1000</f>
        <v>10000</v>
      </c>
      <c r="C228" s="2" t="s">
        <v>36</v>
      </c>
      <c r="E228" t="s">
        <v>221</v>
      </c>
    </row>
    <row r="229" spans="1:5" x14ac:dyDescent="0.55000000000000004">
      <c r="A229" t="s">
        <v>315</v>
      </c>
      <c r="B229" s="36">
        <f>1/(2*PI()*fz_ea_est*Rcomp_calc)</f>
        <v>2.9497933621909692E-7</v>
      </c>
      <c r="C229" s="2" t="s">
        <v>193</v>
      </c>
    </row>
    <row r="230" spans="1:5" x14ac:dyDescent="0.55000000000000004">
      <c r="A230" t="s">
        <v>219</v>
      </c>
      <c r="B230" s="3">
        <f>'Design Converter'!H70*(10^-9)</f>
        <v>1.0000000000000002E-6</v>
      </c>
      <c r="C230" t="s">
        <v>193</v>
      </c>
      <c r="E230" t="s">
        <v>222</v>
      </c>
    </row>
    <row r="231" spans="1:5" x14ac:dyDescent="0.55000000000000004">
      <c r="A231" t="s">
        <v>316</v>
      </c>
      <c r="B231" s="36">
        <f>(CComp_calc)/((CComp_calc*Rcomp_calc*2*PI()*fp_ea_est)-1)</f>
        <v>1.4697258096793854E-9</v>
      </c>
      <c r="C231" t="s">
        <v>193</v>
      </c>
    </row>
    <row r="232" spans="1:5" x14ac:dyDescent="0.55000000000000004">
      <c r="A232" t="s">
        <v>220</v>
      </c>
      <c r="B232" s="3">
        <f>'Design Converter'!H71*(10^-12)</f>
        <v>1.0000000000000001E-9</v>
      </c>
      <c r="C232" t="s">
        <v>193</v>
      </c>
      <c r="E232" t="s">
        <v>223</v>
      </c>
    </row>
    <row r="235" spans="1:5" x14ac:dyDescent="0.55000000000000004">
      <c r="A235" s="30" t="s">
        <v>379</v>
      </c>
    </row>
    <row r="236" spans="1:5" x14ac:dyDescent="0.55000000000000004">
      <c r="A236" s="30" t="s">
        <v>398</v>
      </c>
    </row>
    <row r="237" spans="1:5" x14ac:dyDescent="0.55000000000000004">
      <c r="A237" s="52" t="s">
        <v>461</v>
      </c>
      <c r="E237" t="s">
        <v>462</v>
      </c>
    </row>
    <row r="238" spans="1:5" x14ac:dyDescent="0.55000000000000004">
      <c r="A238" t="s">
        <v>380</v>
      </c>
      <c r="B238">
        <f>'Design Converter'!H86/1000</f>
        <v>0.92</v>
      </c>
      <c r="C238" t="s">
        <v>10</v>
      </c>
      <c r="E238" t="s">
        <v>381</v>
      </c>
    </row>
    <row r="239" spans="1:5" x14ac:dyDescent="0.55000000000000004">
      <c r="A239" t="s">
        <v>411</v>
      </c>
      <c r="B239">
        <f>'Design Converter'!H87*(10^-9)</f>
        <v>1E-8</v>
      </c>
      <c r="C239" t="s">
        <v>409</v>
      </c>
      <c r="E239" t="s">
        <v>410</v>
      </c>
    </row>
    <row r="242" spans="1:8" x14ac:dyDescent="0.55000000000000004">
      <c r="A242" s="30" t="s">
        <v>401</v>
      </c>
    </row>
    <row r="243" spans="1:8" ht="14.7" x14ac:dyDescent="0.6">
      <c r="A243" t="s">
        <v>412</v>
      </c>
      <c r="B243" s="3">
        <f>'Design Converter'!H76*(10^-3)</f>
        <v>4.9000000000000007E-3</v>
      </c>
      <c r="C243" s="2" t="s">
        <v>36</v>
      </c>
      <c r="E243" s="44" t="s">
        <v>387</v>
      </c>
    </row>
    <row r="244" spans="1:8" ht="14.7" x14ac:dyDescent="0.6">
      <c r="A244" t="s">
        <v>402</v>
      </c>
      <c r="B244" s="3">
        <f>'Design Converter'!H77*(10^-9)</f>
        <v>4.5000000000000006E-9</v>
      </c>
      <c r="C244" t="s">
        <v>193</v>
      </c>
      <c r="E244" s="44" t="s">
        <v>388</v>
      </c>
    </row>
    <row r="245" spans="1:8" ht="14.7" x14ac:dyDescent="0.6">
      <c r="A245" t="s">
        <v>404</v>
      </c>
      <c r="B245" s="3">
        <f>'Design Converter'!H78*(10^-9)</f>
        <v>2.0000000000000001E-9</v>
      </c>
      <c r="C245" t="s">
        <v>193</v>
      </c>
      <c r="E245" s="44" t="s">
        <v>389</v>
      </c>
    </row>
    <row r="246" spans="1:8" ht="14.7" x14ac:dyDescent="0.6">
      <c r="A246" t="s">
        <v>403</v>
      </c>
      <c r="B246" s="3">
        <f>'Design Converter'!H79*(10^-9)</f>
        <v>2.0000000000000003E-10</v>
      </c>
      <c r="C246" t="s">
        <v>193</v>
      </c>
      <c r="E246" s="44" t="s">
        <v>390</v>
      </c>
    </row>
    <row r="247" spans="1:8" ht="14.7" x14ac:dyDescent="0.6">
      <c r="A247" t="s">
        <v>405</v>
      </c>
      <c r="B247" s="3">
        <f>'Design Converter'!H80</f>
        <v>1.5</v>
      </c>
      <c r="C247" s="2" t="s">
        <v>36</v>
      </c>
      <c r="E247" s="44" t="s">
        <v>391</v>
      </c>
    </row>
    <row r="248" spans="1:8" x14ac:dyDescent="0.55000000000000004">
      <c r="A248" t="s">
        <v>413</v>
      </c>
      <c r="B248" s="12">
        <v>1.5</v>
      </c>
      <c r="C248" s="2"/>
      <c r="E248" s="44" t="s">
        <v>414</v>
      </c>
      <c r="H248" t="s">
        <v>423</v>
      </c>
    </row>
    <row r="249" spans="1:8" ht="14.7" x14ac:dyDescent="0.6">
      <c r="A249" t="s">
        <v>406</v>
      </c>
      <c r="B249" s="3">
        <f>'Design Converter'!H81</f>
        <v>0.38</v>
      </c>
      <c r="C249" s="2" t="s">
        <v>397</v>
      </c>
      <c r="E249" s="44" t="s">
        <v>392</v>
      </c>
    </row>
    <row r="250" spans="1:8" ht="14.7" x14ac:dyDescent="0.6">
      <c r="A250" t="s">
        <v>407</v>
      </c>
      <c r="B250" s="3">
        <f>'Design Converter'!H82</f>
        <v>1.4</v>
      </c>
      <c r="C250" s="2" t="s">
        <v>10</v>
      </c>
      <c r="E250" s="44" t="s">
        <v>393</v>
      </c>
    </row>
    <row r="251" spans="1:8" x14ac:dyDescent="0.55000000000000004">
      <c r="A251" t="s">
        <v>419</v>
      </c>
      <c r="B251" s="12">
        <f>Vcc</f>
        <v>6.75</v>
      </c>
      <c r="C251" s="2" t="s">
        <v>10</v>
      </c>
      <c r="E251" s="44" t="s">
        <v>424</v>
      </c>
    </row>
    <row r="252" spans="1:8" x14ac:dyDescent="0.55000000000000004">
      <c r="C252" s="2"/>
      <c r="E252" s="44"/>
    </row>
    <row r="253" spans="1:8" x14ac:dyDescent="0.55000000000000004">
      <c r="C253" s="2"/>
      <c r="E253" s="44"/>
    </row>
    <row r="254" spans="1:8" x14ac:dyDescent="0.55000000000000004">
      <c r="A254" t="s">
        <v>415</v>
      </c>
      <c r="B254" s="27">
        <f>Vth+(((VOUT*IOUT)/VIN_min)/gfs)</f>
        <v>2.3425594442960191</v>
      </c>
      <c r="C254" s="2" t="s">
        <v>10</v>
      </c>
      <c r="E254" s="44" t="s">
        <v>416</v>
      </c>
    </row>
    <row r="255" spans="1:8" x14ac:dyDescent="0.55000000000000004">
      <c r="A255" t="s">
        <v>425</v>
      </c>
      <c r="B255" s="1">
        <f>(Qgd+(Qgs/2))*((Rgate+B248)/(Vcc-B254))</f>
        <v>1.4294010141207065E-9</v>
      </c>
      <c r="C255" s="2" t="s">
        <v>54</v>
      </c>
      <c r="E255" s="44" t="s">
        <v>417</v>
      </c>
    </row>
    <row r="256" spans="1:8" ht="14.7" thickBot="1" x14ac:dyDescent="0.6">
      <c r="A256" t="s">
        <v>426</v>
      </c>
      <c r="B256" s="1">
        <f>(Qgd+(Qgs/2))*((B248+Rgate)/B254)</f>
        <v>2.6893661184735754E-9</v>
      </c>
      <c r="C256" t="s">
        <v>54</v>
      </c>
      <c r="E256" s="45" t="s">
        <v>418</v>
      </c>
    </row>
  </sheetData>
  <mergeCells count="2">
    <mergeCell ref="A1:J1"/>
    <mergeCell ref="E5:H5"/>
  </mergeCells>
  <pageMargins left="0.7" right="0.7" top="0.75" bottom="0.75" header="0.3" footer="0.3"/>
  <pageSetup orientation="portrait" r:id="rId1"/>
  <drawing r:id="rId2"/>
  <legacyDrawing r:id="rId3"/>
  <oleObjects>
    <mc:AlternateContent xmlns:mc="http://schemas.openxmlformats.org/markup-compatibility/2006">
      <mc:Choice Requires="x14">
        <oleObject progId="Mathcad" shapeId="2053" r:id="rId4">
          <objectPr defaultSize="0" autoPict="0" r:id="rId5">
            <anchor moveWithCells="1">
              <from>
                <xdr:col>8</xdr:col>
                <xdr:colOff>60960</xdr:colOff>
                <xdr:row>154</xdr:row>
                <xdr:rowOff>137160</xdr:rowOff>
              </from>
              <to>
                <xdr:col>12</xdr:col>
                <xdr:colOff>396240</xdr:colOff>
                <xdr:row>157</xdr:row>
                <xdr:rowOff>22860</xdr:rowOff>
              </to>
            </anchor>
          </objectPr>
        </oleObject>
      </mc:Choice>
      <mc:Fallback>
        <oleObject progId="Mathcad" shapeId="2053"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T157"/>
  <sheetViews>
    <sheetView topLeftCell="R1" zoomScale="85" zoomScaleNormal="85" workbookViewId="0">
      <pane ySplit="6" topLeftCell="A135" activePane="bottomLeft" state="frozen"/>
      <selection activeCell="N8" sqref="N8"/>
      <selection pane="bottomLeft" activeCell="N8" sqref="N8"/>
    </sheetView>
  </sheetViews>
  <sheetFormatPr defaultRowHeight="14.4" x14ac:dyDescent="0.55000000000000004"/>
  <cols>
    <col min="10" max="10" width="10" bestFit="1" customWidth="1"/>
    <col min="25" max="25" width="12" bestFit="1" customWidth="1"/>
    <col min="39" max="39" width="11" bestFit="1" customWidth="1"/>
  </cols>
  <sheetData>
    <row r="1" spans="1:46" ht="27.6" x14ac:dyDescent="0.95">
      <c r="A1" s="229" t="s">
        <v>15</v>
      </c>
      <c r="B1" s="229"/>
      <c r="C1" s="229"/>
      <c r="D1" s="229"/>
      <c r="E1" s="229"/>
      <c r="F1" s="229"/>
      <c r="G1" s="229"/>
      <c r="H1" s="229"/>
      <c r="I1" s="229"/>
      <c r="J1" s="229"/>
      <c r="K1" s="229"/>
      <c r="L1" s="229"/>
      <c r="M1" s="229"/>
    </row>
    <row r="4" spans="1:46" ht="14.7" thickBot="1" x14ac:dyDescent="0.6">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row>
    <row r="5" spans="1:46" ht="28.8" x14ac:dyDescent="0.55000000000000004">
      <c r="R5" s="234" t="s">
        <v>372</v>
      </c>
      <c r="S5" s="235"/>
      <c r="T5" s="235"/>
      <c r="U5" s="236"/>
      <c r="V5" s="234" t="s">
        <v>373</v>
      </c>
      <c r="W5" s="235"/>
      <c r="X5" s="236"/>
      <c r="Y5" s="234" t="s">
        <v>446</v>
      </c>
      <c r="Z5" s="235"/>
      <c r="AA5" s="235"/>
      <c r="AB5" s="235"/>
      <c r="AC5" s="235"/>
      <c r="AD5" s="236"/>
      <c r="AE5" s="234" t="s">
        <v>445</v>
      </c>
      <c r="AF5" s="235"/>
      <c r="AG5" s="235"/>
      <c r="AH5" s="235"/>
      <c r="AI5" s="236"/>
      <c r="AJ5" s="234" t="s">
        <v>447</v>
      </c>
      <c r="AK5" s="235"/>
      <c r="AL5" s="235"/>
      <c r="AM5" s="235"/>
      <c r="AN5" s="236"/>
      <c r="AO5" s="231" t="s">
        <v>442</v>
      </c>
      <c r="AP5" s="232"/>
      <c r="AQ5" s="233"/>
      <c r="AR5" s="49" t="s">
        <v>435</v>
      </c>
      <c r="AS5" s="50"/>
      <c r="AT5" s="51"/>
    </row>
    <row r="6" spans="1:46" ht="16.8" x14ac:dyDescent="0.75">
      <c r="R6" s="39" t="s">
        <v>31</v>
      </c>
      <c r="S6" s="37" t="s">
        <v>33</v>
      </c>
      <c r="T6" s="37" t="s">
        <v>327</v>
      </c>
      <c r="U6" s="40" t="s">
        <v>330</v>
      </c>
      <c r="V6" s="39" t="s">
        <v>328</v>
      </c>
      <c r="W6" s="37" t="s">
        <v>329</v>
      </c>
      <c r="X6" s="40" t="s">
        <v>377</v>
      </c>
      <c r="Y6" s="39" t="s">
        <v>374</v>
      </c>
      <c r="Z6" s="37" t="s">
        <v>376</v>
      </c>
      <c r="AA6" s="37" t="s">
        <v>375</v>
      </c>
      <c r="AB6" s="46" t="s">
        <v>383</v>
      </c>
      <c r="AC6" s="46" t="s">
        <v>384</v>
      </c>
      <c r="AD6" s="48" t="s">
        <v>433</v>
      </c>
      <c r="AE6" s="39" t="s">
        <v>427</v>
      </c>
      <c r="AF6" s="37" t="s">
        <v>428</v>
      </c>
      <c r="AG6" s="46" t="s">
        <v>430</v>
      </c>
      <c r="AH6" s="46" t="s">
        <v>429</v>
      </c>
      <c r="AI6" s="48" t="s">
        <v>431</v>
      </c>
      <c r="AJ6" s="39" t="s">
        <v>382</v>
      </c>
      <c r="AK6" s="37" t="s">
        <v>378</v>
      </c>
      <c r="AL6" s="37" t="s">
        <v>385</v>
      </c>
      <c r="AM6" s="37" t="s">
        <v>386</v>
      </c>
      <c r="AN6" s="40" t="s">
        <v>432</v>
      </c>
      <c r="AO6" s="39" t="s">
        <v>434</v>
      </c>
      <c r="AP6" s="37" t="s">
        <v>437</v>
      </c>
      <c r="AQ6" s="40" t="s">
        <v>438</v>
      </c>
      <c r="AR6" s="39" t="s">
        <v>436</v>
      </c>
      <c r="AS6" s="37" t="s">
        <v>444</v>
      </c>
      <c r="AT6" s="40" t="s">
        <v>443</v>
      </c>
    </row>
    <row r="7" spans="1:46" x14ac:dyDescent="0.55000000000000004">
      <c r="Q7">
        <v>0</v>
      </c>
      <c r="R7" s="39">
        <f t="shared" ref="R7:R70" si="0">VOUT</f>
        <v>210</v>
      </c>
      <c r="S7" s="37">
        <f t="shared" ref="S7:S38" si="1">Q7*$O$12</f>
        <v>0</v>
      </c>
      <c r="T7" s="37">
        <f t="shared" ref="T7:T70" si="2">VIN_var</f>
        <v>20</v>
      </c>
      <c r="U7" s="40">
        <f t="shared" ref="U7:U38" si="3">(R7*S7)/(T7*EFF_est)</f>
        <v>0</v>
      </c>
      <c r="V7" s="39">
        <f t="shared" ref="V7:V38" si="4">IF((S7*R7/T7)&lt;((T7*(1-(T7/R7)))/(2*Lm*Fsw)),1,2)</f>
        <v>1</v>
      </c>
      <c r="W7" s="37">
        <f t="shared" ref="W7:W38" si="5">CHOOSE(V7,SQRT((2*S7*Lm*Fsw*(R7-T7))/((T7)^2)),1-(T7/R7))</f>
        <v>0</v>
      </c>
      <c r="X7" s="40">
        <f t="shared" ref="X7:X38" si="6">CHOOSE(V7,(Lm*W7*Fsw)/(R7-T7),1-W7)</f>
        <v>0</v>
      </c>
      <c r="Y7" s="39">
        <f t="shared" ref="Y7:Y38" si="7">(T7*W7)/(Lm*Fsw)</f>
        <v>0</v>
      </c>
      <c r="Z7" s="37">
        <f>CHOOSE(V7,Y7,U7+(0.5*Y7))</f>
        <v>0</v>
      </c>
      <c r="AA7" s="37">
        <f>CHOOSE(V7,Z7*SQRT((W7+X7)/3),SQRT((U7^2)+((Y7^2)/12)))</f>
        <v>0</v>
      </c>
      <c r="AB7" s="37">
        <v>0</v>
      </c>
      <c r="AC7" s="37">
        <f t="shared" ref="AC7:AC38" si="8">(AA7^2)*Rdcr</f>
        <v>0</v>
      </c>
      <c r="AD7" s="40">
        <f>AB7+AC7</f>
        <v>0</v>
      </c>
      <c r="AE7" s="39">
        <f>U7*W7</f>
        <v>0</v>
      </c>
      <c r="AF7" s="37">
        <f>CHOOSE(V7,Z7*SQRT(W7/3),SQRT(W7*((Z7^2)+((Y7^2)/3)-(Z7*Y7))))</f>
        <v>0</v>
      </c>
      <c r="AG7" s="37">
        <f t="shared" ref="AG7:AG38" si="9">(AF7^2)*RDS_on</f>
        <v>0</v>
      </c>
      <c r="AH7" s="37">
        <f t="shared" ref="AH7:AH38" si="10">((R7*U7)/2)*Fsw*(tr_sw+tf_sw)</f>
        <v>0</v>
      </c>
      <c r="AI7" s="40">
        <f>AG7+AH7</f>
        <v>0</v>
      </c>
      <c r="AJ7" s="39">
        <f>X7*U7</f>
        <v>0</v>
      </c>
      <c r="AK7" s="37">
        <f t="shared" ref="AK7:AK38" si="11">CHOOSE(V7,Z7*SQRT(X7/3),SQRT(X7*((Z7^2)+((Y7^2)/3)-(Y7*Z7))))</f>
        <v>0</v>
      </c>
      <c r="AL7" s="37">
        <f t="shared" ref="AL7:AL38" si="12">S7*Vd_rect</f>
        <v>0</v>
      </c>
      <c r="AM7" s="37">
        <f t="shared" ref="AM7:AM38" si="13">CHOOSE(V7,(R7+Vd_rect)*Qrr*Fsw,(R7+Vd_rect)*Qrr*Fsw)</f>
        <v>9.9132400000000009E-2</v>
      </c>
      <c r="AN7" s="40">
        <f>AL7+AM7</f>
        <v>9.9132400000000009E-2</v>
      </c>
      <c r="AO7" s="39">
        <f t="shared" ref="AO7:AO38" si="14">(AF7^2)*R_cs</f>
        <v>0</v>
      </c>
      <c r="AP7" s="37">
        <f t="shared" ref="AP7:AP38" si="15">Qg_tot*Vcc*Fsw</f>
        <v>1.4276250000000003E-3</v>
      </c>
      <c r="AQ7" s="40">
        <f t="shared" ref="AQ7:AQ38" si="16">IQ*T7</f>
        <v>8.9999999999999993E-3</v>
      </c>
      <c r="AR7" s="39">
        <f>AO7+AN7+AI7+AD7+AP7+AQ7</f>
        <v>0.10956002500000001</v>
      </c>
      <c r="AS7" s="37">
        <f>R7*S7</f>
        <v>0</v>
      </c>
      <c r="AT7" s="40">
        <f>(AS7/(AS7+AR7))*100</f>
        <v>0</v>
      </c>
    </row>
    <row r="8" spans="1:46" x14ac:dyDescent="0.55000000000000004">
      <c r="M8">
        <f>Fsw</f>
        <v>47000</v>
      </c>
      <c r="Q8">
        <v>1</v>
      </c>
      <c r="R8" s="39">
        <f t="shared" si="0"/>
        <v>210</v>
      </c>
      <c r="S8" s="37">
        <f t="shared" si="1"/>
        <v>2.24E-4</v>
      </c>
      <c r="T8" s="37">
        <f t="shared" si="2"/>
        <v>20</v>
      </c>
      <c r="U8" s="40">
        <f t="shared" si="3"/>
        <v>2.6133333333333334E-3</v>
      </c>
      <c r="V8" s="39">
        <f t="shared" si="4"/>
        <v>1</v>
      </c>
      <c r="W8" s="37">
        <f t="shared" si="5"/>
        <v>9.0561095399735531E-2</v>
      </c>
      <c r="X8" s="40">
        <f t="shared" si="6"/>
        <v>1.836960324582004E-2</v>
      </c>
      <c r="Y8" s="39">
        <f t="shared" si="7"/>
        <v>4.6995897975991456E-2</v>
      </c>
      <c r="Z8" s="37">
        <f t="shared" ref="Z8:Z15" si="17">CHOOSE(V8,Y8,U8+(0.5*Y8))</f>
        <v>4.6995897975991456E-2</v>
      </c>
      <c r="AA8" s="37">
        <f t="shared" ref="AA8:AA15" si="18">CHOOSE(V8,Z8*SQRT((W8+X8)/3),SQRT((U8^2)+((Y8^2)/12)))</f>
        <v>8.9551830899746027E-3</v>
      </c>
      <c r="AB8" s="37">
        <v>0</v>
      </c>
      <c r="AC8" s="37">
        <f t="shared" si="8"/>
        <v>5.9023743872775769E-5</v>
      </c>
      <c r="AD8" s="40">
        <f t="shared" ref="AD8:AD71" si="19">AB8+AC8</f>
        <v>5.9023743872775769E-5</v>
      </c>
      <c r="AE8" s="39">
        <f>U8*W8</f>
        <v>2.3666632931130887E-4</v>
      </c>
      <c r="AF8" s="37">
        <f t="shared" ref="AF8:AF71" si="20">CHOOSE(V8,Z8*SQRT(W8/3),SQRT(W8*((Z8^2)+((Y8^2)/3)-(Z8*Y8))))</f>
        <v>8.1652626368419121E-3</v>
      </c>
      <c r="AG8" s="37">
        <f t="shared" si="9"/>
        <v>3.2669041825017208E-7</v>
      </c>
      <c r="AH8" s="37">
        <f t="shared" si="10"/>
        <v>5.3118915955641936E-5</v>
      </c>
      <c r="AI8" s="40">
        <f t="shared" ref="AI8:AI71" si="21">AG8+AH8</f>
        <v>5.3445606373892105E-5</v>
      </c>
      <c r="AJ8" s="39">
        <f t="shared" ref="AJ8:AJ71" si="22">X8*U8</f>
        <v>4.8005896482409702E-5</v>
      </c>
      <c r="AK8" s="37">
        <f t="shared" si="11"/>
        <v>3.6774706316108777E-3</v>
      </c>
      <c r="AL8" s="37">
        <f t="shared" si="12"/>
        <v>2.0608000000000001E-4</v>
      </c>
      <c r="AM8" s="37">
        <f t="shared" si="13"/>
        <v>9.9132400000000009E-2</v>
      </c>
      <c r="AN8" s="40">
        <f t="shared" ref="AN8:AN71" si="23">AL8+AM8</f>
        <v>9.9338480000000007E-2</v>
      </c>
      <c r="AO8" s="39">
        <f t="shared" si="14"/>
        <v>2.6668605571442618E-6</v>
      </c>
      <c r="AP8" s="37">
        <f t="shared" si="15"/>
        <v>1.4276250000000003E-3</v>
      </c>
      <c r="AQ8" s="40">
        <f t="shared" si="16"/>
        <v>8.9999999999999993E-3</v>
      </c>
      <c r="AR8" s="39">
        <f t="shared" ref="AR8:AR71" si="24">AO8+AN8+AI8+AD8+AP8+AQ8</f>
        <v>0.10988124121080381</v>
      </c>
      <c r="AS8" s="37">
        <f t="shared" ref="AS8:AS71" si="25">R8*S8</f>
        <v>4.7039999999999998E-2</v>
      </c>
      <c r="AT8" s="40">
        <f t="shared" ref="AT8:AT71" si="26">(AS8/(AS8+AR8))*100</f>
        <v>29.976821262079952</v>
      </c>
    </row>
    <row r="9" spans="1:46" x14ac:dyDescent="0.55000000000000004">
      <c r="N9" s="37" t="s">
        <v>233</v>
      </c>
      <c r="O9" s="37">
        <f>VIN_var</f>
        <v>20</v>
      </c>
      <c r="P9" t="s">
        <v>10</v>
      </c>
      <c r="Q9">
        <v>2</v>
      </c>
      <c r="R9" s="39">
        <f t="shared" si="0"/>
        <v>210</v>
      </c>
      <c r="S9" s="37">
        <f t="shared" si="1"/>
        <v>4.4799999999999999E-4</v>
      </c>
      <c r="T9" s="37">
        <f t="shared" si="2"/>
        <v>20</v>
      </c>
      <c r="U9" s="40">
        <f t="shared" si="3"/>
        <v>5.2266666666666668E-3</v>
      </c>
      <c r="V9" s="39">
        <f t="shared" si="4"/>
        <v>1</v>
      </c>
      <c r="W9" s="37">
        <f t="shared" si="5"/>
        <v>0.12807272933766969</v>
      </c>
      <c r="X9" s="40">
        <f t="shared" si="6"/>
        <v>2.5978542045651525E-2</v>
      </c>
      <c r="Y9" s="39">
        <f t="shared" si="7"/>
        <v>6.6462236293549401E-2</v>
      </c>
      <c r="Z9" s="37">
        <f t="shared" si="17"/>
        <v>6.6462236293549401E-2</v>
      </c>
      <c r="AA9" s="37">
        <f t="shared" si="18"/>
        <v>1.5060762716600649E-2</v>
      </c>
      <c r="AB9" s="37">
        <v>0</v>
      </c>
      <c r="AC9" s="37">
        <f t="shared" si="8"/>
        <v>1.6694435817383063E-4</v>
      </c>
      <c r="AD9" s="40">
        <f t="shared" si="19"/>
        <v>1.6694435817383063E-4</v>
      </c>
      <c r="AE9" s="39">
        <f t="shared" ref="AE9:AE72" si="27">U9*W9</f>
        <v>6.6939346533822033E-4</v>
      </c>
      <c r="AF9" s="37">
        <f t="shared" si="20"/>
        <v>1.3732280161850914E-2</v>
      </c>
      <c r="AG9" s="37">
        <f t="shared" si="9"/>
        <v>9.2402004037346458E-7</v>
      </c>
      <c r="AH9" s="37">
        <f t="shared" si="10"/>
        <v>1.0623783191128387E-4</v>
      </c>
      <c r="AI9" s="40">
        <f t="shared" si="21"/>
        <v>1.0716185195165733E-4</v>
      </c>
      <c r="AJ9" s="39">
        <f t="shared" si="22"/>
        <v>1.3578117975860529E-4</v>
      </c>
      <c r="AK9" s="37">
        <f t="shared" si="11"/>
        <v>6.1847437426448002E-3</v>
      </c>
      <c r="AL9" s="37">
        <f t="shared" si="12"/>
        <v>4.1216000000000001E-4</v>
      </c>
      <c r="AM9" s="37">
        <f t="shared" si="13"/>
        <v>9.9132400000000009E-2</v>
      </c>
      <c r="AN9" s="40">
        <f t="shared" si="23"/>
        <v>9.9544560000000004E-2</v>
      </c>
      <c r="AO9" s="39">
        <f t="shared" si="14"/>
        <v>7.5430207377425664E-6</v>
      </c>
      <c r="AP9" s="37">
        <f t="shared" si="15"/>
        <v>1.4276250000000003E-3</v>
      </c>
      <c r="AQ9" s="40">
        <f t="shared" si="16"/>
        <v>8.9999999999999993E-3</v>
      </c>
      <c r="AR9" s="39">
        <f t="shared" si="24"/>
        <v>0.11025383423086323</v>
      </c>
      <c r="AS9" s="37">
        <f t="shared" si="25"/>
        <v>9.4079999999999997E-2</v>
      </c>
      <c r="AT9" s="40">
        <f t="shared" si="26"/>
        <v>46.042301488702684</v>
      </c>
    </row>
    <row r="10" spans="1:46" x14ac:dyDescent="0.55000000000000004">
      <c r="N10" s="37"/>
      <c r="O10" s="37"/>
      <c r="Q10">
        <v>3</v>
      </c>
      <c r="R10" s="39">
        <f t="shared" si="0"/>
        <v>210</v>
      </c>
      <c r="S10" s="37">
        <f t="shared" si="1"/>
        <v>6.7199999999999996E-4</v>
      </c>
      <c r="T10" s="37">
        <f t="shared" si="2"/>
        <v>20</v>
      </c>
      <c r="U10" s="40">
        <f t="shared" si="3"/>
        <v>7.8399999999999997E-3</v>
      </c>
      <c r="V10" s="39">
        <f t="shared" si="4"/>
        <v>1</v>
      </c>
      <c r="W10" s="37">
        <f t="shared" si="5"/>
        <v>0.15685641842143405</v>
      </c>
      <c r="X10" s="40">
        <f t="shared" si="6"/>
        <v>3.1817086136642463E-2</v>
      </c>
      <c r="Y10" s="39">
        <f t="shared" si="7"/>
        <v>8.1399283041740558E-2</v>
      </c>
      <c r="Z10" s="37">
        <f t="shared" si="17"/>
        <v>8.1399283041740558E-2</v>
      </c>
      <c r="AA10" s="37">
        <f t="shared" si="18"/>
        <v>2.0413403049919194E-2</v>
      </c>
      <c r="AB10" s="37">
        <v>0</v>
      </c>
      <c r="AC10" s="37">
        <f t="shared" si="8"/>
        <v>3.0669636972173941E-4</v>
      </c>
      <c r="AD10" s="40">
        <f t="shared" si="19"/>
        <v>3.0669636972173941E-4</v>
      </c>
      <c r="AE10" s="39">
        <f t="shared" si="27"/>
        <v>1.229754320424043E-3</v>
      </c>
      <c r="AF10" s="37">
        <f t="shared" si="20"/>
        <v>1.8612773802570311E-2</v>
      </c>
      <c r="AG10" s="37">
        <f t="shared" si="9"/>
        <v>1.697533208265674E-6</v>
      </c>
      <c r="AH10" s="37">
        <f t="shared" si="10"/>
        <v>1.5935674786692576E-4</v>
      </c>
      <c r="AI10" s="40">
        <f t="shared" si="21"/>
        <v>1.6105428107519144E-4</v>
      </c>
      <c r="AJ10" s="39">
        <f t="shared" si="22"/>
        <v>2.4944595531127691E-4</v>
      </c>
      <c r="AK10" s="37">
        <f t="shared" si="11"/>
        <v>8.3828202565009377E-3</v>
      </c>
      <c r="AL10" s="37">
        <f t="shared" si="12"/>
        <v>6.1824000000000004E-4</v>
      </c>
      <c r="AM10" s="37">
        <f t="shared" si="13"/>
        <v>9.9132400000000009E-2</v>
      </c>
      <c r="AN10" s="40">
        <f t="shared" si="23"/>
        <v>9.9750640000000015E-2</v>
      </c>
      <c r="AO10" s="39">
        <f t="shared" si="14"/>
        <v>1.3857413945025907E-5</v>
      </c>
      <c r="AP10" s="37">
        <f t="shared" si="15"/>
        <v>1.4276250000000003E-3</v>
      </c>
      <c r="AQ10" s="40">
        <f t="shared" si="16"/>
        <v>8.9999999999999993E-3</v>
      </c>
      <c r="AR10" s="39">
        <f t="shared" si="24"/>
        <v>0.11065987306474195</v>
      </c>
      <c r="AS10" s="37">
        <f t="shared" si="25"/>
        <v>0.14112</v>
      </c>
      <c r="AT10" s="40">
        <f t="shared" si="26"/>
        <v>56.048959864124171</v>
      </c>
    </row>
    <row r="11" spans="1:46" x14ac:dyDescent="0.55000000000000004">
      <c r="N11" s="37" t="s">
        <v>325</v>
      </c>
      <c r="O11" s="37">
        <v>150</v>
      </c>
      <c r="Q11">
        <v>4</v>
      </c>
      <c r="R11" s="39">
        <f t="shared" si="0"/>
        <v>210</v>
      </c>
      <c r="S11" s="37">
        <f t="shared" si="1"/>
        <v>8.9599999999999999E-4</v>
      </c>
      <c r="T11" s="37">
        <f t="shared" si="2"/>
        <v>20</v>
      </c>
      <c r="U11" s="40">
        <f t="shared" si="3"/>
        <v>1.0453333333333334E-2</v>
      </c>
      <c r="V11" s="39">
        <f t="shared" si="4"/>
        <v>1</v>
      </c>
      <c r="W11" s="37">
        <f t="shared" si="5"/>
        <v>0.18112219079947106</v>
      </c>
      <c r="X11" s="40">
        <f t="shared" si="6"/>
        <v>3.6739206491640079E-2</v>
      </c>
      <c r="Y11" s="39">
        <f t="shared" si="7"/>
        <v>9.3991795951982912E-2</v>
      </c>
      <c r="Z11" s="37">
        <f t="shared" si="17"/>
        <v>9.3991795951982912E-2</v>
      </c>
      <c r="AA11" s="37">
        <f t="shared" si="18"/>
        <v>2.5329082758752564E-2</v>
      </c>
      <c r="AB11" s="37">
        <v>0</v>
      </c>
      <c r="AC11" s="37">
        <f t="shared" si="8"/>
        <v>4.7218995098220599E-4</v>
      </c>
      <c r="AD11" s="40">
        <f t="shared" si="19"/>
        <v>4.7218995098220599E-4</v>
      </c>
      <c r="AE11" s="39">
        <f t="shared" si="27"/>
        <v>1.8933306344904709E-3</v>
      </c>
      <c r="AF11" s="37">
        <f t="shared" si="20"/>
        <v>2.3094850322720267E-2</v>
      </c>
      <c r="AG11" s="37">
        <f t="shared" si="9"/>
        <v>2.6135233460013771E-6</v>
      </c>
      <c r="AH11" s="37">
        <f t="shared" si="10"/>
        <v>2.1247566382256774E-4</v>
      </c>
      <c r="AI11" s="40">
        <f t="shared" si="21"/>
        <v>2.1508918716856912E-4</v>
      </c>
      <c r="AJ11" s="39">
        <f t="shared" si="22"/>
        <v>3.8404717185927761E-4</v>
      </c>
      <c r="AK11" s="37">
        <f t="shared" si="11"/>
        <v>1.0401457684905711E-2</v>
      </c>
      <c r="AL11" s="37">
        <f t="shared" si="12"/>
        <v>8.2432000000000002E-4</v>
      </c>
      <c r="AM11" s="37">
        <f t="shared" si="13"/>
        <v>9.9132400000000009E-2</v>
      </c>
      <c r="AN11" s="40">
        <f t="shared" si="23"/>
        <v>9.9956720000000013E-2</v>
      </c>
      <c r="AO11" s="39">
        <f t="shared" si="14"/>
        <v>2.1334884457154098E-5</v>
      </c>
      <c r="AP11" s="37">
        <f t="shared" si="15"/>
        <v>1.4276250000000003E-3</v>
      </c>
      <c r="AQ11" s="40">
        <f t="shared" si="16"/>
        <v>8.9999999999999993E-3</v>
      </c>
      <c r="AR11" s="39">
        <f t="shared" si="24"/>
        <v>0.11109295902260795</v>
      </c>
      <c r="AS11" s="37">
        <f t="shared" si="25"/>
        <v>0.18815999999999999</v>
      </c>
      <c r="AT11" s="40">
        <f t="shared" si="26"/>
        <v>62.876571250807544</v>
      </c>
    </row>
    <row r="12" spans="1:46" x14ac:dyDescent="0.55000000000000004">
      <c r="N12" s="37" t="s">
        <v>326</v>
      </c>
      <c r="O12" s="37">
        <f>IOUT/(O11)</f>
        <v>2.24E-4</v>
      </c>
      <c r="Q12">
        <v>5</v>
      </c>
      <c r="R12" s="39">
        <f t="shared" si="0"/>
        <v>210</v>
      </c>
      <c r="S12" s="37">
        <f t="shared" si="1"/>
        <v>1.1199999999999999E-3</v>
      </c>
      <c r="T12" s="37">
        <f t="shared" si="2"/>
        <v>20</v>
      </c>
      <c r="U12" s="40">
        <f t="shared" si="3"/>
        <v>1.3066666666666666E-2</v>
      </c>
      <c r="V12" s="39">
        <f t="shared" si="4"/>
        <v>1</v>
      </c>
      <c r="W12" s="37">
        <f t="shared" si="5"/>
        <v>0.20250076543065212</v>
      </c>
      <c r="X12" s="40">
        <f t="shared" si="6"/>
        <v>4.1075681577354382E-2</v>
      </c>
      <c r="Y12" s="39">
        <f t="shared" si="7"/>
        <v>0.10508602253796168</v>
      </c>
      <c r="Z12" s="37">
        <f t="shared" si="17"/>
        <v>0.10508602253796168</v>
      </c>
      <c r="AA12" s="37">
        <f t="shared" si="18"/>
        <v>2.9943459353546566E-2</v>
      </c>
      <c r="AB12" s="37">
        <v>0</v>
      </c>
      <c r="AC12" s="37">
        <f t="shared" si="8"/>
        <v>6.5990551793031649E-4</v>
      </c>
      <c r="AD12" s="40">
        <f t="shared" si="19"/>
        <v>6.5990551793031649E-4</v>
      </c>
      <c r="AE12" s="39">
        <f t="shared" si="27"/>
        <v>2.6460100016271874E-3</v>
      </c>
      <c r="AF12" s="37">
        <f t="shared" si="20"/>
        <v>2.730220112987122E-2</v>
      </c>
      <c r="AG12" s="37">
        <f t="shared" si="9"/>
        <v>3.6525099140261127E-6</v>
      </c>
      <c r="AH12" s="37">
        <f t="shared" si="10"/>
        <v>2.6559457977820962E-4</v>
      </c>
      <c r="AI12" s="40">
        <f t="shared" si="21"/>
        <v>2.6924708969223575E-4</v>
      </c>
      <c r="AJ12" s="39">
        <f t="shared" si="22"/>
        <v>5.3672223927743055E-4</v>
      </c>
      <c r="AK12" s="37">
        <f t="shared" si="11"/>
        <v>1.2296364158626468E-2</v>
      </c>
      <c r="AL12" s="37">
        <f t="shared" si="12"/>
        <v>1.0303999999999999E-3</v>
      </c>
      <c r="AM12" s="37">
        <f t="shared" si="13"/>
        <v>9.9132400000000009E-2</v>
      </c>
      <c r="AN12" s="40">
        <f t="shared" si="23"/>
        <v>0.10016280000000001</v>
      </c>
      <c r="AO12" s="39">
        <f t="shared" si="14"/>
        <v>2.9816407461437651E-5</v>
      </c>
      <c r="AP12" s="37">
        <f t="shared" si="15"/>
        <v>1.4276250000000003E-3</v>
      </c>
      <c r="AQ12" s="40">
        <f t="shared" si="16"/>
        <v>8.9999999999999993E-3</v>
      </c>
      <c r="AR12" s="39">
        <f t="shared" si="24"/>
        <v>0.111549394015084</v>
      </c>
      <c r="AS12" s="37">
        <f t="shared" si="25"/>
        <v>0.23519999999999999</v>
      </c>
      <c r="AT12" s="40">
        <f t="shared" si="26"/>
        <v>67.829967134641493</v>
      </c>
    </row>
    <row r="13" spans="1:46" x14ac:dyDescent="0.55000000000000004">
      <c r="Q13">
        <v>6</v>
      </c>
      <c r="R13" s="39">
        <f t="shared" si="0"/>
        <v>210</v>
      </c>
      <c r="S13" s="37">
        <f t="shared" si="1"/>
        <v>1.3439999999999999E-3</v>
      </c>
      <c r="T13" s="37">
        <f t="shared" si="2"/>
        <v>20</v>
      </c>
      <c r="U13" s="40">
        <f t="shared" si="3"/>
        <v>1.5679999999999999E-2</v>
      </c>
      <c r="V13" s="39">
        <f t="shared" si="4"/>
        <v>1</v>
      </c>
      <c r="W13" s="37">
        <f t="shared" si="5"/>
        <v>0.22182847427686103</v>
      </c>
      <c r="X13" s="40">
        <f t="shared" si="6"/>
        <v>4.4996154729632754E-2</v>
      </c>
      <c r="Y13" s="39">
        <f t="shared" si="7"/>
        <v>0.11511597004507579</v>
      </c>
      <c r="Z13" s="37">
        <f t="shared" si="17"/>
        <v>0.11511597004507579</v>
      </c>
      <c r="AA13" s="37">
        <f t="shared" si="18"/>
        <v>3.4331114895612587E-2</v>
      </c>
      <c r="AB13" s="37">
        <v>0</v>
      </c>
      <c r="AC13" s="37">
        <f t="shared" si="8"/>
        <v>8.6746833118215379E-4</v>
      </c>
      <c r="AD13" s="40">
        <f t="shared" si="19"/>
        <v>8.6746833118215379E-4</v>
      </c>
      <c r="AE13" s="39">
        <f t="shared" si="27"/>
        <v>3.4782704766611809E-3</v>
      </c>
      <c r="AF13" s="37">
        <f t="shared" si="20"/>
        <v>3.1302829537019253E-2</v>
      </c>
      <c r="AG13" s="37">
        <f t="shared" si="9"/>
        <v>4.8013489714160566E-6</v>
      </c>
      <c r="AH13" s="37">
        <f t="shared" si="10"/>
        <v>3.1871349573385152E-4</v>
      </c>
      <c r="AI13" s="40">
        <f t="shared" si="21"/>
        <v>3.235148447052676E-4</v>
      </c>
      <c r="AJ13" s="39">
        <f t="shared" si="22"/>
        <v>7.055397061606415E-4</v>
      </c>
      <c r="AK13" s="37">
        <f t="shared" si="11"/>
        <v>1.4098167006815725E-2</v>
      </c>
      <c r="AL13" s="37">
        <f t="shared" si="12"/>
        <v>1.2364800000000001E-3</v>
      </c>
      <c r="AM13" s="37">
        <f t="shared" si="13"/>
        <v>9.9132400000000009E-2</v>
      </c>
      <c r="AN13" s="40">
        <f t="shared" si="23"/>
        <v>0.10036888000000001</v>
      </c>
      <c r="AO13" s="39">
        <f t="shared" si="14"/>
        <v>3.9194685480947393E-5</v>
      </c>
      <c r="AP13" s="37">
        <f t="shared" si="15"/>
        <v>1.4276250000000003E-3</v>
      </c>
      <c r="AQ13" s="40">
        <f t="shared" si="16"/>
        <v>8.9999999999999993E-3</v>
      </c>
      <c r="AR13" s="39">
        <f t="shared" si="24"/>
        <v>0.11202668286136835</v>
      </c>
      <c r="AS13" s="37">
        <f t="shared" si="25"/>
        <v>0.28223999999999999</v>
      </c>
      <c r="AT13" s="40">
        <f t="shared" si="26"/>
        <v>71.586064019322919</v>
      </c>
    </row>
    <row r="14" spans="1:46" x14ac:dyDescent="0.55000000000000004">
      <c r="Q14">
        <v>7</v>
      </c>
      <c r="R14" s="39">
        <f t="shared" si="0"/>
        <v>210</v>
      </c>
      <c r="S14" s="37">
        <f t="shared" si="1"/>
        <v>1.5679999999999999E-3</v>
      </c>
      <c r="T14" s="37">
        <f t="shared" si="2"/>
        <v>20</v>
      </c>
      <c r="U14" s="40">
        <f t="shared" si="3"/>
        <v>1.8293333333333335E-2</v>
      </c>
      <c r="V14" s="39">
        <f t="shared" si="4"/>
        <v>1</v>
      </c>
      <c r="W14" s="37">
        <f t="shared" si="5"/>
        <v>0.23960213688529575</v>
      </c>
      <c r="X14" s="40">
        <f t="shared" si="6"/>
        <v>4.8601401871364726E-2</v>
      </c>
      <c r="Y14" s="39">
        <f t="shared" si="7"/>
        <v>0.12433945868463712</v>
      </c>
      <c r="Z14" s="37">
        <f t="shared" si="17"/>
        <v>0.12433945868463712</v>
      </c>
      <c r="AA14" s="37">
        <f t="shared" si="18"/>
        <v>3.8538783298581167E-2</v>
      </c>
      <c r="AB14" s="37">
        <v>0</v>
      </c>
      <c r="AC14" s="37">
        <f t="shared" si="8"/>
        <v>1.0931350341473591E-3</v>
      </c>
      <c r="AD14" s="40">
        <f t="shared" si="19"/>
        <v>1.0931350341473591E-3</v>
      </c>
      <c r="AE14" s="39">
        <f t="shared" si="27"/>
        <v>4.3831217574216777E-3</v>
      </c>
      <c r="AF14" s="37">
        <f t="shared" si="20"/>
        <v>3.5139347144062069E-2</v>
      </c>
      <c r="AG14" s="37">
        <f t="shared" si="9"/>
        <v>6.0503912167834259E-6</v>
      </c>
      <c r="AH14" s="37">
        <f t="shared" si="10"/>
        <v>3.7183241168949359E-4</v>
      </c>
      <c r="AI14" s="40">
        <f t="shared" si="21"/>
        <v>3.7788280290627701E-4</v>
      </c>
      <c r="AJ14" s="39">
        <f t="shared" si="22"/>
        <v>8.890816449001655E-4</v>
      </c>
      <c r="AK14" s="37">
        <f t="shared" si="11"/>
        <v>1.5826057639983997E-2</v>
      </c>
      <c r="AL14" s="37">
        <f t="shared" si="12"/>
        <v>1.4425600000000001E-3</v>
      </c>
      <c r="AM14" s="37">
        <f t="shared" si="13"/>
        <v>9.9132400000000009E-2</v>
      </c>
      <c r="AN14" s="40">
        <f t="shared" si="23"/>
        <v>0.10057496</v>
      </c>
      <c r="AO14" s="39">
        <f t="shared" si="14"/>
        <v>4.9390948708436124E-5</v>
      </c>
      <c r="AP14" s="37">
        <f t="shared" si="15"/>
        <v>1.4276250000000003E-3</v>
      </c>
      <c r="AQ14" s="40">
        <f t="shared" si="16"/>
        <v>8.9999999999999993E-3</v>
      </c>
      <c r="AR14" s="39">
        <f t="shared" si="24"/>
        <v>0.11252299378576208</v>
      </c>
      <c r="AS14" s="37">
        <f t="shared" si="25"/>
        <v>0.32928000000000002</v>
      </c>
      <c r="AT14" s="40">
        <f t="shared" si="26"/>
        <v>74.530957153195203</v>
      </c>
    </row>
    <row r="15" spans="1:46" x14ac:dyDescent="0.55000000000000004">
      <c r="O15">
        <f>0.205*2.5/(Lm*Fsw)</f>
        <v>1.329787234042553E-2</v>
      </c>
      <c r="Q15">
        <v>8</v>
      </c>
      <c r="R15" s="39">
        <f t="shared" si="0"/>
        <v>210</v>
      </c>
      <c r="S15" s="37">
        <f t="shared" si="1"/>
        <v>1.792E-3</v>
      </c>
      <c r="T15" s="37">
        <f t="shared" si="2"/>
        <v>20</v>
      </c>
      <c r="U15" s="40">
        <f t="shared" si="3"/>
        <v>2.0906666666666667E-2</v>
      </c>
      <c r="V15" s="39">
        <f t="shared" si="4"/>
        <v>1</v>
      </c>
      <c r="W15" s="37">
        <f t="shared" si="5"/>
        <v>0.25614545867533939</v>
      </c>
      <c r="X15" s="40">
        <f t="shared" si="6"/>
        <v>5.1957084091303049E-2</v>
      </c>
      <c r="Y15" s="39">
        <f t="shared" si="7"/>
        <v>0.1329244725870988</v>
      </c>
      <c r="Z15" s="37">
        <f t="shared" si="17"/>
        <v>0.1329244725870988</v>
      </c>
      <c r="AA15" s="37">
        <f t="shared" si="18"/>
        <v>4.2598269786999397E-2</v>
      </c>
      <c r="AB15" s="37">
        <v>0</v>
      </c>
      <c r="AC15" s="37">
        <f t="shared" si="8"/>
        <v>1.3355548653906453E-3</v>
      </c>
      <c r="AD15" s="40">
        <f t="shared" si="19"/>
        <v>1.3355548653906453E-3</v>
      </c>
      <c r="AE15" s="39">
        <f t="shared" si="27"/>
        <v>5.3551477227057626E-3</v>
      </c>
      <c r="AF15" s="37">
        <f t="shared" si="20"/>
        <v>3.8840753694393125E-2</v>
      </c>
      <c r="AG15" s="37">
        <f t="shared" si="9"/>
        <v>7.3921603229877149E-6</v>
      </c>
      <c r="AH15" s="37">
        <f t="shared" si="10"/>
        <v>4.2495132764513549E-4</v>
      </c>
      <c r="AI15" s="40">
        <f t="shared" si="21"/>
        <v>4.3234348796812323E-4</v>
      </c>
      <c r="AJ15" s="39">
        <f t="shared" si="22"/>
        <v>1.0862494380688423E-3</v>
      </c>
      <c r="AK15" s="37">
        <f t="shared" si="11"/>
        <v>1.7493096961300823E-2</v>
      </c>
      <c r="AL15" s="37">
        <f t="shared" si="12"/>
        <v>1.64864E-3</v>
      </c>
      <c r="AM15" s="37">
        <f t="shared" si="13"/>
        <v>9.9132400000000009E-2</v>
      </c>
      <c r="AN15" s="40">
        <f t="shared" si="23"/>
        <v>0.10078104000000002</v>
      </c>
      <c r="AO15" s="39">
        <f t="shared" si="14"/>
        <v>6.0344165901940525E-5</v>
      </c>
      <c r="AP15" s="37">
        <f t="shared" si="15"/>
        <v>1.4276250000000003E-3</v>
      </c>
      <c r="AQ15" s="40">
        <f t="shared" si="16"/>
        <v>8.9999999999999993E-3</v>
      </c>
      <c r="AR15" s="39">
        <f t="shared" si="24"/>
        <v>0.11303690751926072</v>
      </c>
      <c r="AS15" s="37">
        <f t="shared" si="25"/>
        <v>0.37631999999999999</v>
      </c>
      <c r="AT15" s="40">
        <f t="shared" si="26"/>
        <v>76.900927363570176</v>
      </c>
    </row>
    <row r="16" spans="1:46" x14ac:dyDescent="0.55000000000000004">
      <c r="Q16">
        <v>9</v>
      </c>
      <c r="R16" s="39">
        <f t="shared" si="0"/>
        <v>210</v>
      </c>
      <c r="S16" s="37">
        <f t="shared" si="1"/>
        <v>2.016E-3</v>
      </c>
      <c r="T16" s="37">
        <f t="shared" si="2"/>
        <v>20</v>
      </c>
      <c r="U16" s="40">
        <f t="shared" si="3"/>
        <v>2.3519999999999999E-2</v>
      </c>
      <c r="V16" s="39">
        <f t="shared" si="4"/>
        <v>1</v>
      </c>
      <c r="W16" s="37">
        <f t="shared" si="5"/>
        <v>0.27168328619920662</v>
      </c>
      <c r="X16" s="40">
        <f t="shared" si="6"/>
        <v>5.5108809737460122E-2</v>
      </c>
      <c r="Y16" s="39">
        <f t="shared" si="7"/>
        <v>0.14098769392797439</v>
      </c>
      <c r="Z16" s="37">
        <f t="shared" ref="Z16:Z79" si="28">CHOOSE(V16,Y16,U16+(0.5*Y16))</f>
        <v>0.14098769392797439</v>
      </c>
      <c r="AA16" s="37">
        <f t="shared" ref="AA16:AA79" si="29">CHOOSE(V16,Z16*SQRT((W16+X16)/3),SQRT((U16^2)+((Y16^2)/12)))</f>
        <v>4.6532496308753002E-2</v>
      </c>
      <c r="AB16" s="37">
        <v>0</v>
      </c>
      <c r="AC16" s="37">
        <f t="shared" si="8"/>
        <v>1.5936410845649462E-3</v>
      </c>
      <c r="AD16" s="40">
        <f t="shared" si="19"/>
        <v>1.5936410845649462E-3</v>
      </c>
      <c r="AE16" s="39">
        <f t="shared" si="27"/>
        <v>6.3899908914053392E-3</v>
      </c>
      <c r="AF16" s="37">
        <f t="shared" si="20"/>
        <v>4.2427949232462056E-2</v>
      </c>
      <c r="AG16" s="37">
        <f t="shared" si="9"/>
        <v>8.8206412927546515E-6</v>
      </c>
      <c r="AH16" s="37">
        <f t="shared" si="10"/>
        <v>4.7807024360077739E-4</v>
      </c>
      <c r="AI16" s="40">
        <f t="shared" si="21"/>
        <v>4.8689088489353206E-4</v>
      </c>
      <c r="AJ16" s="39">
        <f t="shared" si="22"/>
        <v>1.2961592050250621E-3</v>
      </c>
      <c r="AK16" s="37">
        <f t="shared" si="11"/>
        <v>1.9108697931877354E-2</v>
      </c>
      <c r="AL16" s="37">
        <f t="shared" si="12"/>
        <v>1.85472E-3</v>
      </c>
      <c r="AM16" s="37">
        <f t="shared" si="13"/>
        <v>9.9132400000000009E-2</v>
      </c>
      <c r="AN16" s="40">
        <f t="shared" si="23"/>
        <v>0.10098712000000001</v>
      </c>
      <c r="AO16" s="39">
        <f t="shared" si="14"/>
        <v>7.2005235042895113E-5</v>
      </c>
      <c r="AP16" s="37">
        <f t="shared" si="15"/>
        <v>1.4276250000000003E-3</v>
      </c>
      <c r="AQ16" s="40">
        <f t="shared" si="16"/>
        <v>8.9999999999999993E-3</v>
      </c>
      <c r="AR16" s="39">
        <f t="shared" si="24"/>
        <v>0.11356728220450139</v>
      </c>
      <c r="AS16" s="37">
        <f t="shared" si="25"/>
        <v>0.42336000000000001</v>
      </c>
      <c r="AT16" s="40">
        <f t="shared" si="26"/>
        <v>78.84866611020027</v>
      </c>
    </row>
    <row r="17" spans="17:46" x14ac:dyDescent="0.55000000000000004">
      <c r="Q17">
        <v>10</v>
      </c>
      <c r="R17" s="39">
        <f t="shared" si="0"/>
        <v>210</v>
      </c>
      <c r="S17" s="37">
        <f t="shared" si="1"/>
        <v>2.2399999999999998E-3</v>
      </c>
      <c r="T17" s="37">
        <f t="shared" si="2"/>
        <v>20</v>
      </c>
      <c r="U17" s="40">
        <f t="shared" si="3"/>
        <v>2.6133333333333331E-2</v>
      </c>
      <c r="V17" s="39">
        <f t="shared" si="4"/>
        <v>1</v>
      </c>
      <c r="W17" s="37">
        <f t="shared" si="5"/>
        <v>0.28637932886296102</v>
      </c>
      <c r="X17" s="40">
        <f t="shared" si="6"/>
        <v>5.8089785970413255E-2</v>
      </c>
      <c r="Y17" s="39">
        <f t="shared" si="7"/>
        <v>0.14861407828903012</v>
      </c>
      <c r="Z17" s="37">
        <f t="shared" si="28"/>
        <v>0.14861407828903012</v>
      </c>
      <c r="AA17" s="37">
        <f t="shared" si="29"/>
        <v>5.0358695261385221E-2</v>
      </c>
      <c r="AB17" s="37">
        <v>0</v>
      </c>
      <c r="AC17" s="37">
        <f t="shared" si="8"/>
        <v>1.8664946666837896E-3</v>
      </c>
      <c r="AD17" s="40">
        <f t="shared" si="19"/>
        <v>1.8664946666837896E-3</v>
      </c>
      <c r="AE17" s="39">
        <f t="shared" si="27"/>
        <v>7.4840464609520476E-3</v>
      </c>
      <c r="AF17" s="37">
        <f t="shared" si="20"/>
        <v>4.5916646117289239E-2</v>
      </c>
      <c r="AG17" s="37">
        <f t="shared" si="9"/>
        <v>1.0330858114235828E-5</v>
      </c>
      <c r="AH17" s="37">
        <f t="shared" si="10"/>
        <v>5.3118915955641924E-4</v>
      </c>
      <c r="AI17" s="40">
        <f t="shared" si="21"/>
        <v>5.4152001767065507E-4</v>
      </c>
      <c r="AJ17" s="39">
        <f t="shared" si="22"/>
        <v>1.5180797400267997E-3</v>
      </c>
      <c r="AK17" s="37">
        <f t="shared" si="11"/>
        <v>2.0679937083286509E-2</v>
      </c>
      <c r="AL17" s="37">
        <f t="shared" si="12"/>
        <v>2.0607999999999998E-3</v>
      </c>
      <c r="AM17" s="37">
        <f t="shared" si="13"/>
        <v>9.9132400000000009E-2</v>
      </c>
      <c r="AN17" s="40">
        <f t="shared" si="23"/>
        <v>0.10119320000000001</v>
      </c>
      <c r="AO17" s="39">
        <f t="shared" si="14"/>
        <v>8.4333535626414919E-5</v>
      </c>
      <c r="AP17" s="37">
        <f t="shared" si="15"/>
        <v>1.4276250000000003E-3</v>
      </c>
      <c r="AQ17" s="40">
        <f t="shared" si="16"/>
        <v>8.9999999999999993E-3</v>
      </c>
      <c r="AR17" s="39">
        <f t="shared" si="24"/>
        <v>0.11411317321998087</v>
      </c>
      <c r="AS17" s="37">
        <f t="shared" si="25"/>
        <v>0.47039999999999998</v>
      </c>
      <c r="AT17" s="40">
        <f t="shared" si="26"/>
        <v>80.477228153584406</v>
      </c>
    </row>
    <row r="18" spans="17:46" x14ac:dyDescent="0.55000000000000004">
      <c r="Q18">
        <v>11</v>
      </c>
      <c r="R18" s="39">
        <f t="shared" si="0"/>
        <v>210</v>
      </c>
      <c r="S18" s="37">
        <f t="shared" si="1"/>
        <v>2.464E-3</v>
      </c>
      <c r="T18" s="37">
        <f t="shared" si="2"/>
        <v>20</v>
      </c>
      <c r="U18" s="40">
        <f t="shared" si="3"/>
        <v>2.8746666666666667E-2</v>
      </c>
      <c r="V18" s="39">
        <f t="shared" si="4"/>
        <v>1</v>
      </c>
      <c r="W18" s="37">
        <f t="shared" si="5"/>
        <v>0.30035717404450318</v>
      </c>
      <c r="X18" s="40">
        <f t="shared" si="6"/>
        <v>6.0925081514079757E-2</v>
      </c>
      <c r="Y18" s="39">
        <f t="shared" si="7"/>
        <v>0.15586776027218641</v>
      </c>
      <c r="Z18" s="37">
        <f t="shared" si="28"/>
        <v>0.15586776027218641</v>
      </c>
      <c r="AA18" s="37">
        <f t="shared" si="29"/>
        <v>5.4090249332616899E-2</v>
      </c>
      <c r="AB18" s="37">
        <v>0</v>
      </c>
      <c r="AC18" s="37">
        <f t="shared" si="8"/>
        <v>2.153355733628392E-3</v>
      </c>
      <c r="AD18" s="40">
        <f t="shared" si="19"/>
        <v>2.153355733628392E-3</v>
      </c>
      <c r="AE18" s="39">
        <f t="shared" si="27"/>
        <v>8.6342675631993181E-3</v>
      </c>
      <c r="AF18" s="37">
        <f t="shared" si="20"/>
        <v>4.9319046573991672E-2</v>
      </c>
      <c r="AG18" s="37">
        <f t="shared" si="9"/>
        <v>1.1918604939341043E-5</v>
      </c>
      <c r="AH18" s="37">
        <f t="shared" si="10"/>
        <v>5.843080755120613E-4</v>
      </c>
      <c r="AI18" s="40">
        <f t="shared" si="21"/>
        <v>5.962266804514023E-4</v>
      </c>
      <c r="AJ18" s="39">
        <f t="shared" si="22"/>
        <v>1.7513930099247461E-3</v>
      </c>
      <c r="AK18" s="37">
        <f t="shared" si="11"/>
        <v>2.2212310053146292E-2</v>
      </c>
      <c r="AL18" s="37">
        <f t="shared" si="12"/>
        <v>2.2668800000000002E-3</v>
      </c>
      <c r="AM18" s="37">
        <f t="shared" si="13"/>
        <v>9.9132400000000009E-2</v>
      </c>
      <c r="AN18" s="40">
        <f t="shared" si="23"/>
        <v>0.10139928000000001</v>
      </c>
      <c r="AO18" s="39">
        <f t="shared" si="14"/>
        <v>9.7294734198702384E-5</v>
      </c>
      <c r="AP18" s="37">
        <f t="shared" si="15"/>
        <v>1.4276250000000003E-3</v>
      </c>
      <c r="AQ18" s="40">
        <f t="shared" si="16"/>
        <v>8.9999999999999993E-3</v>
      </c>
      <c r="AR18" s="39">
        <f t="shared" si="24"/>
        <v>0.1146737821482785</v>
      </c>
      <c r="AS18" s="37">
        <f t="shared" si="25"/>
        <v>0.51744000000000001</v>
      </c>
      <c r="AT18" s="40">
        <f t="shared" si="26"/>
        <v>81.858680290350193</v>
      </c>
    </row>
    <row r="19" spans="17:46" x14ac:dyDescent="0.55000000000000004">
      <c r="Q19">
        <v>12</v>
      </c>
      <c r="R19" s="39">
        <f t="shared" si="0"/>
        <v>210</v>
      </c>
      <c r="S19" s="37">
        <f t="shared" si="1"/>
        <v>2.6879999999999999E-3</v>
      </c>
      <c r="T19" s="37">
        <f t="shared" si="2"/>
        <v>20</v>
      </c>
      <c r="U19" s="40">
        <f t="shared" si="3"/>
        <v>3.1359999999999999E-2</v>
      </c>
      <c r="V19" s="39">
        <f t="shared" si="4"/>
        <v>1</v>
      </c>
      <c r="W19" s="37">
        <f t="shared" si="5"/>
        <v>0.3137128368428681</v>
      </c>
      <c r="X19" s="40">
        <f t="shared" si="6"/>
        <v>6.3634172273284925E-2</v>
      </c>
      <c r="Y19" s="39">
        <f t="shared" si="7"/>
        <v>0.16279856608348112</v>
      </c>
      <c r="Z19" s="37">
        <f t="shared" si="28"/>
        <v>0.16279856608348112</v>
      </c>
      <c r="AA19" s="37">
        <f t="shared" si="29"/>
        <v>5.7737822894768052E-2</v>
      </c>
      <c r="AB19" s="37">
        <v>0</v>
      </c>
      <c r="AC19" s="37">
        <f t="shared" si="8"/>
        <v>2.4535709577739148E-3</v>
      </c>
      <c r="AD19" s="40">
        <f t="shared" si="19"/>
        <v>2.4535709577739148E-3</v>
      </c>
      <c r="AE19" s="39">
        <f t="shared" si="27"/>
        <v>9.8380345633923439E-3</v>
      </c>
      <c r="AF19" s="37">
        <f t="shared" si="20"/>
        <v>5.2644874289955165E-2</v>
      </c>
      <c r="AG19" s="37">
        <f t="shared" si="9"/>
        <v>1.3580265666125396E-5</v>
      </c>
      <c r="AH19" s="37">
        <f t="shared" si="10"/>
        <v>6.3742699146770304E-4</v>
      </c>
      <c r="AI19" s="40">
        <f t="shared" si="21"/>
        <v>6.5100725713382844E-4</v>
      </c>
      <c r="AJ19" s="39">
        <f t="shared" si="22"/>
        <v>1.9955676424902153E-3</v>
      </c>
      <c r="AK19" s="37">
        <f t="shared" si="11"/>
        <v>2.3710196195359065E-2</v>
      </c>
      <c r="AL19" s="37">
        <f t="shared" si="12"/>
        <v>2.4729600000000002E-3</v>
      </c>
      <c r="AM19" s="37">
        <f t="shared" si="13"/>
        <v>9.9132400000000009E-2</v>
      </c>
      <c r="AN19" s="40">
        <f t="shared" si="23"/>
        <v>0.10160536000000001</v>
      </c>
      <c r="AO19" s="39">
        <f t="shared" si="14"/>
        <v>1.108593115602073E-4</v>
      </c>
      <c r="AP19" s="37">
        <f t="shared" si="15"/>
        <v>1.4276250000000003E-3</v>
      </c>
      <c r="AQ19" s="40">
        <f t="shared" si="16"/>
        <v>8.9999999999999993E-3</v>
      </c>
      <c r="AR19" s="39">
        <f t="shared" si="24"/>
        <v>0.11524842252646796</v>
      </c>
      <c r="AS19" s="37">
        <f t="shared" si="25"/>
        <v>0.56447999999999998</v>
      </c>
      <c r="AT19" s="40">
        <f t="shared" si="26"/>
        <v>83.044931077311205</v>
      </c>
    </row>
    <row r="20" spans="17:46" x14ac:dyDescent="0.55000000000000004">
      <c r="Q20">
        <v>13</v>
      </c>
      <c r="R20" s="39">
        <f t="shared" si="0"/>
        <v>210</v>
      </c>
      <c r="S20" s="37">
        <f t="shared" si="1"/>
        <v>2.9120000000000001E-3</v>
      </c>
      <c r="T20" s="37">
        <f t="shared" si="2"/>
        <v>20</v>
      </c>
      <c r="U20" s="40">
        <f t="shared" si="3"/>
        <v>3.3973333333333335E-2</v>
      </c>
      <c r="V20" s="39">
        <f t="shared" si="4"/>
        <v>1</v>
      </c>
      <c r="W20" s="37">
        <f t="shared" si="5"/>
        <v>0.32652267302593246</v>
      </c>
      <c r="X20" s="40">
        <f t="shared" si="6"/>
        <v>6.6232546412733878E-2</v>
      </c>
      <c r="Y20" s="39">
        <f t="shared" si="7"/>
        <v>0.16944611988891151</v>
      </c>
      <c r="Z20" s="37">
        <f t="shared" si="28"/>
        <v>0.16944611988891151</v>
      </c>
      <c r="AA20" s="37">
        <f t="shared" si="29"/>
        <v>6.131009424479443E-2</v>
      </c>
      <c r="AB20" s="37">
        <v>0</v>
      </c>
      <c r="AC20" s="37">
        <f t="shared" si="8"/>
        <v>2.7665707550409029E-3</v>
      </c>
      <c r="AD20" s="40">
        <f t="shared" si="19"/>
        <v>2.7665707550409029E-3</v>
      </c>
      <c r="AE20" s="39">
        <f t="shared" si="27"/>
        <v>1.1093063611601013E-2</v>
      </c>
      <c r="AF20" s="37">
        <f t="shared" si="20"/>
        <v>5.5902042065305912E-2</v>
      </c>
      <c r="AG20" s="37">
        <f t="shared" si="9"/>
        <v>1.5312687704649038E-5</v>
      </c>
      <c r="AH20" s="37">
        <f t="shared" si="10"/>
        <v>6.9054590742334511E-4</v>
      </c>
      <c r="AI20" s="40">
        <f t="shared" si="21"/>
        <v>7.0585859512799416E-4</v>
      </c>
      <c r="AJ20" s="39">
        <f t="shared" si="22"/>
        <v>2.2501403767952789E-3</v>
      </c>
      <c r="AK20" s="37">
        <f t="shared" si="11"/>
        <v>2.5177159276501857E-2</v>
      </c>
      <c r="AL20" s="37">
        <f t="shared" si="12"/>
        <v>2.6790400000000002E-3</v>
      </c>
      <c r="AM20" s="37">
        <f t="shared" si="13"/>
        <v>9.9132400000000009E-2</v>
      </c>
      <c r="AN20" s="40">
        <f t="shared" si="23"/>
        <v>0.10181144</v>
      </c>
      <c r="AO20" s="39">
        <f t="shared" si="14"/>
        <v>1.2500153228284927E-4</v>
      </c>
      <c r="AP20" s="37">
        <f t="shared" si="15"/>
        <v>1.4276250000000003E-3</v>
      </c>
      <c r="AQ20" s="40">
        <f t="shared" si="16"/>
        <v>8.9999999999999993E-3</v>
      </c>
      <c r="AR20" s="39">
        <f t="shared" si="24"/>
        <v>0.11583649588245173</v>
      </c>
      <c r="AS20" s="37">
        <f t="shared" si="25"/>
        <v>0.61152000000000006</v>
      </c>
      <c r="AT20" s="40">
        <f t="shared" si="26"/>
        <v>84.074316165704246</v>
      </c>
    </row>
    <row r="21" spans="17:46" x14ac:dyDescent="0.55000000000000004">
      <c r="Q21">
        <v>14</v>
      </c>
      <c r="R21" s="39">
        <f t="shared" si="0"/>
        <v>210</v>
      </c>
      <c r="S21" s="37">
        <f t="shared" si="1"/>
        <v>3.1359999999999999E-3</v>
      </c>
      <c r="T21" s="37">
        <f t="shared" si="2"/>
        <v>20</v>
      </c>
      <c r="U21" s="40">
        <f t="shared" si="3"/>
        <v>3.658666666666667E-2</v>
      </c>
      <c r="V21" s="39">
        <f t="shared" si="4"/>
        <v>1</v>
      </c>
      <c r="W21" s="37">
        <f t="shared" si="5"/>
        <v>0.33884859155676006</v>
      </c>
      <c r="X21" s="40">
        <f t="shared" si="6"/>
        <v>6.873276167682911E-2</v>
      </c>
      <c r="Y21" s="39">
        <f t="shared" si="7"/>
        <v>0.17584254880994296</v>
      </c>
      <c r="Z21" s="37">
        <f t="shared" si="28"/>
        <v>0.17584254880994296</v>
      </c>
      <c r="AA21" s="37">
        <f t="shared" si="29"/>
        <v>6.4814249448033268E-2</v>
      </c>
      <c r="AB21" s="37">
        <v>0</v>
      </c>
      <c r="AC21" s="37">
        <f t="shared" si="8"/>
        <v>3.0918527815927441E-3</v>
      </c>
      <c r="AD21" s="40">
        <f t="shared" si="19"/>
        <v>3.0918527815927441E-3</v>
      </c>
      <c r="AE21" s="39">
        <f t="shared" si="27"/>
        <v>1.2397340469756662E-2</v>
      </c>
      <c r="AF21" s="37">
        <f t="shared" si="20"/>
        <v>5.9097102095595301E-2</v>
      </c>
      <c r="AG21" s="37">
        <f t="shared" si="9"/>
        <v>1.7113090632876353E-5</v>
      </c>
      <c r="AH21" s="37">
        <f t="shared" si="10"/>
        <v>7.4366482337898717E-4</v>
      </c>
      <c r="AI21" s="40">
        <f t="shared" si="21"/>
        <v>7.6077791401186351E-4</v>
      </c>
      <c r="AJ21" s="39">
        <f t="shared" si="22"/>
        <v>2.5147026405495879E-3</v>
      </c>
      <c r="AK21" s="37">
        <f t="shared" si="11"/>
        <v>2.6616150274122407E-2</v>
      </c>
      <c r="AL21" s="37">
        <f t="shared" si="12"/>
        <v>2.8851200000000001E-3</v>
      </c>
      <c r="AM21" s="37">
        <f t="shared" si="13"/>
        <v>9.9132400000000009E-2</v>
      </c>
      <c r="AN21" s="40">
        <f t="shared" si="23"/>
        <v>0.10201752000000001</v>
      </c>
      <c r="AO21" s="39">
        <f t="shared" si="14"/>
        <v>1.3969869904388859E-4</v>
      </c>
      <c r="AP21" s="37">
        <f t="shared" si="15"/>
        <v>1.4276250000000003E-3</v>
      </c>
      <c r="AQ21" s="40">
        <f t="shared" si="16"/>
        <v>8.9999999999999993E-3</v>
      </c>
      <c r="AR21" s="39">
        <f t="shared" si="24"/>
        <v>0.11643747439464851</v>
      </c>
      <c r="AS21" s="37">
        <f t="shared" si="25"/>
        <v>0.65856000000000003</v>
      </c>
      <c r="AT21" s="40">
        <f t="shared" si="26"/>
        <v>84.975760793853169</v>
      </c>
    </row>
    <row r="22" spans="17:46" x14ac:dyDescent="0.55000000000000004">
      <c r="Q22">
        <v>15</v>
      </c>
      <c r="R22" s="39">
        <f t="shared" si="0"/>
        <v>210</v>
      </c>
      <c r="S22" s="37">
        <f t="shared" si="1"/>
        <v>3.3600000000000001E-3</v>
      </c>
      <c r="T22" s="37">
        <f t="shared" si="2"/>
        <v>20</v>
      </c>
      <c r="U22" s="40">
        <f t="shared" si="3"/>
        <v>3.9199999999999999E-2</v>
      </c>
      <c r="V22" s="39">
        <f t="shared" si="4"/>
        <v>1</v>
      </c>
      <c r="W22" s="37">
        <f t="shared" si="5"/>
        <v>0.3507416142974768</v>
      </c>
      <c r="X22" s="40">
        <f t="shared" si="6"/>
        <v>7.1145167447498714E-2</v>
      </c>
      <c r="Y22" s="39">
        <f t="shared" si="7"/>
        <v>0.18201433020107774</v>
      </c>
      <c r="Z22" s="37">
        <f t="shared" si="28"/>
        <v>0.18201433020107774</v>
      </c>
      <c r="AA22" s="37">
        <f t="shared" si="29"/>
        <v>6.8256326906047923E-2</v>
      </c>
      <c r="AB22" s="37">
        <v>0</v>
      </c>
      <c r="AC22" s="37">
        <f t="shared" si="8"/>
        <v>3.4289696557510871E-3</v>
      </c>
      <c r="AD22" s="40">
        <f t="shared" si="19"/>
        <v>3.4289696557510871E-3</v>
      </c>
      <c r="AE22" s="39">
        <f t="shared" si="27"/>
        <v>1.374907128046109E-2</v>
      </c>
      <c r="AF22" s="37">
        <f t="shared" si="20"/>
        <v>6.2235560145940144E-2</v>
      </c>
      <c r="AG22" s="37">
        <f t="shared" si="9"/>
        <v>1.8978998238726773E-5</v>
      </c>
      <c r="AH22" s="37">
        <f t="shared" si="10"/>
        <v>7.9678373933462891E-4</v>
      </c>
      <c r="AI22" s="40">
        <f t="shared" si="21"/>
        <v>8.1576273757335573E-4</v>
      </c>
      <c r="AJ22" s="39">
        <f t="shared" si="22"/>
        <v>2.7888905639419496E-3</v>
      </c>
      <c r="AK22" s="37">
        <f t="shared" si="11"/>
        <v>2.8029648874474827E-2</v>
      </c>
      <c r="AL22" s="37">
        <f t="shared" si="12"/>
        <v>3.0912000000000001E-3</v>
      </c>
      <c r="AM22" s="37">
        <f t="shared" si="13"/>
        <v>9.9132400000000009E-2</v>
      </c>
      <c r="AN22" s="40">
        <f t="shared" si="23"/>
        <v>0.10222360000000001</v>
      </c>
      <c r="AO22" s="39">
        <f t="shared" si="14"/>
        <v>1.5493059786715732E-4</v>
      </c>
      <c r="AP22" s="37">
        <f t="shared" si="15"/>
        <v>1.4276250000000003E-3</v>
      </c>
      <c r="AQ22" s="40">
        <f t="shared" si="16"/>
        <v>8.9999999999999993E-3</v>
      </c>
      <c r="AR22" s="39">
        <f t="shared" si="24"/>
        <v>0.11705088799119161</v>
      </c>
      <c r="AS22" s="37">
        <f t="shared" si="25"/>
        <v>0.7056</v>
      </c>
      <c r="AT22" s="40">
        <f t="shared" si="26"/>
        <v>85.771499222833768</v>
      </c>
    </row>
    <row r="23" spans="17:46" x14ac:dyDescent="0.55000000000000004">
      <c r="Q23">
        <v>16</v>
      </c>
      <c r="R23" s="39">
        <f t="shared" si="0"/>
        <v>210</v>
      </c>
      <c r="S23" s="37">
        <f t="shared" si="1"/>
        <v>3.5839999999999999E-3</v>
      </c>
      <c r="T23" s="37">
        <f t="shared" si="2"/>
        <v>20</v>
      </c>
      <c r="U23" s="40">
        <f t="shared" si="3"/>
        <v>4.1813333333333334E-2</v>
      </c>
      <c r="V23" s="39">
        <f t="shared" si="4"/>
        <v>1</v>
      </c>
      <c r="W23" s="37">
        <f t="shared" si="5"/>
        <v>0.36224438159894212</v>
      </c>
      <c r="X23" s="40">
        <f t="shared" si="6"/>
        <v>7.3478412983280159E-2</v>
      </c>
      <c r="Y23" s="39">
        <f t="shared" si="7"/>
        <v>0.18798359190396582</v>
      </c>
      <c r="Z23" s="37">
        <f t="shared" si="28"/>
        <v>0.18798359190396582</v>
      </c>
      <c r="AA23" s="37">
        <f t="shared" si="29"/>
        <v>7.1641464719796821E-2</v>
      </c>
      <c r="AB23" s="37">
        <v>0</v>
      </c>
      <c r="AC23" s="37">
        <f t="shared" si="8"/>
        <v>3.7775196078576492E-3</v>
      </c>
      <c r="AD23" s="40">
        <f t="shared" si="19"/>
        <v>3.7775196078576492E-3</v>
      </c>
      <c r="AE23" s="39">
        <f t="shared" si="27"/>
        <v>1.5146645075923768E-2</v>
      </c>
      <c r="AF23" s="37">
        <f t="shared" si="20"/>
        <v>6.5322101094735296E-2</v>
      </c>
      <c r="AG23" s="37">
        <f t="shared" si="9"/>
        <v>2.0908186768011013E-5</v>
      </c>
      <c r="AH23" s="37">
        <f t="shared" si="10"/>
        <v>8.4990265529027097E-4</v>
      </c>
      <c r="AI23" s="40">
        <f t="shared" si="21"/>
        <v>8.7081084205828201E-4</v>
      </c>
      <c r="AJ23" s="39">
        <f t="shared" si="22"/>
        <v>3.0723773748742209E-3</v>
      </c>
      <c r="AK23" s="37">
        <f t="shared" si="11"/>
        <v>2.9419765052887022E-2</v>
      </c>
      <c r="AL23" s="37">
        <f t="shared" si="12"/>
        <v>3.2972800000000001E-3</v>
      </c>
      <c r="AM23" s="37">
        <f t="shared" si="13"/>
        <v>9.9132400000000009E-2</v>
      </c>
      <c r="AN23" s="40">
        <f t="shared" si="23"/>
        <v>0.10242968000000001</v>
      </c>
      <c r="AO23" s="39">
        <f t="shared" si="14"/>
        <v>1.7067907565723275E-4</v>
      </c>
      <c r="AP23" s="37">
        <f t="shared" si="15"/>
        <v>1.4276250000000003E-3</v>
      </c>
      <c r="AQ23" s="40">
        <f t="shared" si="16"/>
        <v>8.9999999999999993E-3</v>
      </c>
      <c r="AR23" s="39">
        <f t="shared" si="24"/>
        <v>0.11767631452557317</v>
      </c>
      <c r="AS23" s="37">
        <f t="shared" si="25"/>
        <v>0.75263999999999998</v>
      </c>
      <c r="AT23" s="40">
        <f t="shared" si="26"/>
        <v>86.478902835491382</v>
      </c>
    </row>
    <row r="24" spans="17:46" x14ac:dyDescent="0.55000000000000004">
      <c r="Q24">
        <v>17</v>
      </c>
      <c r="R24" s="39">
        <f t="shared" si="0"/>
        <v>210</v>
      </c>
      <c r="S24" s="37">
        <f t="shared" si="1"/>
        <v>3.8079999999999998E-3</v>
      </c>
      <c r="T24" s="37">
        <f t="shared" si="2"/>
        <v>20</v>
      </c>
      <c r="U24" s="40">
        <f t="shared" si="3"/>
        <v>4.4426666666666663E-2</v>
      </c>
      <c r="V24" s="39">
        <f t="shared" si="4"/>
        <v>1</v>
      </c>
      <c r="W24" s="37">
        <f t="shared" si="5"/>
        <v>0.37339296190474719</v>
      </c>
      <c r="X24" s="40">
        <f t="shared" si="6"/>
        <v>7.5739814483205034E-2</v>
      </c>
      <c r="Y24" s="39">
        <f t="shared" si="7"/>
        <v>0.19376905132576397</v>
      </c>
      <c r="Z24" s="37">
        <f t="shared" si="28"/>
        <v>0.19376905132576397</v>
      </c>
      <c r="AA24" s="37">
        <f t="shared" si="29"/>
        <v>7.4974082631685077E-2</v>
      </c>
      <c r="AB24" s="37">
        <v>0</v>
      </c>
      <c r="AC24" s="37">
        <f t="shared" si="8"/>
        <v>4.1371392169165782E-3</v>
      </c>
      <c r="AD24" s="40">
        <f t="shared" si="19"/>
        <v>4.1371392169165782E-3</v>
      </c>
      <c r="AE24" s="39">
        <f t="shared" si="27"/>
        <v>1.6588604654221566E-2</v>
      </c>
      <c r="AF24" s="37">
        <f t="shared" si="20"/>
        <v>6.8360754826927009E-2</v>
      </c>
      <c r="AG24" s="37">
        <f t="shared" si="9"/>
        <v>2.2898644722485404E-5</v>
      </c>
      <c r="AH24" s="37">
        <f t="shared" si="10"/>
        <v>9.0302157124591271E-4</v>
      </c>
      <c r="AI24" s="40">
        <f t="shared" si="21"/>
        <v>9.2592021596839811E-4</v>
      </c>
      <c r="AJ24" s="39">
        <f t="shared" si="22"/>
        <v>3.3648674914405221E-3</v>
      </c>
      <c r="AK24" s="37">
        <f t="shared" si="11"/>
        <v>3.0788313788765991E-2</v>
      </c>
      <c r="AL24" s="37">
        <f t="shared" si="12"/>
        <v>3.5033600000000001E-3</v>
      </c>
      <c r="AM24" s="37">
        <f t="shared" si="13"/>
        <v>9.9132400000000009E-2</v>
      </c>
      <c r="AN24" s="40">
        <f t="shared" si="23"/>
        <v>0.10263576000000001</v>
      </c>
      <c r="AO24" s="39">
        <f t="shared" si="14"/>
        <v>1.8692771202028898E-4</v>
      </c>
      <c r="AP24" s="37">
        <f t="shared" si="15"/>
        <v>1.4276250000000003E-3</v>
      </c>
      <c r="AQ24" s="40">
        <f t="shared" si="16"/>
        <v>8.9999999999999993E-3</v>
      </c>
      <c r="AR24" s="39">
        <f t="shared" si="24"/>
        <v>0.11831337214490527</v>
      </c>
      <c r="AS24" s="37">
        <f t="shared" si="25"/>
        <v>0.79967999999999995</v>
      </c>
      <c r="AT24" s="40">
        <f t="shared" si="26"/>
        <v>87.111740047919483</v>
      </c>
    </row>
    <row r="25" spans="17:46" x14ac:dyDescent="0.55000000000000004">
      <c r="Q25">
        <v>18</v>
      </c>
      <c r="R25" s="39">
        <f t="shared" si="0"/>
        <v>210</v>
      </c>
      <c r="S25" s="37">
        <f t="shared" si="1"/>
        <v>4.032E-3</v>
      </c>
      <c r="T25" s="37">
        <f t="shared" si="2"/>
        <v>20</v>
      </c>
      <c r="U25" s="40">
        <f t="shared" si="3"/>
        <v>4.7039999999999998E-2</v>
      </c>
      <c r="V25" s="39">
        <f t="shared" si="4"/>
        <v>1</v>
      </c>
      <c r="W25" s="37">
        <f t="shared" si="5"/>
        <v>0.38421818801300911</v>
      </c>
      <c r="X25" s="40">
        <f t="shared" si="6"/>
        <v>7.7935626136954581E-2</v>
      </c>
      <c r="Y25" s="39">
        <f t="shared" si="7"/>
        <v>0.19938670888064822</v>
      </c>
      <c r="Z25" s="37">
        <f t="shared" si="28"/>
        <v>0.19938670888064822</v>
      </c>
      <c r="AA25" s="37">
        <f t="shared" si="29"/>
        <v>7.8258018677674193E-2</v>
      </c>
      <c r="AB25" s="37">
        <v>0</v>
      </c>
      <c r="AC25" s="37">
        <f t="shared" si="8"/>
        <v>4.5074976706934288E-3</v>
      </c>
      <c r="AD25" s="40">
        <f t="shared" si="19"/>
        <v>4.5074976706934288E-3</v>
      </c>
      <c r="AE25" s="39">
        <f t="shared" si="27"/>
        <v>1.8073623564131946E-2</v>
      </c>
      <c r="AF25" s="37">
        <f t="shared" si="20"/>
        <v>7.1355020832287841E-2</v>
      </c>
      <c r="AG25" s="37">
        <f t="shared" si="9"/>
        <v>2.4948541090083538E-5</v>
      </c>
      <c r="AH25" s="37">
        <f t="shared" si="10"/>
        <v>9.5614048720155478E-4</v>
      </c>
      <c r="AI25" s="40">
        <f t="shared" si="21"/>
        <v>9.8108902829163822E-4</v>
      </c>
      <c r="AJ25" s="39">
        <f t="shared" si="22"/>
        <v>3.6660918534823432E-3</v>
      </c>
      <c r="AK25" s="37">
        <f t="shared" si="11"/>
        <v>3.2136871182163462E-2</v>
      </c>
      <c r="AL25" s="37">
        <f t="shared" si="12"/>
        <v>3.70944E-3</v>
      </c>
      <c r="AM25" s="37">
        <f t="shared" si="13"/>
        <v>9.9132400000000009E-2</v>
      </c>
      <c r="AN25" s="40">
        <f t="shared" si="23"/>
        <v>0.10284184</v>
      </c>
      <c r="AO25" s="39">
        <f t="shared" si="14"/>
        <v>2.0366155991904928E-4</v>
      </c>
      <c r="AP25" s="37">
        <f t="shared" si="15"/>
        <v>1.4276250000000003E-3</v>
      </c>
      <c r="AQ25" s="40">
        <f t="shared" si="16"/>
        <v>8.9999999999999993E-3</v>
      </c>
      <c r="AR25" s="39">
        <f t="shared" si="24"/>
        <v>0.11896171325890412</v>
      </c>
      <c r="AS25" s="37">
        <f t="shared" si="25"/>
        <v>0.84672000000000003</v>
      </c>
      <c r="AT25" s="40">
        <f t="shared" si="26"/>
        <v>87.681063892424575</v>
      </c>
    </row>
    <row r="26" spans="17:46" x14ac:dyDescent="0.55000000000000004">
      <c r="Q26">
        <v>19</v>
      </c>
      <c r="R26" s="39">
        <f t="shared" si="0"/>
        <v>210</v>
      </c>
      <c r="S26" s="37">
        <f t="shared" si="1"/>
        <v>4.2560000000000002E-3</v>
      </c>
      <c r="T26" s="37">
        <f t="shared" si="2"/>
        <v>20</v>
      </c>
      <c r="U26" s="40">
        <f t="shared" si="3"/>
        <v>4.9653333333333334E-2</v>
      </c>
      <c r="V26" s="39">
        <f t="shared" si="4"/>
        <v>1</v>
      </c>
      <c r="W26" s="37">
        <f t="shared" si="5"/>
        <v>0.39474666306379336</v>
      </c>
      <c r="X26" s="40">
        <f t="shared" si="6"/>
        <v>8.0071244181466286E-2</v>
      </c>
      <c r="Y26" s="39">
        <f t="shared" si="7"/>
        <v>0.20485037003829443</v>
      </c>
      <c r="Z26" s="37">
        <f t="shared" si="28"/>
        <v>0.20485037003829443</v>
      </c>
      <c r="AA26" s="37">
        <f t="shared" si="29"/>
        <v>8.149663371120644E-2</v>
      </c>
      <c r="AB26" s="37">
        <v>0</v>
      </c>
      <c r="AC26" s="37">
        <f t="shared" si="8"/>
        <v>4.8882921614062927E-3</v>
      </c>
      <c r="AD26" s="40">
        <f t="shared" si="19"/>
        <v>4.8882921614062927E-3</v>
      </c>
      <c r="AE26" s="39">
        <f t="shared" si="27"/>
        <v>1.9600487643327554E-2</v>
      </c>
      <c r="AF26" s="37">
        <f t="shared" si="20"/>
        <v>7.4307963509475522E-2</v>
      </c>
      <c r="AG26" s="37">
        <f t="shared" si="9"/>
        <v>2.7056199860535178E-5</v>
      </c>
      <c r="AH26" s="37">
        <f t="shared" si="10"/>
        <v>1.0092594031571968E-3</v>
      </c>
      <c r="AI26" s="40">
        <f t="shared" si="21"/>
        <v>1.036315603017732E-3</v>
      </c>
      <c r="AJ26" s="39">
        <f t="shared" si="22"/>
        <v>3.9758041777570724E-3</v>
      </c>
      <c r="AK26" s="37">
        <f t="shared" si="11"/>
        <v>3.346681737681375E-2</v>
      </c>
      <c r="AL26" s="37">
        <f t="shared" si="12"/>
        <v>3.9155200000000005E-3</v>
      </c>
      <c r="AM26" s="37">
        <f t="shared" si="13"/>
        <v>9.9132400000000009E-2</v>
      </c>
      <c r="AN26" s="40">
        <f t="shared" si="23"/>
        <v>0.10304792000000002</v>
      </c>
      <c r="AO26" s="39">
        <f t="shared" si="14"/>
        <v>2.2086693763702183E-4</v>
      </c>
      <c r="AP26" s="37">
        <f t="shared" si="15"/>
        <v>1.4276250000000003E-3</v>
      </c>
      <c r="AQ26" s="40">
        <f t="shared" si="16"/>
        <v>8.9999999999999993E-3</v>
      </c>
      <c r="AR26" s="39">
        <f t="shared" si="24"/>
        <v>0.11962101970206106</v>
      </c>
      <c r="AS26" s="37">
        <f t="shared" si="25"/>
        <v>0.89376</v>
      </c>
      <c r="AT26" s="40">
        <f t="shared" si="26"/>
        <v>88.195849598877416</v>
      </c>
    </row>
    <row r="27" spans="17:46" x14ac:dyDescent="0.55000000000000004">
      <c r="Q27">
        <v>20</v>
      </c>
      <c r="R27" s="39">
        <f t="shared" si="0"/>
        <v>210</v>
      </c>
      <c r="S27" s="37">
        <f t="shared" si="1"/>
        <v>4.4799999999999996E-3</v>
      </c>
      <c r="T27" s="37">
        <f t="shared" si="2"/>
        <v>20</v>
      </c>
      <c r="U27" s="40">
        <f t="shared" si="3"/>
        <v>5.2266666666666663E-2</v>
      </c>
      <c r="V27" s="39">
        <f t="shared" si="4"/>
        <v>1</v>
      </c>
      <c r="W27" s="37">
        <f t="shared" si="5"/>
        <v>0.40500153086130425</v>
      </c>
      <c r="X27" s="40">
        <f t="shared" si="6"/>
        <v>8.2151363154708765E-2</v>
      </c>
      <c r="Y27" s="39">
        <f t="shared" si="7"/>
        <v>0.21017204507592335</v>
      </c>
      <c r="Z27" s="37">
        <f t="shared" si="28"/>
        <v>0.21017204507592335</v>
      </c>
      <c r="AA27" s="37">
        <f t="shared" si="29"/>
        <v>8.4692892644306114E-2</v>
      </c>
      <c r="AB27" s="37">
        <v>0</v>
      </c>
      <c r="AC27" s="37">
        <f t="shared" si="8"/>
        <v>5.2792441434425311E-3</v>
      </c>
      <c r="AD27" s="40">
        <f t="shared" si="19"/>
        <v>5.2792441434425311E-3</v>
      </c>
      <c r="AE27" s="39">
        <f t="shared" si="27"/>
        <v>2.1168080013017499E-2</v>
      </c>
      <c r="AF27" s="37">
        <f t="shared" si="20"/>
        <v>7.7222286241003843E-2</v>
      </c>
      <c r="AG27" s="37">
        <f t="shared" si="9"/>
        <v>2.9220079312208905E-5</v>
      </c>
      <c r="AH27" s="37">
        <f t="shared" si="10"/>
        <v>1.0623783191128385E-3</v>
      </c>
      <c r="AI27" s="40">
        <f t="shared" si="21"/>
        <v>1.0915983984250473E-3</v>
      </c>
      <c r="AJ27" s="39">
        <f t="shared" si="22"/>
        <v>4.2937779142194444E-3</v>
      </c>
      <c r="AK27" s="37">
        <f t="shared" si="11"/>
        <v>3.4779369922015968E-2</v>
      </c>
      <c r="AL27" s="37">
        <f t="shared" si="12"/>
        <v>4.1215999999999996E-3</v>
      </c>
      <c r="AM27" s="37">
        <f t="shared" si="13"/>
        <v>9.9132400000000009E-2</v>
      </c>
      <c r="AN27" s="40">
        <f t="shared" si="23"/>
        <v>0.10325400000000001</v>
      </c>
      <c r="AO27" s="39">
        <f t="shared" si="14"/>
        <v>2.3853125969150124E-4</v>
      </c>
      <c r="AP27" s="37">
        <f t="shared" si="15"/>
        <v>1.4276250000000003E-3</v>
      </c>
      <c r="AQ27" s="40">
        <f t="shared" si="16"/>
        <v>8.9999999999999993E-3</v>
      </c>
      <c r="AR27" s="39">
        <f t="shared" si="24"/>
        <v>0.12029099880155908</v>
      </c>
      <c r="AS27" s="37">
        <f t="shared" si="25"/>
        <v>0.94079999999999997</v>
      </c>
      <c r="AT27" s="40">
        <f t="shared" si="26"/>
        <v>88.663460632743011</v>
      </c>
    </row>
    <row r="28" spans="17:46" x14ac:dyDescent="0.55000000000000004">
      <c r="Q28">
        <v>21</v>
      </c>
      <c r="R28" s="39">
        <f t="shared" si="0"/>
        <v>210</v>
      </c>
      <c r="S28" s="37">
        <f t="shared" si="1"/>
        <v>4.7039999999999998E-3</v>
      </c>
      <c r="T28" s="37">
        <f t="shared" si="2"/>
        <v>20</v>
      </c>
      <c r="U28" s="40">
        <f t="shared" si="3"/>
        <v>5.4879999999999998E-2</v>
      </c>
      <c r="V28" s="39">
        <f t="shared" si="4"/>
        <v>1</v>
      </c>
      <c r="W28" s="37">
        <f t="shared" si="5"/>
        <v>0.41500307468740516</v>
      </c>
      <c r="X28" s="40">
        <f t="shared" si="6"/>
        <v>8.4180097360276804E-2</v>
      </c>
      <c r="Y28" s="39">
        <f t="shared" si="7"/>
        <v>0.21536225982740279</v>
      </c>
      <c r="Z28" s="37">
        <f t="shared" si="28"/>
        <v>0.21536225982740279</v>
      </c>
      <c r="AA28" s="37">
        <f t="shared" si="29"/>
        <v>8.7849428495566692E-2</v>
      </c>
      <c r="AB28" s="37">
        <v>0</v>
      </c>
      <c r="AC28" s="37">
        <f t="shared" si="8"/>
        <v>5.6800962560302959E-3</v>
      </c>
      <c r="AD28" s="40">
        <f t="shared" si="19"/>
        <v>5.6800962560302959E-3</v>
      </c>
      <c r="AE28" s="39">
        <f t="shared" si="27"/>
        <v>2.2775368738844795E-2</v>
      </c>
      <c r="AF28" s="37">
        <f t="shared" si="20"/>
        <v>8.0100389791673207E-2</v>
      </c>
      <c r="AG28" s="37">
        <f t="shared" si="9"/>
        <v>3.1438754979412131E-5</v>
      </c>
      <c r="AH28" s="37">
        <f t="shared" si="10"/>
        <v>1.1154972350684805E-3</v>
      </c>
      <c r="AI28" s="40">
        <f t="shared" si="21"/>
        <v>1.1469359900478926E-3</v>
      </c>
      <c r="AJ28" s="39">
        <f t="shared" si="22"/>
        <v>4.6198037431319904E-3</v>
      </c>
      <c r="AK28" s="37">
        <f t="shared" si="11"/>
        <v>3.6075610074116589E-2</v>
      </c>
      <c r="AL28" s="37">
        <f t="shared" si="12"/>
        <v>4.3276800000000004E-3</v>
      </c>
      <c r="AM28" s="37">
        <f t="shared" si="13"/>
        <v>9.9132400000000009E-2</v>
      </c>
      <c r="AN28" s="40">
        <f t="shared" si="23"/>
        <v>0.10346008000000001</v>
      </c>
      <c r="AO28" s="39">
        <f t="shared" si="14"/>
        <v>2.566428977911194E-4</v>
      </c>
      <c r="AP28" s="37">
        <f t="shared" si="15"/>
        <v>1.4276250000000003E-3</v>
      </c>
      <c r="AQ28" s="40">
        <f t="shared" si="16"/>
        <v>8.9999999999999993E-3</v>
      </c>
      <c r="AR28" s="39">
        <f t="shared" si="24"/>
        <v>0.12097138014386931</v>
      </c>
      <c r="AS28" s="37">
        <f t="shared" si="25"/>
        <v>0.98783999999999994</v>
      </c>
      <c r="AT28" s="40">
        <f t="shared" si="26"/>
        <v>89.089994717751438</v>
      </c>
    </row>
    <row r="29" spans="17:46" x14ac:dyDescent="0.55000000000000004">
      <c r="Q29">
        <v>22</v>
      </c>
      <c r="R29" s="39">
        <f t="shared" si="0"/>
        <v>210</v>
      </c>
      <c r="S29" s="37">
        <f t="shared" si="1"/>
        <v>4.9280000000000001E-3</v>
      </c>
      <c r="T29" s="37">
        <f t="shared" si="2"/>
        <v>20</v>
      </c>
      <c r="U29" s="40">
        <f t="shared" si="3"/>
        <v>5.7493333333333334E-2</v>
      </c>
      <c r="V29" s="39">
        <f t="shared" si="4"/>
        <v>1</v>
      </c>
      <c r="W29" s="37">
        <f t="shared" si="5"/>
        <v>0.42476918908979261</v>
      </c>
      <c r="X29" s="40">
        <f t="shared" si="6"/>
        <v>8.6161076565897929E-2</v>
      </c>
      <c r="Y29" s="39">
        <f t="shared" si="7"/>
        <v>0.22043030051364432</v>
      </c>
      <c r="Z29" s="37">
        <f t="shared" si="28"/>
        <v>0.22043030051364432</v>
      </c>
      <c r="AA29" s="37">
        <f t="shared" si="29"/>
        <v>9.0968593527954361E-2</v>
      </c>
      <c r="AB29" s="37">
        <v>0</v>
      </c>
      <c r="AC29" s="37">
        <f t="shared" si="8"/>
        <v>6.0906097662222769E-3</v>
      </c>
      <c r="AD29" s="40">
        <f t="shared" si="19"/>
        <v>6.0906097662222769E-3</v>
      </c>
      <c r="AE29" s="39">
        <f t="shared" si="27"/>
        <v>2.4421396578069143E-2</v>
      </c>
      <c r="AF29" s="37">
        <f t="shared" si="20"/>
        <v>8.2944418935601172E-2</v>
      </c>
      <c r="AG29" s="37">
        <f t="shared" si="9"/>
        <v>3.3710905499566124E-5</v>
      </c>
      <c r="AH29" s="37">
        <f t="shared" si="10"/>
        <v>1.1686161510241226E-3</v>
      </c>
      <c r="AI29" s="40">
        <f t="shared" si="21"/>
        <v>1.2023270565236887E-3</v>
      </c>
      <c r="AJ29" s="39">
        <f t="shared" si="22"/>
        <v>4.9536874953620249E-3</v>
      </c>
      <c r="AK29" s="37">
        <f t="shared" si="11"/>
        <v>3.7356503796389523E-2</v>
      </c>
      <c r="AL29" s="37">
        <f t="shared" si="12"/>
        <v>4.5337600000000004E-3</v>
      </c>
      <c r="AM29" s="37">
        <f t="shared" si="13"/>
        <v>9.9132400000000009E-2</v>
      </c>
      <c r="AN29" s="40">
        <f t="shared" si="23"/>
        <v>0.10366616000000001</v>
      </c>
      <c r="AO29" s="39">
        <f t="shared" si="14"/>
        <v>2.7519106530258061E-4</v>
      </c>
      <c r="AP29" s="37">
        <f t="shared" si="15"/>
        <v>1.4276250000000003E-3</v>
      </c>
      <c r="AQ29" s="40">
        <f t="shared" si="16"/>
        <v>8.9999999999999993E-3</v>
      </c>
      <c r="AR29" s="39">
        <f t="shared" si="24"/>
        <v>0.12166191288804855</v>
      </c>
      <c r="AS29" s="37">
        <f t="shared" si="25"/>
        <v>1.03488</v>
      </c>
      <c r="AT29" s="40">
        <f t="shared" si="26"/>
        <v>89.480544411551719</v>
      </c>
    </row>
    <row r="30" spans="17:46" x14ac:dyDescent="0.55000000000000004">
      <c r="Q30">
        <v>23</v>
      </c>
      <c r="R30" s="39">
        <f t="shared" si="0"/>
        <v>210</v>
      </c>
      <c r="S30" s="37">
        <f t="shared" si="1"/>
        <v>5.1520000000000003E-3</v>
      </c>
      <c r="T30" s="37">
        <f t="shared" si="2"/>
        <v>20</v>
      </c>
      <c r="U30" s="40">
        <f t="shared" si="3"/>
        <v>6.0106666666666669E-2</v>
      </c>
      <c r="V30" s="39">
        <f t="shared" si="4"/>
        <v>1</v>
      </c>
      <c r="W30" s="37">
        <f t="shared" si="5"/>
        <v>0.4343157561037822</v>
      </c>
      <c r="X30" s="40">
        <f t="shared" si="6"/>
        <v>8.8097522317051383E-2</v>
      </c>
      <c r="Y30" s="39">
        <f t="shared" si="7"/>
        <v>0.22538440897964826</v>
      </c>
      <c r="Z30" s="37">
        <f t="shared" si="28"/>
        <v>0.22538440897964826</v>
      </c>
      <c r="AA30" s="37">
        <f t="shared" si="29"/>
        <v>9.4052500546402601E-2</v>
      </c>
      <c r="AB30" s="37">
        <v>0</v>
      </c>
      <c r="AC30" s="37">
        <f t="shared" si="8"/>
        <v>6.5105624242468609E-3</v>
      </c>
      <c r="AD30" s="40">
        <f t="shared" si="19"/>
        <v>6.5105624242468609E-3</v>
      </c>
      <c r="AE30" s="39">
        <f t="shared" si="27"/>
        <v>2.6105272380211337E-2</v>
      </c>
      <c r="AF30" s="37">
        <f t="shared" si="20"/>
        <v>8.5756300111031331E-2</v>
      </c>
      <c r="AG30" s="37">
        <f t="shared" si="9"/>
        <v>3.6035300742793038E-5</v>
      </c>
      <c r="AH30" s="37">
        <f t="shared" si="10"/>
        <v>1.2217350669797645E-3</v>
      </c>
      <c r="AI30" s="40">
        <f t="shared" si="21"/>
        <v>1.2577703677225576E-3</v>
      </c>
      <c r="AJ30" s="39">
        <f t="shared" si="22"/>
        <v>5.2952484080702354E-3</v>
      </c>
      <c r="AK30" s="37">
        <f t="shared" si="11"/>
        <v>3.8622918718007195E-2</v>
      </c>
      <c r="AL30" s="37">
        <f t="shared" si="12"/>
        <v>4.7398400000000004E-3</v>
      </c>
      <c r="AM30" s="37">
        <f t="shared" si="13"/>
        <v>9.9132400000000009E-2</v>
      </c>
      <c r="AN30" s="40">
        <f t="shared" si="23"/>
        <v>0.10387224</v>
      </c>
      <c r="AO30" s="39">
        <f t="shared" si="14"/>
        <v>2.941657203493309E-4</v>
      </c>
      <c r="AP30" s="37">
        <f t="shared" si="15"/>
        <v>1.4276250000000003E-3</v>
      </c>
      <c r="AQ30" s="40">
        <f t="shared" si="16"/>
        <v>8.9999999999999993E-3</v>
      </c>
      <c r="AR30" s="39">
        <f t="shared" si="24"/>
        <v>0.12236236351231874</v>
      </c>
      <c r="AS30" s="37">
        <f t="shared" si="25"/>
        <v>1.08192</v>
      </c>
      <c r="AT30" s="40">
        <f t="shared" si="26"/>
        <v>89.839395874282673</v>
      </c>
    </row>
    <row r="31" spans="17:46" x14ac:dyDescent="0.55000000000000004">
      <c r="Q31">
        <v>24</v>
      </c>
      <c r="R31" s="39">
        <f t="shared" si="0"/>
        <v>210</v>
      </c>
      <c r="S31" s="37">
        <f t="shared" si="1"/>
        <v>5.3759999999999997E-3</v>
      </c>
      <c r="T31" s="37">
        <f t="shared" si="2"/>
        <v>20</v>
      </c>
      <c r="U31" s="40">
        <f t="shared" si="3"/>
        <v>6.2719999999999998E-2</v>
      </c>
      <c r="V31" s="39">
        <f t="shared" si="4"/>
        <v>1</v>
      </c>
      <c r="W31" s="37">
        <f t="shared" si="5"/>
        <v>0.44365694855372206</v>
      </c>
      <c r="X31" s="40">
        <f t="shared" si="6"/>
        <v>8.9992309459265507E-2</v>
      </c>
      <c r="Y31" s="39">
        <f t="shared" si="7"/>
        <v>0.23023194009015158</v>
      </c>
      <c r="Z31" s="37">
        <f t="shared" si="28"/>
        <v>0.23023194009015158</v>
      </c>
      <c r="AA31" s="37">
        <f t="shared" si="29"/>
        <v>9.7103056593528608E-2</v>
      </c>
      <c r="AB31" s="37">
        <v>0</v>
      </c>
      <c r="AC31" s="37">
        <f t="shared" si="8"/>
        <v>6.9397466494572303E-3</v>
      </c>
      <c r="AD31" s="40">
        <f t="shared" si="19"/>
        <v>6.9397466494572303E-3</v>
      </c>
      <c r="AE31" s="39">
        <f t="shared" si="27"/>
        <v>2.7826163813289447E-2</v>
      </c>
      <c r="AF31" s="37">
        <f t="shared" si="20"/>
        <v>8.8537772143811491E-2</v>
      </c>
      <c r="AG31" s="37">
        <f t="shared" si="9"/>
        <v>3.8410791771328466E-5</v>
      </c>
      <c r="AH31" s="37">
        <f t="shared" si="10"/>
        <v>1.2748539829354061E-3</v>
      </c>
      <c r="AI31" s="40">
        <f t="shared" si="21"/>
        <v>1.3132647747067345E-3</v>
      </c>
      <c r="AJ31" s="39">
        <f t="shared" si="22"/>
        <v>5.644317649285132E-3</v>
      </c>
      <c r="AK31" s="37">
        <f t="shared" si="11"/>
        <v>3.9875637971279403E-2</v>
      </c>
      <c r="AL31" s="37">
        <f t="shared" si="12"/>
        <v>4.9459200000000004E-3</v>
      </c>
      <c r="AM31" s="37">
        <f t="shared" si="13"/>
        <v>9.9132400000000009E-2</v>
      </c>
      <c r="AN31" s="40">
        <f t="shared" si="23"/>
        <v>0.10407832000000002</v>
      </c>
      <c r="AO31" s="39">
        <f t="shared" si="14"/>
        <v>3.1355748384757931E-4</v>
      </c>
      <c r="AP31" s="37">
        <f t="shared" si="15"/>
        <v>1.4276250000000003E-3</v>
      </c>
      <c r="AQ31" s="40">
        <f t="shared" si="16"/>
        <v>8.9999999999999993E-3</v>
      </c>
      <c r="AR31" s="39">
        <f t="shared" si="24"/>
        <v>0.12307251390801156</v>
      </c>
      <c r="AS31" s="37">
        <f t="shared" si="25"/>
        <v>1.12896</v>
      </c>
      <c r="AT31" s="40">
        <f t="shared" si="26"/>
        <v>90.17018228034182</v>
      </c>
    </row>
    <row r="32" spans="17:46" x14ac:dyDescent="0.55000000000000004">
      <c r="Q32">
        <v>25</v>
      </c>
      <c r="R32" s="39">
        <f t="shared" si="0"/>
        <v>210</v>
      </c>
      <c r="S32" s="37">
        <f t="shared" si="1"/>
        <v>5.5999999999999999E-3</v>
      </c>
      <c r="T32" s="37">
        <f t="shared" si="2"/>
        <v>20</v>
      </c>
      <c r="U32" s="40">
        <f t="shared" si="3"/>
        <v>6.5333333333333327E-2</v>
      </c>
      <c r="V32" s="39">
        <f t="shared" si="4"/>
        <v>1</v>
      </c>
      <c r="W32" s="37">
        <f t="shared" si="5"/>
        <v>0.45280547699867768</v>
      </c>
      <c r="X32" s="40">
        <f t="shared" si="6"/>
        <v>9.1848016229100188E-2</v>
      </c>
      <c r="Y32" s="39">
        <f t="shared" si="7"/>
        <v>0.23497948987995729</v>
      </c>
      <c r="Z32" s="37">
        <f t="shared" si="28"/>
        <v>0.23497948987995729</v>
      </c>
      <c r="AA32" s="37">
        <f t="shared" si="29"/>
        <v>0.10012199070069913</v>
      </c>
      <c r="AB32" s="37">
        <v>0</v>
      </c>
      <c r="AC32" s="37">
        <f t="shared" si="8"/>
        <v>7.3779679840969697E-3</v>
      </c>
      <c r="AD32" s="40">
        <f t="shared" si="19"/>
        <v>7.3779679840969697E-3</v>
      </c>
      <c r="AE32" s="39">
        <f t="shared" si="27"/>
        <v>2.9583291163913606E-2</v>
      </c>
      <c r="AF32" s="37">
        <f t="shared" si="20"/>
        <v>9.1290411550588479E-2</v>
      </c>
      <c r="AG32" s="37">
        <f t="shared" si="9"/>
        <v>4.083630228127152E-5</v>
      </c>
      <c r="AH32" s="37">
        <f t="shared" si="10"/>
        <v>1.3279728988910484E-3</v>
      </c>
      <c r="AI32" s="40">
        <f t="shared" si="21"/>
        <v>1.3688092011723198E-3</v>
      </c>
      <c r="AJ32" s="39">
        <f t="shared" si="22"/>
        <v>6.0007370603012119E-3</v>
      </c>
      <c r="AK32" s="37">
        <f t="shared" si="11"/>
        <v>4.1115371587705049E-2</v>
      </c>
      <c r="AL32" s="37">
        <f t="shared" si="12"/>
        <v>5.1520000000000003E-3</v>
      </c>
      <c r="AM32" s="37">
        <f t="shared" si="13"/>
        <v>9.9132400000000009E-2</v>
      </c>
      <c r="AN32" s="40">
        <f t="shared" si="23"/>
        <v>0.10428440000000001</v>
      </c>
      <c r="AO32" s="39">
        <f t="shared" si="14"/>
        <v>3.3335756964303278E-4</v>
      </c>
      <c r="AP32" s="37">
        <f t="shared" si="15"/>
        <v>1.4276250000000003E-3</v>
      </c>
      <c r="AQ32" s="40">
        <f t="shared" si="16"/>
        <v>8.9999999999999993E-3</v>
      </c>
      <c r="AR32" s="39">
        <f t="shared" si="24"/>
        <v>0.12379215975491233</v>
      </c>
      <c r="AS32" s="37">
        <f t="shared" si="25"/>
        <v>1.1759999999999999</v>
      </c>
      <c r="AT32" s="40">
        <f t="shared" si="26"/>
        <v>90.476003503648272</v>
      </c>
    </row>
    <row r="33" spans="17:46" x14ac:dyDescent="0.55000000000000004">
      <c r="Q33">
        <v>26</v>
      </c>
      <c r="R33" s="39">
        <f t="shared" si="0"/>
        <v>210</v>
      </c>
      <c r="S33" s="37">
        <f t="shared" si="1"/>
        <v>5.8240000000000002E-3</v>
      </c>
      <c r="T33" s="37">
        <f t="shared" si="2"/>
        <v>20</v>
      </c>
      <c r="U33" s="40">
        <f t="shared" si="3"/>
        <v>6.7946666666666669E-2</v>
      </c>
      <c r="V33" s="39">
        <f t="shared" si="4"/>
        <v>1</v>
      </c>
      <c r="W33" s="37">
        <f t="shared" si="5"/>
        <v>0.46177279261558929</v>
      </c>
      <c r="X33" s="40">
        <f t="shared" si="6"/>
        <v>9.3666965407393735E-2</v>
      </c>
      <c r="Y33" s="39">
        <f t="shared" si="7"/>
        <v>0.23963300083839612</v>
      </c>
      <c r="Z33" s="37">
        <f t="shared" si="28"/>
        <v>0.23963300083839612</v>
      </c>
      <c r="AA33" s="37">
        <f t="shared" si="29"/>
        <v>0.10311087693863009</v>
      </c>
      <c r="AB33" s="37">
        <v>0</v>
      </c>
      <c r="AC33" s="37">
        <f t="shared" si="8"/>
        <v>7.8250437660872443E-3</v>
      </c>
      <c r="AD33" s="40">
        <f t="shared" si="19"/>
        <v>7.8250437660872443E-3</v>
      </c>
      <c r="AE33" s="39">
        <f t="shared" si="27"/>
        <v>3.137592201558724E-2</v>
      </c>
      <c r="AF33" s="37">
        <f t="shared" si="20"/>
        <v>9.4015653556156209E-2</v>
      </c>
      <c r="AG33" s="37">
        <f t="shared" si="9"/>
        <v>4.3310821256596823E-5</v>
      </c>
      <c r="AH33" s="37">
        <f t="shared" si="10"/>
        <v>1.3810918148466902E-3</v>
      </c>
      <c r="AI33" s="40">
        <f t="shared" si="21"/>
        <v>1.424402636103287E-3</v>
      </c>
      <c r="AJ33" s="39">
        <f t="shared" si="22"/>
        <v>6.3643580762143799E-3</v>
      </c>
      <c r="AK33" s="37">
        <f t="shared" si="11"/>
        <v>4.2342765963764441E-2</v>
      </c>
      <c r="AL33" s="37">
        <f t="shared" si="12"/>
        <v>5.3580800000000003E-3</v>
      </c>
      <c r="AM33" s="37">
        <f t="shared" si="13"/>
        <v>9.9132400000000009E-2</v>
      </c>
      <c r="AN33" s="40">
        <f t="shared" si="23"/>
        <v>0.10449048000000001</v>
      </c>
      <c r="AO33" s="39">
        <f t="shared" si="14"/>
        <v>3.5355772454364747E-4</v>
      </c>
      <c r="AP33" s="37">
        <f t="shared" si="15"/>
        <v>1.4276250000000003E-3</v>
      </c>
      <c r="AQ33" s="40">
        <f t="shared" si="16"/>
        <v>8.9999999999999993E-3</v>
      </c>
      <c r="AR33" s="39">
        <f t="shared" si="24"/>
        <v>0.12452110912673418</v>
      </c>
      <c r="AS33" s="37">
        <f t="shared" si="25"/>
        <v>1.2230400000000001</v>
      </c>
      <c r="AT33" s="40">
        <f t="shared" si="26"/>
        <v>90.75952041926854</v>
      </c>
    </row>
    <row r="34" spans="17:46" x14ac:dyDescent="0.55000000000000004">
      <c r="Q34">
        <v>27</v>
      </c>
      <c r="R34" s="39">
        <f t="shared" si="0"/>
        <v>210</v>
      </c>
      <c r="S34" s="37">
        <f t="shared" si="1"/>
        <v>6.0479999999999996E-3</v>
      </c>
      <c r="T34" s="37">
        <f t="shared" si="2"/>
        <v>20</v>
      </c>
      <c r="U34" s="40">
        <f t="shared" si="3"/>
        <v>7.0559999999999998E-2</v>
      </c>
      <c r="V34" s="39">
        <f t="shared" si="4"/>
        <v>1</v>
      </c>
      <c r="W34" s="37">
        <f t="shared" si="5"/>
        <v>0.47056925526430216</v>
      </c>
      <c r="X34" s="40">
        <f t="shared" si="6"/>
        <v>9.5451258409927395E-2</v>
      </c>
      <c r="Y34" s="39">
        <f t="shared" si="7"/>
        <v>0.24419784912522169</v>
      </c>
      <c r="Z34" s="37">
        <f t="shared" si="28"/>
        <v>0.24419784912522169</v>
      </c>
      <c r="AA34" s="37">
        <f t="shared" si="29"/>
        <v>0.10607115371352457</v>
      </c>
      <c r="AB34" s="37">
        <v>0</v>
      </c>
      <c r="AC34" s="37">
        <f t="shared" si="8"/>
        <v>8.2808019824869641E-3</v>
      </c>
      <c r="AD34" s="40">
        <f t="shared" si="19"/>
        <v>8.2808019824869641E-3</v>
      </c>
      <c r="AE34" s="39">
        <f t="shared" si="27"/>
        <v>3.3203366651449157E-2</v>
      </c>
      <c r="AF34" s="37">
        <f t="shared" si="20"/>
        <v>9.6714809687516279E-2</v>
      </c>
      <c r="AG34" s="37">
        <f t="shared" si="9"/>
        <v>4.5833396623173222E-5</v>
      </c>
      <c r="AH34" s="37">
        <f t="shared" si="10"/>
        <v>1.4342107308023321E-3</v>
      </c>
      <c r="AI34" s="40">
        <f t="shared" si="21"/>
        <v>1.4800441274255053E-3</v>
      </c>
      <c r="AJ34" s="39">
        <f t="shared" si="22"/>
        <v>6.735040793404477E-3</v>
      </c>
      <c r="AK34" s="37">
        <f t="shared" si="11"/>
        <v>4.3558411784931576E-2</v>
      </c>
      <c r="AL34" s="37">
        <f t="shared" si="12"/>
        <v>5.5641599999999994E-3</v>
      </c>
      <c r="AM34" s="37">
        <f t="shared" si="13"/>
        <v>9.9132400000000009E-2</v>
      </c>
      <c r="AN34" s="40">
        <f t="shared" si="23"/>
        <v>0.10469656000000001</v>
      </c>
      <c r="AO34" s="39">
        <f t="shared" si="14"/>
        <v>3.7415017651569975E-4</v>
      </c>
      <c r="AP34" s="37">
        <f t="shared" si="15"/>
        <v>1.4276250000000003E-3</v>
      </c>
      <c r="AQ34" s="40">
        <f t="shared" si="16"/>
        <v>8.9999999999999993E-3</v>
      </c>
      <c r="AR34" s="39">
        <f t="shared" si="24"/>
        <v>0.12525918128642816</v>
      </c>
      <c r="AS34" s="37">
        <f t="shared" si="25"/>
        <v>1.2700799999999999</v>
      </c>
      <c r="AT34" s="40">
        <f t="shared" si="26"/>
        <v>91.02302988647206</v>
      </c>
    </row>
    <row r="35" spans="17:46" x14ac:dyDescent="0.55000000000000004">
      <c r="Q35">
        <v>28</v>
      </c>
      <c r="R35" s="39">
        <f t="shared" si="0"/>
        <v>210</v>
      </c>
      <c r="S35" s="37">
        <f t="shared" si="1"/>
        <v>6.2719999999999998E-3</v>
      </c>
      <c r="T35" s="37">
        <f t="shared" si="2"/>
        <v>20</v>
      </c>
      <c r="U35" s="40">
        <f t="shared" si="3"/>
        <v>7.317333333333334E-2</v>
      </c>
      <c r="V35" s="39">
        <f t="shared" si="4"/>
        <v>1</v>
      </c>
      <c r="W35" s="37">
        <f t="shared" si="5"/>
        <v>0.47920427377059149</v>
      </c>
      <c r="X35" s="40">
        <f t="shared" si="6"/>
        <v>9.7202803742729452E-2</v>
      </c>
      <c r="Y35" s="39">
        <f t="shared" si="7"/>
        <v>0.24867891736927425</v>
      </c>
      <c r="Z35" s="37">
        <f t="shared" si="28"/>
        <v>0.24867891736927425</v>
      </c>
      <c r="AA35" s="37">
        <f t="shared" si="29"/>
        <v>0.10900414003642242</v>
      </c>
      <c r="AB35" s="37">
        <v>0</v>
      </c>
      <c r="AC35" s="37">
        <f t="shared" si="8"/>
        <v>8.7450802731788724E-3</v>
      </c>
      <c r="AD35" s="40">
        <f t="shared" si="19"/>
        <v>8.7450802731788724E-3</v>
      </c>
      <c r="AE35" s="39">
        <f t="shared" si="27"/>
        <v>3.5064974059373422E-2</v>
      </c>
      <c r="AF35" s="37">
        <f t="shared" si="20"/>
        <v>9.9389082608137738E-2</v>
      </c>
      <c r="AG35" s="37">
        <f t="shared" si="9"/>
        <v>4.8403129734267427E-5</v>
      </c>
      <c r="AH35" s="37">
        <f t="shared" si="10"/>
        <v>1.4873296467579743E-3</v>
      </c>
      <c r="AI35" s="40">
        <f t="shared" si="21"/>
        <v>1.5357327764922418E-3</v>
      </c>
      <c r="AJ35" s="39">
        <f t="shared" si="22"/>
        <v>7.112653159201324E-3</v>
      </c>
      <c r="AK35" s="37">
        <f t="shared" si="11"/>
        <v>4.4762850706727413E-2</v>
      </c>
      <c r="AL35" s="37">
        <f t="shared" si="12"/>
        <v>5.7702400000000003E-3</v>
      </c>
      <c r="AM35" s="37">
        <f t="shared" si="13"/>
        <v>9.9132400000000009E-2</v>
      </c>
      <c r="AN35" s="40">
        <f t="shared" si="23"/>
        <v>0.10490264000000001</v>
      </c>
      <c r="AO35" s="39">
        <f t="shared" si="14"/>
        <v>3.9512758966748915E-4</v>
      </c>
      <c r="AP35" s="37">
        <f t="shared" si="15"/>
        <v>1.4276250000000003E-3</v>
      </c>
      <c r="AQ35" s="40">
        <f t="shared" si="16"/>
        <v>8.9999999999999993E-3</v>
      </c>
      <c r="AR35" s="39">
        <f t="shared" si="24"/>
        <v>0.12600620563933862</v>
      </c>
      <c r="AS35" s="37">
        <f t="shared" si="25"/>
        <v>1.3171200000000001</v>
      </c>
      <c r="AT35" s="40">
        <f t="shared" si="26"/>
        <v>91.268524876969096</v>
      </c>
    </row>
    <row r="36" spans="17:46" x14ac:dyDescent="0.55000000000000004">
      <c r="Q36">
        <v>29</v>
      </c>
      <c r="R36" s="39">
        <f t="shared" si="0"/>
        <v>210</v>
      </c>
      <c r="S36" s="37">
        <f t="shared" si="1"/>
        <v>6.496E-3</v>
      </c>
      <c r="T36" s="37">
        <f t="shared" si="2"/>
        <v>20</v>
      </c>
      <c r="U36" s="40">
        <f t="shared" si="3"/>
        <v>7.5786666666666669E-2</v>
      </c>
      <c r="V36" s="39">
        <f t="shared" si="4"/>
        <v>1</v>
      </c>
      <c r="W36" s="37">
        <f t="shared" si="5"/>
        <v>0.48768642384220623</v>
      </c>
      <c r="X36" s="40">
        <f t="shared" si="6"/>
        <v>9.8923340920413841E-2</v>
      </c>
      <c r="Y36" s="39">
        <f t="shared" si="7"/>
        <v>0.25308065585999284</v>
      </c>
      <c r="Z36" s="37">
        <f t="shared" si="28"/>
        <v>0.25308065585999284</v>
      </c>
      <c r="AA36" s="37">
        <f t="shared" si="29"/>
        <v>0.11191104933148424</v>
      </c>
      <c r="AB36" s="37">
        <v>0</v>
      </c>
      <c r="AC36" s="37">
        <f t="shared" si="8"/>
        <v>9.2177250603807902E-3</v>
      </c>
      <c r="AD36" s="40">
        <f t="shared" si="19"/>
        <v>9.2177250603807902E-3</v>
      </c>
      <c r="AE36" s="39">
        <f t="shared" si="27"/>
        <v>3.6960128441588004E-2</v>
      </c>
      <c r="AF36" s="37">
        <f t="shared" si="20"/>
        <v>0.10203957870823746</v>
      </c>
      <c r="AG36" s="37">
        <f t="shared" si="9"/>
        <v>5.1019170552477483E-5</v>
      </c>
      <c r="AH36" s="37">
        <f t="shared" si="10"/>
        <v>1.540448562713616E-3</v>
      </c>
      <c r="AI36" s="40">
        <f t="shared" si="21"/>
        <v>1.5914677332660935E-3</v>
      </c>
      <c r="AJ36" s="39">
        <f t="shared" si="22"/>
        <v>7.4970702638884308E-3</v>
      </c>
      <c r="AK36" s="37">
        <f t="shared" si="11"/>
        <v>4.5956581025129735E-2</v>
      </c>
      <c r="AL36" s="37">
        <f t="shared" si="12"/>
        <v>5.9763200000000002E-3</v>
      </c>
      <c r="AM36" s="37">
        <f t="shared" si="13"/>
        <v>9.9132400000000009E-2</v>
      </c>
      <c r="AN36" s="40">
        <f t="shared" si="23"/>
        <v>0.10510872000000002</v>
      </c>
      <c r="AO36" s="39">
        <f t="shared" si="14"/>
        <v>4.164830249181835E-4</v>
      </c>
      <c r="AP36" s="37">
        <f t="shared" si="15"/>
        <v>1.4276250000000003E-3</v>
      </c>
      <c r="AQ36" s="40">
        <f t="shared" si="16"/>
        <v>8.9999999999999993E-3</v>
      </c>
      <c r="AR36" s="39">
        <f t="shared" si="24"/>
        <v>0.12676202081856511</v>
      </c>
      <c r="AS36" s="37">
        <f t="shared" si="25"/>
        <v>1.36416</v>
      </c>
      <c r="AT36" s="40">
        <f t="shared" si="26"/>
        <v>91.497743071165544</v>
      </c>
    </row>
    <row r="37" spans="17:46" x14ac:dyDescent="0.55000000000000004">
      <c r="Q37">
        <v>30</v>
      </c>
      <c r="R37" s="39">
        <f t="shared" si="0"/>
        <v>210</v>
      </c>
      <c r="S37" s="37">
        <f t="shared" si="1"/>
        <v>6.7200000000000003E-3</v>
      </c>
      <c r="T37" s="37">
        <f t="shared" si="2"/>
        <v>20</v>
      </c>
      <c r="U37" s="40">
        <f t="shared" si="3"/>
        <v>7.8399999999999997E-2</v>
      </c>
      <c r="V37" s="39">
        <f t="shared" si="4"/>
        <v>1</v>
      </c>
      <c r="W37" s="37">
        <f t="shared" si="5"/>
        <v>0.4960235478281248</v>
      </c>
      <c r="X37" s="40">
        <f t="shared" si="6"/>
        <v>0.10061446070155752</v>
      </c>
      <c r="Y37" s="39">
        <f t="shared" si="7"/>
        <v>0.25740713431661899</v>
      </c>
      <c r="Z37" s="37">
        <f t="shared" si="28"/>
        <v>0.25740713431661899</v>
      </c>
      <c r="AA37" s="37">
        <f t="shared" si="29"/>
        <v>0.11479300122736275</v>
      </c>
      <c r="AB37" s="37">
        <v>0</v>
      </c>
      <c r="AC37" s="37">
        <f t="shared" si="8"/>
        <v>9.6985907842579849E-3</v>
      </c>
      <c r="AD37" s="40">
        <f t="shared" si="19"/>
        <v>9.6985907842579849E-3</v>
      </c>
      <c r="AE37" s="39">
        <f t="shared" si="27"/>
        <v>3.8888246149724984E-2</v>
      </c>
      <c r="AF37" s="37">
        <f t="shared" si="20"/>
        <v>0.10466731885605605</v>
      </c>
      <c r="AG37" s="37">
        <f t="shared" si="9"/>
        <v>5.3680713418925011E-5</v>
      </c>
      <c r="AH37" s="37">
        <f t="shared" si="10"/>
        <v>1.5935674786692578E-3</v>
      </c>
      <c r="AI37" s="40">
        <f t="shared" si="21"/>
        <v>1.6472481920881828E-3</v>
      </c>
      <c r="AJ37" s="39">
        <f t="shared" si="22"/>
        <v>7.8881737190021096E-3</v>
      </c>
      <c r="AK37" s="37">
        <f t="shared" si="11"/>
        <v>4.7140062518732394E-2</v>
      </c>
      <c r="AL37" s="37">
        <f t="shared" si="12"/>
        <v>6.1824000000000002E-3</v>
      </c>
      <c r="AM37" s="37">
        <f t="shared" si="13"/>
        <v>9.9132400000000009E-2</v>
      </c>
      <c r="AN37" s="40">
        <f t="shared" si="23"/>
        <v>0.10531480000000001</v>
      </c>
      <c r="AO37" s="39">
        <f t="shared" si="14"/>
        <v>4.3820990546061231E-4</v>
      </c>
      <c r="AP37" s="37">
        <f t="shared" si="15"/>
        <v>1.4276250000000003E-3</v>
      </c>
      <c r="AQ37" s="40">
        <f t="shared" si="16"/>
        <v>8.9999999999999993E-3</v>
      </c>
      <c r="AR37" s="39">
        <f t="shared" si="24"/>
        <v>0.1275264738818068</v>
      </c>
      <c r="AS37" s="37">
        <f t="shared" si="25"/>
        <v>1.4112</v>
      </c>
      <c r="AT37" s="40">
        <f t="shared" si="26"/>
        <v>91.712206422231063</v>
      </c>
    </row>
    <row r="38" spans="17:46" x14ac:dyDescent="0.55000000000000004">
      <c r="Q38">
        <v>31</v>
      </c>
      <c r="R38" s="39">
        <f t="shared" si="0"/>
        <v>210</v>
      </c>
      <c r="S38" s="37">
        <f t="shared" si="1"/>
        <v>6.9439999999999997E-3</v>
      </c>
      <c r="T38" s="37">
        <f t="shared" si="2"/>
        <v>20</v>
      </c>
      <c r="U38" s="40">
        <f t="shared" si="3"/>
        <v>8.1013333333333326E-2</v>
      </c>
      <c r="V38" s="39">
        <f t="shared" si="4"/>
        <v>1</v>
      </c>
      <c r="W38" s="37">
        <f t="shared" si="5"/>
        <v>0.5042228396254973</v>
      </c>
      <c r="X38" s="40">
        <f t="shared" si="6"/>
        <v>0.10227762231140351</v>
      </c>
      <c r="Y38" s="39">
        <f t="shared" si="7"/>
        <v>0.2616620859499208</v>
      </c>
      <c r="Z38" s="37">
        <f t="shared" si="28"/>
        <v>0.2616620859499208</v>
      </c>
      <c r="AA38" s="37">
        <f t="shared" si="29"/>
        <v>0.11765103168354518</v>
      </c>
      <c r="AB38" s="37">
        <v>0</v>
      </c>
      <c r="AC38" s="37">
        <f t="shared" si="8"/>
        <v>1.0187539228565079E-2</v>
      </c>
      <c r="AD38" s="40">
        <f t="shared" si="19"/>
        <v>1.0187539228565079E-2</v>
      </c>
      <c r="AE38" s="39">
        <f t="shared" si="27"/>
        <v>4.0848772980860287E-2</v>
      </c>
      <c r="AF38" s="37">
        <f t="shared" si="20"/>
        <v>0.10727324763097391</v>
      </c>
      <c r="AG38" s="37">
        <f t="shared" si="9"/>
        <v>5.6386993320751639E-5</v>
      </c>
      <c r="AH38" s="37">
        <f t="shared" si="10"/>
        <v>1.6466863946248999E-3</v>
      </c>
      <c r="AI38" s="40">
        <f t="shared" si="21"/>
        <v>1.7030733879456516E-3</v>
      </c>
      <c r="AJ38" s="39">
        <f t="shared" si="22"/>
        <v>8.2858511088545021E-3</v>
      </c>
      <c r="AK38" s="37">
        <f t="shared" si="11"/>
        <v>4.8313720607155719E-2</v>
      </c>
      <c r="AL38" s="37">
        <f t="shared" si="12"/>
        <v>6.3884800000000002E-3</v>
      </c>
      <c r="AM38" s="37">
        <f t="shared" si="13"/>
        <v>9.9132400000000009E-2</v>
      </c>
      <c r="AN38" s="40">
        <f t="shared" si="23"/>
        <v>0.10552088000000001</v>
      </c>
      <c r="AO38" s="39">
        <f t="shared" si="14"/>
        <v>4.6030198629185004E-4</v>
      </c>
      <c r="AP38" s="37">
        <f t="shared" si="15"/>
        <v>1.4276250000000003E-3</v>
      </c>
      <c r="AQ38" s="40">
        <f t="shared" si="16"/>
        <v>8.9999999999999993E-3</v>
      </c>
      <c r="AR38" s="39">
        <f t="shared" si="24"/>
        <v>0.12829941960280258</v>
      </c>
      <c r="AS38" s="37">
        <f t="shared" si="25"/>
        <v>1.45824</v>
      </c>
      <c r="AT38" s="40">
        <f t="shared" si="26"/>
        <v>91.913253587173841</v>
      </c>
    </row>
    <row r="39" spans="17:46" x14ac:dyDescent="0.55000000000000004">
      <c r="Q39">
        <v>32</v>
      </c>
      <c r="R39" s="39">
        <f t="shared" si="0"/>
        <v>210</v>
      </c>
      <c r="S39" s="37">
        <f t="shared" ref="S39:S70" si="30">Q39*$O$12</f>
        <v>7.1679999999999999E-3</v>
      </c>
      <c r="T39" s="37">
        <f t="shared" si="2"/>
        <v>20</v>
      </c>
      <c r="U39" s="40">
        <f t="shared" ref="U39:U70" si="31">(R39*S39)/(T39*EFF_est)</f>
        <v>8.3626666666666669E-2</v>
      </c>
      <c r="V39" s="39">
        <f t="shared" ref="V39:V70" si="32">IF((S39*R39/T39)&lt;((T39*(1-(T39/R39)))/(2*Lm*Fsw)),1,2)</f>
        <v>1</v>
      </c>
      <c r="W39" s="37">
        <f t="shared" ref="W39:W70" si="33">CHOOSE(V39,SQRT((2*S39*Lm*Fsw*(R39-T39))/((T39)^2)),1-(T39/R39))</f>
        <v>0.51229091735067878</v>
      </c>
      <c r="X39" s="40">
        <f t="shared" ref="X39:X70" si="34">CHOOSE(V39,(Lm*W39*Fsw)/(R39-T39),1-W39)</f>
        <v>0.1039141681826061</v>
      </c>
      <c r="Y39" s="39">
        <f t="shared" ref="Y39:Y70" si="35">(T39*W39)/(Lm*Fsw)</f>
        <v>0.2658489451741976</v>
      </c>
      <c r="Z39" s="37">
        <f t="shared" si="28"/>
        <v>0.2658489451741976</v>
      </c>
      <c r="AA39" s="37">
        <f t="shared" si="29"/>
        <v>0.12048610173280519</v>
      </c>
      <c r="AB39" s="37">
        <v>0</v>
      </c>
      <c r="AC39" s="37">
        <f t="shared" ref="AC39:AC70" si="36">(AA39^2)*Rdcr</f>
        <v>1.0684438923125161E-2</v>
      </c>
      <c r="AD39" s="40">
        <f t="shared" si="19"/>
        <v>1.0684438923125161E-2</v>
      </c>
      <c r="AE39" s="39">
        <f t="shared" si="27"/>
        <v>4.2841181781646101E-2</v>
      </c>
      <c r="AF39" s="37">
        <f t="shared" si="20"/>
        <v>0.10985824129480731</v>
      </c>
      <c r="AG39" s="37">
        <f t="shared" ref="AG39:AG70" si="37">(AF39^2)*RDS_on</f>
        <v>5.9137282583901733E-5</v>
      </c>
      <c r="AH39" s="37">
        <f t="shared" ref="AH39:AH70" si="38">((R39*U39)/2)*Fsw*(tr_sw+tf_sw)</f>
        <v>1.6998053105805419E-3</v>
      </c>
      <c r="AI39" s="40">
        <f t="shared" si="21"/>
        <v>1.7589425931644437E-3</v>
      </c>
      <c r="AJ39" s="39">
        <f t="shared" si="22"/>
        <v>8.6899955045507387E-3</v>
      </c>
      <c r="AK39" s="37">
        <f t="shared" ref="AK39:AK70" si="39">CHOOSE(V39,Z39*SQRT(X39/3),SQRT(X39*((Z39^2)+((Y39^2)/3)-(Y39*Z39))))</f>
        <v>4.9477949941158401E-2</v>
      </c>
      <c r="AL39" s="37">
        <f t="shared" ref="AL39:AL70" si="40">S39*Vd_rect</f>
        <v>6.5945600000000002E-3</v>
      </c>
      <c r="AM39" s="37">
        <f t="shared" ref="AM39:AM70" si="41">CHOOSE(V39,(R39+Vd_rect)*Qrr*Fsw,(R39+Vd_rect)*Qrr*Fsw)</f>
        <v>9.9132400000000009E-2</v>
      </c>
      <c r="AN39" s="40">
        <f t="shared" si="23"/>
        <v>0.10572696000000001</v>
      </c>
      <c r="AO39" s="39">
        <f t="shared" ref="AO39:AO70" si="42">(AF39^2)*R_cs</f>
        <v>4.8275332721552425E-4</v>
      </c>
      <c r="AP39" s="37">
        <f t="shared" ref="AP39:AP70" si="43">Qg_tot*Vcc*Fsw</f>
        <v>1.4276250000000003E-3</v>
      </c>
      <c r="AQ39" s="40">
        <f t="shared" ref="AQ39:AQ70" si="44">IQ*T39</f>
        <v>8.9999999999999993E-3</v>
      </c>
      <c r="AR39" s="39">
        <f t="shared" si="24"/>
        <v>0.12908071984350514</v>
      </c>
      <c r="AS39" s="37">
        <f t="shared" si="25"/>
        <v>1.50528</v>
      </c>
      <c r="AT39" s="40">
        <f t="shared" si="26"/>
        <v>92.102066681101775</v>
      </c>
    </row>
    <row r="40" spans="17:46" x14ac:dyDescent="0.55000000000000004">
      <c r="Q40">
        <v>33</v>
      </c>
      <c r="R40" s="39">
        <f t="shared" si="0"/>
        <v>210</v>
      </c>
      <c r="S40" s="37">
        <f t="shared" si="30"/>
        <v>7.3920000000000001E-3</v>
      </c>
      <c r="T40" s="37">
        <f t="shared" si="2"/>
        <v>20</v>
      </c>
      <c r="U40" s="40">
        <f t="shared" si="31"/>
        <v>8.6239999999999997E-2</v>
      </c>
      <c r="V40" s="39">
        <f t="shared" si="32"/>
        <v>1</v>
      </c>
      <c r="W40" s="37">
        <f t="shared" si="33"/>
        <v>0.52023388586288766</v>
      </c>
      <c r="X40" s="40">
        <f t="shared" si="34"/>
        <v>0.10552533663766152</v>
      </c>
      <c r="Y40" s="39">
        <f t="shared" si="35"/>
        <v>0.26997088005339265</v>
      </c>
      <c r="Z40" s="37">
        <f t="shared" si="28"/>
        <v>0.26997088005339265</v>
      </c>
      <c r="AA40" s="37">
        <f t="shared" si="29"/>
        <v>0.12329910506614369</v>
      </c>
      <c r="AB40" s="37">
        <v>0</v>
      </c>
      <c r="AC40" s="37">
        <f t="shared" si="36"/>
        <v>1.1189164612242388E-2</v>
      </c>
      <c r="AD40" s="40">
        <f t="shared" si="19"/>
        <v>1.1189164612242388E-2</v>
      </c>
      <c r="AE40" s="39">
        <f t="shared" si="27"/>
        <v>4.4864970316815432E-2</v>
      </c>
      <c r="AF40" s="37">
        <f t="shared" si="20"/>
        <v>0.11242311470769537</v>
      </c>
      <c r="AG40" s="37">
        <f t="shared" si="37"/>
        <v>6.1930887930840194E-5</v>
      </c>
      <c r="AH40" s="37">
        <f t="shared" si="38"/>
        <v>1.7529242265361836E-3</v>
      </c>
      <c r="AI40" s="40">
        <f t="shared" si="21"/>
        <v>1.8148551144670237E-3</v>
      </c>
      <c r="AJ40" s="39">
        <f t="shared" si="22"/>
        <v>9.1005050316319298E-3</v>
      </c>
      <c r="AK40" s="37">
        <f t="shared" si="39"/>
        <v>5.0633117517414533E-2</v>
      </c>
      <c r="AL40" s="37">
        <f t="shared" si="40"/>
        <v>6.8006400000000002E-3</v>
      </c>
      <c r="AM40" s="37">
        <f t="shared" si="41"/>
        <v>9.9132400000000009E-2</v>
      </c>
      <c r="AN40" s="40">
        <f t="shared" si="23"/>
        <v>0.10593304000000001</v>
      </c>
      <c r="AO40" s="39">
        <f t="shared" si="42"/>
        <v>5.055582688231852E-4</v>
      </c>
      <c r="AP40" s="37">
        <f t="shared" si="43"/>
        <v>1.4276250000000003E-3</v>
      </c>
      <c r="AQ40" s="40">
        <f t="shared" si="44"/>
        <v>8.9999999999999993E-3</v>
      </c>
      <c r="AR40" s="39">
        <f t="shared" si="24"/>
        <v>0.1298702429955326</v>
      </c>
      <c r="AS40" s="37">
        <f t="shared" si="25"/>
        <v>1.5523199999999999</v>
      </c>
      <c r="AT40" s="40">
        <f t="shared" si="26"/>
        <v>92.279693480787984</v>
      </c>
    </row>
    <row r="41" spans="17:46" x14ac:dyDescent="0.55000000000000004">
      <c r="Q41">
        <v>34</v>
      </c>
      <c r="R41" s="39">
        <f t="shared" si="0"/>
        <v>210</v>
      </c>
      <c r="S41" s="37">
        <f t="shared" si="30"/>
        <v>7.6159999999999995E-3</v>
      </c>
      <c r="T41" s="37">
        <f t="shared" si="2"/>
        <v>20</v>
      </c>
      <c r="U41" s="40">
        <f t="shared" si="31"/>
        <v>8.8853333333333326E-2</v>
      </c>
      <c r="V41" s="39">
        <f t="shared" si="32"/>
        <v>1</v>
      </c>
      <c r="W41" s="37">
        <f t="shared" si="33"/>
        <v>0.52805739082035397</v>
      </c>
      <c r="X41" s="40">
        <f t="shared" si="34"/>
        <v>0.10711227285377074</v>
      </c>
      <c r="Y41" s="39">
        <f t="shared" si="35"/>
        <v>0.27403082035306381</v>
      </c>
      <c r="Z41" s="37">
        <f t="shared" si="28"/>
        <v>0.27403082035306381</v>
      </c>
      <c r="AA41" s="37">
        <f t="shared" si="29"/>
        <v>0.12609087464383956</v>
      </c>
      <c r="AB41" s="37">
        <v>0</v>
      </c>
      <c r="AC41" s="37">
        <f t="shared" si="36"/>
        <v>1.1701596779978066E-2</v>
      </c>
      <c r="AD41" s="40">
        <f t="shared" si="19"/>
        <v>1.1701596779978066E-2</v>
      </c>
      <c r="AE41" s="39">
        <f t="shared" si="27"/>
        <v>4.6919659365691181E-2</v>
      </c>
      <c r="AF41" s="37">
        <f t="shared" si="20"/>
        <v>0.114968627356002</v>
      </c>
      <c r="AG41" s="37">
        <f t="shared" si="37"/>
        <v>6.4767147853003941E-5</v>
      </c>
      <c r="AH41" s="37">
        <f t="shared" si="38"/>
        <v>1.8060431424918254E-3</v>
      </c>
      <c r="AI41" s="40">
        <f t="shared" si="21"/>
        <v>1.8708102903448294E-3</v>
      </c>
      <c r="AJ41" s="39">
        <f t="shared" si="22"/>
        <v>9.517282483967042E-3</v>
      </c>
      <c r="AK41" s="37">
        <f t="shared" si="39"/>
        <v>5.1779565393359671E-2</v>
      </c>
      <c r="AL41" s="37">
        <f t="shared" si="40"/>
        <v>7.0067200000000001E-3</v>
      </c>
      <c r="AM41" s="37">
        <f t="shared" si="41"/>
        <v>9.9132400000000009E-2</v>
      </c>
      <c r="AN41" s="40">
        <f t="shared" si="23"/>
        <v>0.10613912</v>
      </c>
      <c r="AO41" s="39">
        <f t="shared" si="42"/>
        <v>5.2871141104493004E-4</v>
      </c>
      <c r="AP41" s="37">
        <f t="shared" si="43"/>
        <v>1.4276250000000003E-3</v>
      </c>
      <c r="AQ41" s="40">
        <f t="shared" si="44"/>
        <v>8.9999999999999993E-3</v>
      </c>
      <c r="AR41" s="39">
        <f t="shared" si="24"/>
        <v>0.13066786348136783</v>
      </c>
      <c r="AS41" s="37">
        <f t="shared" si="25"/>
        <v>1.5993599999999999</v>
      </c>
      <c r="AT41" s="40">
        <f t="shared" si="26"/>
        <v>92.447065955433658</v>
      </c>
    </row>
    <row r="42" spans="17:46" x14ac:dyDescent="0.55000000000000004">
      <c r="Q42">
        <v>35</v>
      </c>
      <c r="R42" s="39">
        <f t="shared" si="0"/>
        <v>210</v>
      </c>
      <c r="S42" s="37">
        <f t="shared" si="30"/>
        <v>7.8399999999999997E-3</v>
      </c>
      <c r="T42" s="37">
        <f t="shared" si="2"/>
        <v>20</v>
      </c>
      <c r="U42" s="40">
        <f t="shared" si="31"/>
        <v>9.1466666666666654E-2</v>
      </c>
      <c r="V42" s="39">
        <f t="shared" si="32"/>
        <v>1</v>
      </c>
      <c r="W42" s="37">
        <f t="shared" si="33"/>
        <v>0.53576666562973096</v>
      </c>
      <c r="X42" s="40">
        <f t="shared" si="34"/>
        <v>0.108676038386157</v>
      </c>
      <c r="Y42" s="39">
        <f t="shared" si="35"/>
        <v>0.27803148190437521</v>
      </c>
      <c r="Z42" s="37">
        <f t="shared" si="28"/>
        <v>0.27803148190437521</v>
      </c>
      <c r="AA42" s="37">
        <f t="shared" si="29"/>
        <v>0.12886218848256706</v>
      </c>
      <c r="AB42" s="37">
        <v>0</v>
      </c>
      <c r="AC42" s="37">
        <f t="shared" si="36"/>
        <v>1.2221621224700246E-2</v>
      </c>
      <c r="AD42" s="40">
        <f t="shared" si="19"/>
        <v>1.2221621224700246E-2</v>
      </c>
      <c r="AE42" s="39">
        <f t="shared" si="27"/>
        <v>4.900479101626605E-2</v>
      </c>
      <c r="AF42" s="37">
        <f t="shared" si="20"/>
        <v>0.11749548862896216</v>
      </c>
      <c r="AG42" s="37">
        <f t="shared" si="37"/>
        <v>6.7645430255977026E-5</v>
      </c>
      <c r="AH42" s="37">
        <f t="shared" si="38"/>
        <v>1.8591620584474673E-3</v>
      </c>
      <c r="AI42" s="40">
        <f t="shared" si="21"/>
        <v>1.9268074887034442E-3</v>
      </c>
      <c r="AJ42" s="39">
        <f t="shared" si="22"/>
        <v>9.9402349777204923E-3</v>
      </c>
      <c r="AK42" s="37">
        <f t="shared" si="39"/>
        <v>5.2917613063686648E-2</v>
      </c>
      <c r="AL42" s="37">
        <f t="shared" si="40"/>
        <v>7.2128000000000001E-3</v>
      </c>
      <c r="AM42" s="37">
        <f t="shared" si="41"/>
        <v>9.9132400000000009E-2</v>
      </c>
      <c r="AN42" s="40">
        <f t="shared" si="23"/>
        <v>0.10634520000000001</v>
      </c>
      <c r="AO42" s="39">
        <f t="shared" si="42"/>
        <v>5.5220759392634298E-4</v>
      </c>
      <c r="AP42" s="37">
        <f t="shared" si="43"/>
        <v>1.4276250000000003E-3</v>
      </c>
      <c r="AQ42" s="40">
        <f t="shared" si="44"/>
        <v>8.9999999999999993E-3</v>
      </c>
      <c r="AR42" s="39">
        <f t="shared" si="24"/>
        <v>0.13147346130733004</v>
      </c>
      <c r="AS42" s="37">
        <f t="shared" si="25"/>
        <v>1.6463999999999999</v>
      </c>
      <c r="AT42" s="40">
        <f t="shared" si="26"/>
        <v>92.605015814193365</v>
      </c>
    </row>
    <row r="43" spans="17:46" x14ac:dyDescent="0.55000000000000004">
      <c r="Q43">
        <v>36</v>
      </c>
      <c r="R43" s="39">
        <f t="shared" si="0"/>
        <v>210</v>
      </c>
      <c r="S43" s="37">
        <f t="shared" si="30"/>
        <v>8.064E-3</v>
      </c>
      <c r="T43" s="37">
        <f t="shared" si="2"/>
        <v>20</v>
      </c>
      <c r="U43" s="40">
        <f t="shared" si="31"/>
        <v>9.4079999999999997E-2</v>
      </c>
      <c r="V43" s="39">
        <f t="shared" si="32"/>
        <v>1</v>
      </c>
      <c r="W43" s="37">
        <f t="shared" si="33"/>
        <v>0.54336657239841324</v>
      </c>
      <c r="X43" s="40">
        <f t="shared" si="34"/>
        <v>0.11021761947492024</v>
      </c>
      <c r="Y43" s="39">
        <f t="shared" si="35"/>
        <v>0.28197538785594878</v>
      </c>
      <c r="Z43" s="37">
        <f t="shared" si="28"/>
        <v>0.28197538785594878</v>
      </c>
      <c r="AA43" s="37">
        <f t="shared" si="29"/>
        <v>0.13161377474182895</v>
      </c>
      <c r="AB43" s="37">
        <v>0</v>
      </c>
      <c r="AC43" s="37">
        <f t="shared" si="36"/>
        <v>1.2749128676519568E-2</v>
      </c>
      <c r="AD43" s="40">
        <f t="shared" si="19"/>
        <v>1.2749128676519568E-2</v>
      </c>
      <c r="AE43" s="39">
        <f t="shared" si="27"/>
        <v>5.1119927131242714E-2</v>
      </c>
      <c r="AF43" s="37">
        <f t="shared" si="20"/>
        <v>0.12000436245644998</v>
      </c>
      <c r="AG43" s="37">
        <f t="shared" si="37"/>
        <v>7.0565130342037212E-5</v>
      </c>
      <c r="AH43" s="37">
        <f t="shared" si="38"/>
        <v>1.9122809744031096E-3</v>
      </c>
      <c r="AI43" s="40">
        <f t="shared" si="21"/>
        <v>1.9828461047451469E-3</v>
      </c>
      <c r="AJ43" s="39">
        <f t="shared" si="22"/>
        <v>1.0369273640200497E-2</v>
      </c>
      <c r="AK43" s="37">
        <f t="shared" si="39"/>
        <v>5.4047559549103334E-2</v>
      </c>
      <c r="AL43" s="37">
        <f t="shared" si="40"/>
        <v>7.4188800000000001E-3</v>
      </c>
      <c r="AM43" s="37">
        <f t="shared" si="41"/>
        <v>9.9132400000000009E-2</v>
      </c>
      <c r="AN43" s="40">
        <f t="shared" si="23"/>
        <v>0.10655128000000001</v>
      </c>
      <c r="AO43" s="39">
        <f t="shared" si="42"/>
        <v>5.760418803431609E-4</v>
      </c>
      <c r="AP43" s="37">
        <f t="shared" si="43"/>
        <v>1.4276250000000003E-3</v>
      </c>
      <c r="AQ43" s="40">
        <f t="shared" si="44"/>
        <v>8.9999999999999993E-3</v>
      </c>
      <c r="AR43" s="39">
        <f t="shared" si="24"/>
        <v>0.13228692166160788</v>
      </c>
      <c r="AS43" s="37">
        <f t="shared" si="25"/>
        <v>1.6934400000000001</v>
      </c>
      <c r="AT43" s="40">
        <f t="shared" si="26"/>
        <v>92.754287615958887</v>
      </c>
    </row>
    <row r="44" spans="17:46" x14ac:dyDescent="0.55000000000000004">
      <c r="Q44">
        <v>37</v>
      </c>
      <c r="R44" s="39">
        <f t="shared" si="0"/>
        <v>210</v>
      </c>
      <c r="S44" s="37">
        <f t="shared" si="30"/>
        <v>8.2880000000000002E-3</v>
      </c>
      <c r="T44" s="37">
        <f t="shared" si="2"/>
        <v>20</v>
      </c>
      <c r="U44" s="40">
        <f t="shared" si="31"/>
        <v>9.6693333333333339E-2</v>
      </c>
      <c r="V44" s="39">
        <f t="shared" si="32"/>
        <v>1</v>
      </c>
      <c r="W44" s="37">
        <f t="shared" si="33"/>
        <v>0.55086163780027375</v>
      </c>
      <c r="X44" s="40">
        <f t="shared" si="34"/>
        <v>0.11173793432011868</v>
      </c>
      <c r="Y44" s="39">
        <f t="shared" si="35"/>
        <v>0.28586488728607878</v>
      </c>
      <c r="Z44" s="37">
        <f t="shared" si="28"/>
        <v>0.28586488728607878</v>
      </c>
      <c r="AA44" s="37">
        <f t="shared" si="29"/>
        <v>0.13434631621161128</v>
      </c>
      <c r="AB44" s="37">
        <v>0</v>
      </c>
      <c r="AC44" s="37">
        <f t="shared" si="36"/>
        <v>1.3284014452207862E-2</v>
      </c>
      <c r="AD44" s="40">
        <f t="shared" si="19"/>
        <v>1.3284014452207862E-2</v>
      </c>
      <c r="AE44" s="39">
        <f t="shared" si="27"/>
        <v>5.3264647964367806E-2</v>
      </c>
      <c r="AF44" s="37">
        <f t="shared" si="20"/>
        <v>0.12249587140078558</v>
      </c>
      <c r="AG44" s="37">
        <f t="shared" si="37"/>
        <v>7.3525668700165226E-5</v>
      </c>
      <c r="AH44" s="37">
        <f t="shared" si="38"/>
        <v>1.9653998903587516E-3</v>
      </c>
      <c r="AI44" s="40">
        <f t="shared" si="21"/>
        <v>2.0389255590589168E-3</v>
      </c>
      <c r="AJ44" s="39">
        <f t="shared" si="22"/>
        <v>1.0804313329193342E-2</v>
      </c>
      <c r="AK44" s="37">
        <f t="shared" si="39"/>
        <v>5.5169685239200392E-2</v>
      </c>
      <c r="AL44" s="37">
        <f t="shared" si="40"/>
        <v>7.6249600000000009E-3</v>
      </c>
      <c r="AM44" s="37">
        <f t="shared" si="41"/>
        <v>9.9132400000000009E-2</v>
      </c>
      <c r="AN44" s="40">
        <f t="shared" si="23"/>
        <v>0.10675736000000001</v>
      </c>
      <c r="AO44" s="39">
        <f t="shared" si="42"/>
        <v>6.0020954040951194E-4</v>
      </c>
      <c r="AP44" s="37">
        <f t="shared" si="43"/>
        <v>1.4276250000000003E-3</v>
      </c>
      <c r="AQ44" s="40">
        <f t="shared" si="44"/>
        <v>8.9999999999999993E-3</v>
      </c>
      <c r="AR44" s="39">
        <f t="shared" si="24"/>
        <v>0.1331081345516763</v>
      </c>
      <c r="AS44" s="37">
        <f t="shared" si="25"/>
        <v>1.74048</v>
      </c>
      <c r="AT44" s="40">
        <f t="shared" si="26"/>
        <v>92.895549875825452</v>
      </c>
    </row>
    <row r="45" spans="17:46" x14ac:dyDescent="0.55000000000000004">
      <c r="Q45">
        <v>38</v>
      </c>
      <c r="R45" s="39">
        <f t="shared" si="0"/>
        <v>210</v>
      </c>
      <c r="S45" s="37">
        <f t="shared" si="30"/>
        <v>8.5120000000000005E-3</v>
      </c>
      <c r="T45" s="37">
        <f t="shared" si="2"/>
        <v>20</v>
      </c>
      <c r="U45" s="40">
        <f t="shared" si="31"/>
        <v>9.9306666666666668E-2</v>
      </c>
      <c r="V45" s="39">
        <f t="shared" si="32"/>
        <v>1</v>
      </c>
      <c r="W45" s="37">
        <f t="shared" si="33"/>
        <v>0.55825608460633902</v>
      </c>
      <c r="X45" s="40">
        <f t="shared" si="34"/>
        <v>0.11323783947751739</v>
      </c>
      <c r="Y45" s="39">
        <f t="shared" si="35"/>
        <v>0.28970217156530309</v>
      </c>
      <c r="Z45" s="37">
        <f t="shared" si="28"/>
        <v>0.28970217156530309</v>
      </c>
      <c r="AA45" s="37">
        <f t="shared" si="29"/>
        <v>0.13706045428599703</v>
      </c>
      <c r="AB45" s="37">
        <v>0</v>
      </c>
      <c r="AC45" s="37">
        <f t="shared" si="36"/>
        <v>1.3826178143005737E-2</v>
      </c>
      <c r="AD45" s="40">
        <f t="shared" si="19"/>
        <v>1.3826178143005737E-2</v>
      </c>
      <c r="AE45" s="39">
        <f t="shared" si="27"/>
        <v>5.5438550908640173E-2</v>
      </c>
      <c r="AF45" s="37">
        <f t="shared" si="20"/>
        <v>0.12497060027984359</v>
      </c>
      <c r="AG45" s="37">
        <f t="shared" si="37"/>
        <v>7.6526489578091777E-5</v>
      </c>
      <c r="AH45" s="37">
        <f t="shared" si="38"/>
        <v>2.0185188063143937E-3</v>
      </c>
      <c r="AI45" s="40">
        <f t="shared" si="21"/>
        <v>2.0950452958924857E-3</v>
      </c>
      <c r="AJ45" s="39">
        <f t="shared" si="22"/>
        <v>1.1245272379047327E-2</v>
      </c>
      <c r="AK45" s="37">
        <f t="shared" si="39"/>
        <v>5.6284253524226807E-2</v>
      </c>
      <c r="AL45" s="37">
        <f t="shared" si="40"/>
        <v>7.8310400000000009E-3</v>
      </c>
      <c r="AM45" s="37">
        <f t="shared" si="41"/>
        <v>9.9132400000000009E-2</v>
      </c>
      <c r="AN45" s="40">
        <f t="shared" si="23"/>
        <v>0.10696344000000001</v>
      </c>
      <c r="AO45" s="39">
        <f t="shared" si="42"/>
        <v>6.2470603737217777E-4</v>
      </c>
      <c r="AP45" s="37">
        <f t="shared" si="43"/>
        <v>1.4276250000000003E-3</v>
      </c>
      <c r="AQ45" s="40">
        <f t="shared" si="44"/>
        <v>8.9999999999999993E-3</v>
      </c>
      <c r="AR45" s="39">
        <f t="shared" si="24"/>
        <v>0.13393699447627042</v>
      </c>
      <c r="AS45" s="37">
        <f t="shared" si="25"/>
        <v>1.78752</v>
      </c>
      <c r="AT45" s="40">
        <f t="shared" si="26"/>
        <v>93.029404516400447</v>
      </c>
    </row>
    <row r="46" spans="17:46" x14ac:dyDescent="0.55000000000000004">
      <c r="Q46">
        <v>39</v>
      </c>
      <c r="R46" s="39">
        <f t="shared" si="0"/>
        <v>210</v>
      </c>
      <c r="S46" s="37">
        <f t="shared" si="30"/>
        <v>8.7360000000000007E-3</v>
      </c>
      <c r="T46" s="37">
        <f t="shared" si="2"/>
        <v>20</v>
      </c>
      <c r="U46" s="40">
        <f t="shared" si="31"/>
        <v>0.10192000000000001</v>
      </c>
      <c r="V46" s="39">
        <f t="shared" si="32"/>
        <v>1</v>
      </c>
      <c r="W46" s="37">
        <f t="shared" si="33"/>
        <v>0.56555385950411485</v>
      </c>
      <c r="X46" s="40">
        <f t="shared" si="34"/>
        <v>0.11471813550151888</v>
      </c>
      <c r="Y46" s="39">
        <f t="shared" si="35"/>
        <v>0.29348928879300201</v>
      </c>
      <c r="Z46" s="37">
        <f t="shared" si="28"/>
        <v>0.29348928879300201</v>
      </c>
      <c r="AA46" s="37">
        <f t="shared" si="29"/>
        <v>0.13975679249357145</v>
      </c>
      <c r="AB46" s="37">
        <v>0</v>
      </c>
      <c r="AC46" s="37">
        <f t="shared" si="36"/>
        <v>1.4375523331395116E-2</v>
      </c>
      <c r="AD46" s="40">
        <f t="shared" si="19"/>
        <v>1.4375523331395116E-2</v>
      </c>
      <c r="AE46" s="39">
        <f t="shared" si="27"/>
        <v>5.764124936065939E-2</v>
      </c>
      <c r="AF46" s="37">
        <f t="shared" si="20"/>
        <v>0.12742909938604768</v>
      </c>
      <c r="AG46" s="37">
        <f t="shared" si="37"/>
        <v>7.9567059314662183E-5</v>
      </c>
      <c r="AH46" s="37">
        <f t="shared" si="38"/>
        <v>2.0716377222700358E-3</v>
      </c>
      <c r="AI46" s="40">
        <f t="shared" si="21"/>
        <v>2.1512047815846979E-3</v>
      </c>
      <c r="AJ46" s="39">
        <f t="shared" si="22"/>
        <v>1.1692072370314806E-2</v>
      </c>
      <c r="AK46" s="37">
        <f t="shared" si="39"/>
        <v>5.7391512244860443E-2</v>
      </c>
      <c r="AL46" s="37">
        <f t="shared" si="40"/>
        <v>8.0371200000000018E-3</v>
      </c>
      <c r="AM46" s="37">
        <f t="shared" si="41"/>
        <v>9.9132400000000009E-2</v>
      </c>
      <c r="AN46" s="40">
        <f t="shared" si="23"/>
        <v>0.10716952000000002</v>
      </c>
      <c r="AO46" s="39">
        <f t="shared" si="42"/>
        <v>6.4952701481356878E-4</v>
      </c>
      <c r="AP46" s="37">
        <f t="shared" si="43"/>
        <v>1.4276250000000003E-3</v>
      </c>
      <c r="AQ46" s="40">
        <f t="shared" si="44"/>
        <v>8.9999999999999993E-3</v>
      </c>
      <c r="AR46" s="39">
        <f t="shared" si="24"/>
        <v>0.1347734001277934</v>
      </c>
      <c r="AS46" s="37">
        <f t="shared" si="25"/>
        <v>1.8345600000000002</v>
      </c>
      <c r="AT46" s="40">
        <f t="shared" si="26"/>
        <v>93.156394944652448</v>
      </c>
    </row>
    <row r="47" spans="17:46" x14ac:dyDescent="0.55000000000000004">
      <c r="Q47">
        <v>40</v>
      </c>
      <c r="R47" s="39">
        <f t="shared" si="0"/>
        <v>210</v>
      </c>
      <c r="S47" s="37">
        <f t="shared" si="30"/>
        <v>8.9599999999999992E-3</v>
      </c>
      <c r="T47" s="37">
        <f t="shared" si="2"/>
        <v>20</v>
      </c>
      <c r="U47" s="40">
        <f t="shared" si="31"/>
        <v>0.10453333333333333</v>
      </c>
      <c r="V47" s="39">
        <f t="shared" si="32"/>
        <v>1</v>
      </c>
      <c r="W47" s="37">
        <f t="shared" si="33"/>
        <v>0.57275865772592205</v>
      </c>
      <c r="X47" s="40">
        <f t="shared" si="34"/>
        <v>0.11617957194082651</v>
      </c>
      <c r="Y47" s="39">
        <f t="shared" si="35"/>
        <v>0.29722815657806023</v>
      </c>
      <c r="Z47" s="37">
        <f t="shared" si="28"/>
        <v>0.29722815657806023</v>
      </c>
      <c r="AA47" s="37">
        <f t="shared" si="29"/>
        <v>0.14243589964412939</v>
      </c>
      <c r="AB47" s="37">
        <v>0</v>
      </c>
      <c r="AC47" s="37">
        <f t="shared" si="36"/>
        <v>1.493195733347032E-2</v>
      </c>
      <c r="AD47" s="40">
        <f t="shared" si="19"/>
        <v>1.493195733347032E-2</v>
      </c>
      <c r="AE47" s="39">
        <f t="shared" si="27"/>
        <v>5.9872371687616381E-2</v>
      </c>
      <c r="AF47" s="37">
        <f t="shared" si="20"/>
        <v>0.12987188735551272</v>
      </c>
      <c r="AG47" s="37">
        <f t="shared" si="37"/>
        <v>8.2646864913886627E-5</v>
      </c>
      <c r="AH47" s="37">
        <f t="shared" si="38"/>
        <v>2.1247566382256769E-3</v>
      </c>
      <c r="AI47" s="40">
        <f t="shared" si="21"/>
        <v>2.2074035031395636E-3</v>
      </c>
      <c r="AJ47" s="39">
        <f t="shared" si="22"/>
        <v>1.2144637920214398E-2</v>
      </c>
      <c r="AK47" s="37">
        <f t="shared" si="39"/>
        <v>5.8491694984412167E-2</v>
      </c>
      <c r="AL47" s="37">
        <f t="shared" si="40"/>
        <v>8.2431999999999991E-3</v>
      </c>
      <c r="AM47" s="37">
        <f t="shared" si="41"/>
        <v>9.9132400000000009E-2</v>
      </c>
      <c r="AN47" s="40">
        <f t="shared" si="23"/>
        <v>0.10737560000000002</v>
      </c>
      <c r="AO47" s="39">
        <f t="shared" si="42"/>
        <v>6.7466828501131935E-4</v>
      </c>
      <c r="AP47" s="37">
        <f t="shared" si="43"/>
        <v>1.4276250000000003E-3</v>
      </c>
      <c r="AQ47" s="40">
        <f t="shared" si="44"/>
        <v>8.9999999999999993E-3</v>
      </c>
      <c r="AR47" s="39">
        <f t="shared" si="24"/>
        <v>0.13561725412162123</v>
      </c>
      <c r="AS47" s="37">
        <f t="shared" si="25"/>
        <v>1.8815999999999999</v>
      </c>
      <c r="AT47" s="40">
        <f t="shared" si="26"/>
        <v>93.277012981892511</v>
      </c>
    </row>
    <row r="48" spans="17:46" x14ac:dyDescent="0.55000000000000004">
      <c r="Q48">
        <v>41</v>
      </c>
      <c r="R48" s="39">
        <f t="shared" si="0"/>
        <v>210</v>
      </c>
      <c r="S48" s="37">
        <f t="shared" si="30"/>
        <v>9.1839999999999995E-3</v>
      </c>
      <c r="T48" s="37">
        <f t="shared" si="2"/>
        <v>20</v>
      </c>
      <c r="U48" s="40">
        <f t="shared" si="31"/>
        <v>0.10714666666666667</v>
      </c>
      <c r="V48" s="39">
        <f t="shared" si="32"/>
        <v>1</v>
      </c>
      <c r="W48" s="37">
        <f t="shared" si="33"/>
        <v>0.57987394492251498</v>
      </c>
      <c r="X48" s="40">
        <f t="shared" si="34"/>
        <v>0.11762285177533539</v>
      </c>
      <c r="Y48" s="39">
        <f t="shared" si="35"/>
        <v>0.30092057338999223</v>
      </c>
      <c r="Z48" s="37">
        <f t="shared" si="28"/>
        <v>0.30092057338999223</v>
      </c>
      <c r="AA48" s="37">
        <f t="shared" si="29"/>
        <v>0.14509831264191972</v>
      </c>
      <c r="AB48" s="37">
        <v>0</v>
      </c>
      <c r="AC48" s="37">
        <f t="shared" si="36"/>
        <v>1.5495390964007759E-2</v>
      </c>
      <c r="AD48" s="40">
        <f t="shared" si="19"/>
        <v>1.5495390964007759E-2</v>
      </c>
      <c r="AE48" s="39">
        <f t="shared" si="27"/>
        <v>6.2131560285297739E-2</v>
      </c>
      <c r="AF48" s="37">
        <f t="shared" si="20"/>
        <v>0.1322994537331379</v>
      </c>
      <c r="AG48" s="37">
        <f t="shared" si="37"/>
        <v>8.5765412744624817E-5</v>
      </c>
      <c r="AH48" s="37">
        <f t="shared" si="38"/>
        <v>2.1778755541813194E-3</v>
      </c>
      <c r="AI48" s="40">
        <f t="shared" si="21"/>
        <v>2.2636409669259442E-3</v>
      </c>
      <c r="AJ48" s="39">
        <f t="shared" si="22"/>
        <v>1.2602896491554603E-2</v>
      </c>
      <c r="AK48" s="37">
        <f t="shared" si="39"/>
        <v>5.9585022224092399E-2</v>
      </c>
      <c r="AL48" s="37">
        <f t="shared" si="40"/>
        <v>8.44928E-3</v>
      </c>
      <c r="AM48" s="37">
        <f t="shared" si="41"/>
        <v>9.9132400000000009E-2</v>
      </c>
      <c r="AN48" s="40">
        <f t="shared" si="23"/>
        <v>0.10758168000000001</v>
      </c>
      <c r="AO48" s="39">
        <f t="shared" si="42"/>
        <v>7.0012581832346781E-4</v>
      </c>
      <c r="AP48" s="37">
        <f t="shared" si="43"/>
        <v>1.4276250000000003E-3</v>
      </c>
      <c r="AQ48" s="40">
        <f t="shared" si="44"/>
        <v>8.9999999999999993E-3</v>
      </c>
      <c r="AR48" s="39">
        <f t="shared" si="24"/>
        <v>0.13646846274925717</v>
      </c>
      <c r="AS48" s="37">
        <f t="shared" si="25"/>
        <v>1.9286399999999999</v>
      </c>
      <c r="AT48" s="40">
        <f t="shared" si="26"/>
        <v>93.391704832414561</v>
      </c>
    </row>
    <row r="49" spans="17:46" x14ac:dyDescent="0.55000000000000004">
      <c r="Q49">
        <v>42</v>
      </c>
      <c r="R49" s="39">
        <f t="shared" si="0"/>
        <v>210</v>
      </c>
      <c r="S49" s="37">
        <f t="shared" si="30"/>
        <v>9.4079999999999997E-3</v>
      </c>
      <c r="T49" s="37">
        <f t="shared" si="2"/>
        <v>20</v>
      </c>
      <c r="U49" s="40">
        <f t="shared" si="31"/>
        <v>0.10976</v>
      </c>
      <c r="V49" s="39">
        <f t="shared" si="32"/>
        <v>1</v>
      </c>
      <c r="W49" s="37">
        <f t="shared" si="33"/>
        <v>0.58690297664946289</v>
      </c>
      <c r="X49" s="40">
        <f t="shared" si="34"/>
        <v>0.11904863536879104</v>
      </c>
      <c r="Y49" s="39">
        <f t="shared" si="35"/>
        <v>0.3045682286712314</v>
      </c>
      <c r="Z49" s="37">
        <f t="shared" si="28"/>
        <v>0.3045682286712314</v>
      </c>
      <c r="AA49" s="37">
        <f t="shared" si="29"/>
        <v>0.14774453900801912</v>
      </c>
      <c r="AB49" s="37">
        <v>0</v>
      </c>
      <c r="AC49" s="37">
        <f t="shared" si="36"/>
        <v>1.6065738321725375E-2</v>
      </c>
      <c r="AD49" s="40">
        <f t="shared" si="19"/>
        <v>1.6065738321725375E-2</v>
      </c>
      <c r="AE49" s="39">
        <f t="shared" si="27"/>
        <v>6.441847071704504E-2</v>
      </c>
      <c r="AF49" s="37">
        <f t="shared" si="20"/>
        <v>0.13471226127248645</v>
      </c>
      <c r="AG49" s="37">
        <f t="shared" si="37"/>
        <v>8.8922227352018613E-5</v>
      </c>
      <c r="AH49" s="37">
        <f t="shared" si="38"/>
        <v>2.2309944701369611E-3</v>
      </c>
      <c r="AI49" s="40">
        <f t="shared" si="21"/>
        <v>2.3199166974889798E-3</v>
      </c>
      <c r="AJ49" s="39">
        <f t="shared" si="22"/>
        <v>1.3066778218078504E-2</v>
      </c>
      <c r="AK49" s="37">
        <f t="shared" si="39"/>
        <v>6.0671702378830863E-2</v>
      </c>
      <c r="AL49" s="37">
        <f t="shared" si="40"/>
        <v>8.6553600000000008E-3</v>
      </c>
      <c r="AM49" s="37">
        <f t="shared" si="41"/>
        <v>9.9132400000000009E-2</v>
      </c>
      <c r="AN49" s="40">
        <f t="shared" si="23"/>
        <v>0.10778776000000001</v>
      </c>
      <c r="AO49" s="39">
        <f t="shared" si="42"/>
        <v>7.2589573348586607E-4</v>
      </c>
      <c r="AP49" s="37">
        <f t="shared" si="43"/>
        <v>1.4276250000000003E-3</v>
      </c>
      <c r="AQ49" s="40">
        <f t="shared" si="44"/>
        <v>8.9999999999999993E-3</v>
      </c>
      <c r="AR49" s="39">
        <f t="shared" si="24"/>
        <v>0.13732693575270022</v>
      </c>
      <c r="AS49" s="37">
        <f t="shared" si="25"/>
        <v>1.9756799999999999</v>
      </c>
      <c r="AT49" s="40">
        <f t="shared" si="26"/>
        <v>93.500876242804125</v>
      </c>
    </row>
    <row r="50" spans="17:46" x14ac:dyDescent="0.55000000000000004">
      <c r="Q50">
        <v>43</v>
      </c>
      <c r="R50" s="39">
        <f t="shared" si="0"/>
        <v>210</v>
      </c>
      <c r="S50" s="37">
        <f t="shared" si="30"/>
        <v>9.6319999999999999E-3</v>
      </c>
      <c r="T50" s="37">
        <f t="shared" si="2"/>
        <v>20</v>
      </c>
      <c r="U50" s="40">
        <f t="shared" si="31"/>
        <v>0.11237333333333334</v>
      </c>
      <c r="V50" s="39">
        <f t="shared" si="32"/>
        <v>1</v>
      </c>
      <c r="W50" s="37">
        <f t="shared" si="33"/>
        <v>0.59384881577721449</v>
      </c>
      <c r="X50" s="40">
        <f t="shared" si="34"/>
        <v>0.1204575440002834</v>
      </c>
      <c r="Y50" s="39">
        <f t="shared" si="35"/>
        <v>0.30817271187193279</v>
      </c>
      <c r="Z50" s="37">
        <f t="shared" si="28"/>
        <v>0.30817271187193279</v>
      </c>
      <c r="AA50" s="37">
        <f t="shared" si="29"/>
        <v>0.150375059148108</v>
      </c>
      <c r="AB50" s="37">
        <v>0</v>
      </c>
      <c r="AC50" s="37">
        <f t="shared" si="36"/>
        <v>1.6642916592554576E-2</v>
      </c>
      <c r="AD50" s="40">
        <f t="shared" si="19"/>
        <v>1.6642916592554576E-2</v>
      </c>
      <c r="AE50" s="39">
        <f t="shared" si="27"/>
        <v>6.6732770924938192E-2</v>
      </c>
      <c r="AF50" s="37">
        <f t="shared" si="20"/>
        <v>0.13711074800352535</v>
      </c>
      <c r="AG50" s="37">
        <f t="shared" si="37"/>
        <v>9.2116850368622547E-5</v>
      </c>
      <c r="AH50" s="37">
        <f t="shared" si="38"/>
        <v>2.2841133860926031E-3</v>
      </c>
      <c r="AI50" s="40">
        <f t="shared" si="21"/>
        <v>2.3762302364612256E-3</v>
      </c>
      <c r="AJ50" s="39">
        <f t="shared" si="22"/>
        <v>1.3536215744458513E-2</v>
      </c>
      <c r="AK50" s="37">
        <f t="shared" si="39"/>
        <v>6.1751932728545053E-2</v>
      </c>
      <c r="AL50" s="37">
        <f t="shared" si="40"/>
        <v>8.8614399999999999E-3</v>
      </c>
      <c r="AM50" s="37">
        <f t="shared" si="41"/>
        <v>9.9132400000000009E-2</v>
      </c>
      <c r="AN50" s="40">
        <f t="shared" si="23"/>
        <v>0.10799384000000001</v>
      </c>
      <c r="AO50" s="39">
        <f t="shared" si="42"/>
        <v>7.5197428872344932E-4</v>
      </c>
      <c r="AP50" s="37">
        <f t="shared" si="43"/>
        <v>1.4276250000000003E-3</v>
      </c>
      <c r="AQ50" s="40">
        <f t="shared" si="44"/>
        <v>8.9999999999999993E-3</v>
      </c>
      <c r="AR50" s="39">
        <f t="shared" si="24"/>
        <v>0.13819258611773924</v>
      </c>
      <c r="AS50" s="37">
        <f t="shared" si="25"/>
        <v>2.0227200000000001</v>
      </c>
      <c r="AT50" s="40">
        <f t="shared" si="26"/>
        <v>93.604896977067725</v>
      </c>
    </row>
    <row r="51" spans="17:46" x14ac:dyDescent="0.55000000000000004">
      <c r="Q51">
        <v>44</v>
      </c>
      <c r="R51" s="39">
        <f t="shared" si="0"/>
        <v>210</v>
      </c>
      <c r="S51" s="37">
        <f t="shared" si="30"/>
        <v>9.8560000000000002E-3</v>
      </c>
      <c r="T51" s="37">
        <f t="shared" si="2"/>
        <v>20</v>
      </c>
      <c r="U51" s="40">
        <f t="shared" si="31"/>
        <v>0.11498666666666667</v>
      </c>
      <c r="V51" s="39">
        <f t="shared" si="32"/>
        <v>1</v>
      </c>
      <c r="W51" s="37">
        <f t="shared" si="33"/>
        <v>0.60071434808900637</v>
      </c>
      <c r="X51" s="40">
        <f t="shared" si="34"/>
        <v>0.12185016302815951</v>
      </c>
      <c r="Y51" s="39">
        <f t="shared" si="35"/>
        <v>0.31173552054437281</v>
      </c>
      <c r="Z51" s="37">
        <f t="shared" si="28"/>
        <v>0.31173552054437281</v>
      </c>
      <c r="AA51" s="37">
        <f t="shared" si="29"/>
        <v>0.15299032839665816</v>
      </c>
      <c r="AB51" s="37">
        <v>0</v>
      </c>
      <c r="AC51" s="37">
        <f t="shared" si="36"/>
        <v>1.7226845869027139E-2</v>
      </c>
      <c r="AD51" s="40">
        <f t="shared" si="19"/>
        <v>1.7226845869027139E-2</v>
      </c>
      <c r="AE51" s="39">
        <f t="shared" si="27"/>
        <v>6.9074140505594545E-2</v>
      </c>
      <c r="AF51" s="37">
        <f t="shared" si="20"/>
        <v>0.1394953290964987</v>
      </c>
      <c r="AG51" s="37">
        <f t="shared" si="37"/>
        <v>9.5348839514728347E-5</v>
      </c>
      <c r="AH51" s="37">
        <f t="shared" si="38"/>
        <v>2.3372323020482452E-3</v>
      </c>
      <c r="AI51" s="40">
        <f t="shared" si="21"/>
        <v>2.4325811415629736E-3</v>
      </c>
      <c r="AJ51" s="39">
        <f t="shared" si="22"/>
        <v>1.4011144079397969E-2</v>
      </c>
      <c r="AK51" s="37">
        <f t="shared" si="39"/>
        <v>6.2825900257591466E-2</v>
      </c>
      <c r="AL51" s="37">
        <f t="shared" si="40"/>
        <v>9.0675200000000008E-3</v>
      </c>
      <c r="AM51" s="37">
        <f t="shared" si="41"/>
        <v>9.9132400000000009E-2</v>
      </c>
      <c r="AN51" s="40">
        <f t="shared" si="23"/>
        <v>0.10819992</v>
      </c>
      <c r="AO51" s="39">
        <f t="shared" si="42"/>
        <v>7.7835787358961908E-4</v>
      </c>
      <c r="AP51" s="37">
        <f t="shared" si="43"/>
        <v>1.4276250000000003E-3</v>
      </c>
      <c r="AQ51" s="40">
        <f t="shared" si="44"/>
        <v>8.9999999999999993E-3</v>
      </c>
      <c r="AR51" s="39">
        <f t="shared" si="24"/>
        <v>0.13906532988417974</v>
      </c>
      <c r="AS51" s="37">
        <f t="shared" si="25"/>
        <v>2.06976</v>
      </c>
      <c r="AT51" s="40">
        <f t="shared" si="26"/>
        <v>93.704104711101294</v>
      </c>
    </row>
    <row r="52" spans="17:46" x14ac:dyDescent="0.55000000000000004">
      <c r="Q52">
        <v>45</v>
      </c>
      <c r="R52" s="39">
        <f t="shared" si="0"/>
        <v>210</v>
      </c>
      <c r="S52" s="37">
        <f t="shared" si="30"/>
        <v>1.008E-2</v>
      </c>
      <c r="T52" s="37">
        <f t="shared" si="2"/>
        <v>20</v>
      </c>
      <c r="U52" s="40">
        <f t="shared" si="31"/>
        <v>0.1176</v>
      </c>
      <c r="V52" s="39">
        <f t="shared" si="32"/>
        <v>1</v>
      </c>
      <c r="W52" s="37">
        <f t="shared" si="33"/>
        <v>0.6075022962919564</v>
      </c>
      <c r="X52" s="40">
        <f t="shared" si="34"/>
        <v>0.12322704473206315</v>
      </c>
      <c r="Y52" s="39">
        <f t="shared" si="35"/>
        <v>0.31525806761388503</v>
      </c>
      <c r="Z52" s="37">
        <f t="shared" si="28"/>
        <v>0.31525806761388503</v>
      </c>
      <c r="AA52" s="37">
        <f t="shared" si="29"/>
        <v>0.15559077886414852</v>
      </c>
      <c r="AB52" s="37">
        <v>0</v>
      </c>
      <c r="AC52" s="37">
        <f t="shared" si="36"/>
        <v>1.781744898411854E-2</v>
      </c>
      <c r="AD52" s="40">
        <f t="shared" si="19"/>
        <v>1.781744898411854E-2</v>
      </c>
      <c r="AE52" s="39">
        <f t="shared" si="27"/>
        <v>7.1442270043934067E-2</v>
      </c>
      <c r="AF52" s="37">
        <f t="shared" si="20"/>
        <v>0.14186639854620409</v>
      </c>
      <c r="AG52" s="37">
        <f t="shared" si="37"/>
        <v>9.8617767678705064E-5</v>
      </c>
      <c r="AH52" s="37">
        <f t="shared" si="38"/>
        <v>2.3903512180038868E-3</v>
      </c>
      <c r="AI52" s="40">
        <f t="shared" si="21"/>
        <v>2.4889689856825918E-3</v>
      </c>
      <c r="AJ52" s="39">
        <f t="shared" si="22"/>
        <v>1.4491500460490626E-2</v>
      </c>
      <c r="AK52" s="37">
        <f t="shared" si="39"/>
        <v>6.3893782413329922E-2</v>
      </c>
      <c r="AL52" s="37">
        <f t="shared" si="40"/>
        <v>9.2736000000000016E-3</v>
      </c>
      <c r="AM52" s="37">
        <f t="shared" si="41"/>
        <v>9.9132400000000009E-2</v>
      </c>
      <c r="AN52" s="40">
        <f t="shared" si="23"/>
        <v>0.10840600000000002</v>
      </c>
      <c r="AO52" s="39">
        <f t="shared" si="42"/>
        <v>8.0504300145881665E-4</v>
      </c>
      <c r="AP52" s="37">
        <f t="shared" si="43"/>
        <v>1.4276250000000003E-3</v>
      </c>
      <c r="AQ52" s="40">
        <f t="shared" si="44"/>
        <v>8.9999999999999993E-3</v>
      </c>
      <c r="AR52" s="39">
        <f t="shared" si="24"/>
        <v>0.13994508597125996</v>
      </c>
      <c r="AS52" s="37">
        <f t="shared" si="25"/>
        <v>2.1168</v>
      </c>
      <c r="AT52" s="40">
        <f t="shared" si="26"/>
        <v>93.798808432498248</v>
      </c>
    </row>
    <row r="53" spans="17:46" x14ac:dyDescent="0.55000000000000004">
      <c r="Q53">
        <v>46</v>
      </c>
      <c r="R53" s="39">
        <f t="shared" si="0"/>
        <v>210</v>
      </c>
      <c r="S53" s="37">
        <f t="shared" si="30"/>
        <v>1.0304000000000001E-2</v>
      </c>
      <c r="T53" s="37">
        <f t="shared" si="2"/>
        <v>20</v>
      </c>
      <c r="U53" s="40">
        <f t="shared" si="31"/>
        <v>0.12021333333333334</v>
      </c>
      <c r="V53" s="39">
        <f t="shared" si="32"/>
        <v>1</v>
      </c>
      <c r="W53" s="37">
        <f t="shared" si="33"/>
        <v>0.61421523263429412</v>
      </c>
      <c r="X53" s="40">
        <f t="shared" si="34"/>
        <v>0.12458871087224049</v>
      </c>
      <c r="Y53" s="39">
        <f t="shared" si="35"/>
        <v>0.31874168792646296</v>
      </c>
      <c r="Z53" s="37">
        <f t="shared" si="28"/>
        <v>0.31874168792646296</v>
      </c>
      <c r="AA53" s="37">
        <f t="shared" si="29"/>
        <v>0.15817682111023593</v>
      </c>
      <c r="AB53" s="37">
        <v>0</v>
      </c>
      <c r="AC53" s="37">
        <f t="shared" si="36"/>
        <v>1.8414651358093129E-2</v>
      </c>
      <c r="AD53" s="40">
        <f t="shared" si="19"/>
        <v>1.8414651358093129E-2</v>
      </c>
      <c r="AE53" s="39">
        <f t="shared" si="27"/>
        <v>7.3836860499077284E-2</v>
      </c>
      <c r="AF53" s="37">
        <f t="shared" si="20"/>
        <v>0.14422433069757593</v>
      </c>
      <c r="AG53" s="37">
        <f t="shared" si="37"/>
        <v>1.0192322206930235E-4</v>
      </c>
      <c r="AH53" s="37">
        <f t="shared" si="38"/>
        <v>2.4434701339595289E-3</v>
      </c>
      <c r="AI53" s="40">
        <f t="shared" si="21"/>
        <v>2.5453933560288314E-3</v>
      </c>
      <c r="AJ53" s="39">
        <f t="shared" si="22"/>
        <v>1.4977224229654938E-2</v>
      </c>
      <c r="AK53" s="37">
        <f t="shared" si="39"/>
        <v>6.4955747793215682E-2</v>
      </c>
      <c r="AL53" s="37">
        <f t="shared" si="40"/>
        <v>9.4796800000000007E-3</v>
      </c>
      <c r="AM53" s="37">
        <f t="shared" si="41"/>
        <v>9.9132400000000009E-2</v>
      </c>
      <c r="AN53" s="40">
        <f t="shared" si="23"/>
        <v>0.10861208000000001</v>
      </c>
      <c r="AO53" s="39">
        <f t="shared" si="42"/>
        <v>8.3202630260654966E-4</v>
      </c>
      <c r="AP53" s="37">
        <f t="shared" si="43"/>
        <v>1.4276250000000003E-3</v>
      </c>
      <c r="AQ53" s="40">
        <f t="shared" si="44"/>
        <v>8.9999999999999993E-3</v>
      </c>
      <c r="AR53" s="39">
        <f t="shared" si="24"/>
        <v>0.14083177601672853</v>
      </c>
      <c r="AS53" s="37">
        <f t="shared" si="25"/>
        <v>2.16384</v>
      </c>
      <c r="AT53" s="40">
        <f t="shared" si="26"/>
        <v>93.889291417447097</v>
      </c>
    </row>
    <row r="54" spans="17:46" x14ac:dyDescent="0.55000000000000004">
      <c r="Q54">
        <v>47</v>
      </c>
      <c r="R54" s="39">
        <f t="shared" si="0"/>
        <v>210</v>
      </c>
      <c r="S54" s="37">
        <f t="shared" si="30"/>
        <v>1.0527999999999999E-2</v>
      </c>
      <c r="T54" s="37">
        <f t="shared" si="2"/>
        <v>20</v>
      </c>
      <c r="U54" s="40">
        <f t="shared" si="31"/>
        <v>0.12282666666666667</v>
      </c>
      <c r="V54" s="39">
        <f t="shared" si="32"/>
        <v>1</v>
      </c>
      <c r="W54" s="37">
        <f t="shared" si="33"/>
        <v>0.62085559029455473</v>
      </c>
      <c r="X54" s="40">
        <f t="shared" si="34"/>
        <v>0.1259356549997481</v>
      </c>
      <c r="Y54" s="39">
        <f t="shared" si="35"/>
        <v>0.32218764415908391</v>
      </c>
      <c r="Z54" s="37">
        <f t="shared" si="28"/>
        <v>0.32218764415908391</v>
      </c>
      <c r="AA54" s="37">
        <f t="shared" si="29"/>
        <v>0.1607488456627004</v>
      </c>
      <c r="AB54" s="37">
        <v>0</v>
      </c>
      <c r="AC54" s="37">
        <f t="shared" si="36"/>
        <v>1.9018380857071533E-2</v>
      </c>
      <c r="AD54" s="40">
        <f t="shared" si="19"/>
        <v>1.9018380857071533E-2</v>
      </c>
      <c r="AE54" s="39">
        <f t="shared" si="27"/>
        <v>7.6257622637245837E-2</v>
      </c>
      <c r="AF54" s="37">
        <f t="shared" si="20"/>
        <v>0.14656948163064717</v>
      </c>
      <c r="AG54" s="37">
        <f t="shared" si="37"/>
        <v>1.0526480343283545E-4</v>
      </c>
      <c r="AH54" s="37">
        <f t="shared" si="38"/>
        <v>2.4965890499151705E-3</v>
      </c>
      <c r="AI54" s="40">
        <f t="shared" si="21"/>
        <v>2.6018538533480059E-3</v>
      </c>
      <c r="AJ54" s="39">
        <f t="shared" si="22"/>
        <v>1.5468256718102393E-2</v>
      </c>
      <c r="AK54" s="37">
        <f t="shared" si="39"/>
        <v>6.6011956768558588E-2</v>
      </c>
      <c r="AL54" s="37">
        <f t="shared" si="40"/>
        <v>9.6857599999999999E-3</v>
      </c>
      <c r="AM54" s="37">
        <f t="shared" si="41"/>
        <v>9.9132400000000009E-2</v>
      </c>
      <c r="AN54" s="40">
        <f t="shared" si="23"/>
        <v>0.10881816000000001</v>
      </c>
      <c r="AO54" s="39">
        <f t="shared" si="42"/>
        <v>8.5930451781906472E-4</v>
      </c>
      <c r="AP54" s="37">
        <f t="shared" si="43"/>
        <v>1.4276250000000003E-3</v>
      </c>
      <c r="AQ54" s="40">
        <f t="shared" si="44"/>
        <v>8.9999999999999993E-3</v>
      </c>
      <c r="AR54" s="39">
        <f t="shared" si="24"/>
        <v>0.14172532422823861</v>
      </c>
      <c r="AS54" s="37">
        <f t="shared" si="25"/>
        <v>2.21088</v>
      </c>
      <c r="AT54" s="40">
        <f t="shared" si="26"/>
        <v>93.975813844817722</v>
      </c>
    </row>
    <row r="55" spans="17:46" x14ac:dyDescent="0.55000000000000004">
      <c r="Q55">
        <v>48</v>
      </c>
      <c r="R55" s="39">
        <f t="shared" si="0"/>
        <v>210</v>
      </c>
      <c r="S55" s="37">
        <f t="shared" si="30"/>
        <v>1.0751999999999999E-2</v>
      </c>
      <c r="T55" s="37">
        <f t="shared" si="2"/>
        <v>20</v>
      </c>
      <c r="U55" s="40">
        <f t="shared" si="31"/>
        <v>0.12544</v>
      </c>
      <c r="V55" s="39">
        <f t="shared" si="32"/>
        <v>1</v>
      </c>
      <c r="W55" s="37">
        <f t="shared" si="33"/>
        <v>0.62742567368573621</v>
      </c>
      <c r="X55" s="40">
        <f t="shared" si="34"/>
        <v>0.12726834454656985</v>
      </c>
      <c r="Y55" s="39">
        <f t="shared" si="35"/>
        <v>0.32559713216696223</v>
      </c>
      <c r="Z55" s="37">
        <f t="shared" si="28"/>
        <v>0.32559713216696223</v>
      </c>
      <c r="AA55" s="37">
        <f t="shared" si="29"/>
        <v>0.16330722439935355</v>
      </c>
      <c r="AB55" s="37">
        <v>0</v>
      </c>
      <c r="AC55" s="37">
        <f t="shared" si="36"/>
        <v>1.9628567662191322E-2</v>
      </c>
      <c r="AD55" s="40">
        <f t="shared" si="19"/>
        <v>1.9628567662191322E-2</v>
      </c>
      <c r="AE55" s="39">
        <f t="shared" si="27"/>
        <v>7.8704276507138751E-2</v>
      </c>
      <c r="AF55" s="37">
        <f t="shared" si="20"/>
        <v>0.14890219042056249</v>
      </c>
      <c r="AG55" s="37">
        <f t="shared" si="37"/>
        <v>1.0864212532900314E-4</v>
      </c>
      <c r="AH55" s="37">
        <f t="shared" si="38"/>
        <v>2.5497079658708122E-3</v>
      </c>
      <c r="AI55" s="40">
        <f t="shared" si="21"/>
        <v>2.6583500911998154E-3</v>
      </c>
      <c r="AJ55" s="39">
        <f t="shared" si="22"/>
        <v>1.5964541139921722E-2</v>
      </c>
      <c r="AK55" s="37">
        <f t="shared" si="39"/>
        <v>6.7062562052007502E-2</v>
      </c>
      <c r="AL55" s="37">
        <f t="shared" si="40"/>
        <v>9.8918400000000007E-3</v>
      </c>
      <c r="AM55" s="37">
        <f t="shared" si="41"/>
        <v>9.9132400000000009E-2</v>
      </c>
      <c r="AN55" s="40">
        <f t="shared" si="23"/>
        <v>0.10902424000000001</v>
      </c>
      <c r="AO55" s="39">
        <f t="shared" si="42"/>
        <v>8.8687449248165805E-4</v>
      </c>
      <c r="AP55" s="37">
        <f t="shared" si="43"/>
        <v>1.4276250000000003E-3</v>
      </c>
      <c r="AQ55" s="40">
        <f t="shared" si="44"/>
        <v>8.9999999999999993E-3</v>
      </c>
      <c r="AR55" s="39">
        <f t="shared" si="24"/>
        <v>0.14262565724587281</v>
      </c>
      <c r="AS55" s="37">
        <f t="shared" si="25"/>
        <v>2.2579199999999999</v>
      </c>
      <c r="AT55" s="40">
        <f t="shared" si="26"/>
        <v>94.058615097972947</v>
      </c>
    </row>
    <row r="56" spans="17:46" x14ac:dyDescent="0.55000000000000004">
      <c r="Q56">
        <v>49</v>
      </c>
      <c r="R56" s="39">
        <f t="shared" si="0"/>
        <v>210</v>
      </c>
      <c r="S56" s="37">
        <f t="shared" si="30"/>
        <v>1.0976E-2</v>
      </c>
      <c r="T56" s="37">
        <f t="shared" si="2"/>
        <v>20</v>
      </c>
      <c r="U56" s="40">
        <f t="shared" si="31"/>
        <v>0.12805333333333332</v>
      </c>
      <c r="V56" s="39">
        <f t="shared" si="32"/>
        <v>1</v>
      </c>
      <c r="W56" s="37">
        <f t="shared" si="33"/>
        <v>0.63392766779814869</v>
      </c>
      <c r="X56" s="40">
        <f t="shared" si="34"/>
        <v>0.12858722272074027</v>
      </c>
      <c r="Y56" s="39">
        <f t="shared" si="35"/>
        <v>0.32897128583194019</v>
      </c>
      <c r="Z56" s="37">
        <f t="shared" si="28"/>
        <v>0.32897128583194019</v>
      </c>
      <c r="AA56" s="37">
        <f t="shared" si="29"/>
        <v>0.16585231180786628</v>
      </c>
      <c r="AB56" s="37">
        <v>0</v>
      </c>
      <c r="AC56" s="37">
        <f t="shared" si="36"/>
        <v>2.0245144148362083E-2</v>
      </c>
      <c r="AD56" s="40">
        <f t="shared" si="19"/>
        <v>2.0245144148362083E-2</v>
      </c>
      <c r="AE56" s="39">
        <f t="shared" si="27"/>
        <v>8.1176550953778931E-2</v>
      </c>
      <c r="AF56" s="37">
        <f t="shared" si="20"/>
        <v>0.15122278028627845</v>
      </c>
      <c r="AG56" s="37">
        <f t="shared" si="37"/>
        <v>1.1205481345980903E-4</v>
      </c>
      <c r="AH56" s="37">
        <f t="shared" si="38"/>
        <v>2.6028268818264547E-3</v>
      </c>
      <c r="AI56" s="40">
        <f t="shared" si="21"/>
        <v>2.7148816952862636E-3</v>
      </c>
      <c r="AJ56" s="39">
        <f t="shared" si="22"/>
        <v>1.6466022493466528E-2</v>
      </c>
      <c r="AK56" s="37">
        <f t="shared" si="39"/>
        <v>6.8107709214902057E-2</v>
      </c>
      <c r="AL56" s="37">
        <f t="shared" si="40"/>
        <v>1.009792E-2</v>
      </c>
      <c r="AM56" s="37">
        <f t="shared" si="41"/>
        <v>9.9132400000000009E-2</v>
      </c>
      <c r="AN56" s="40">
        <f t="shared" si="23"/>
        <v>0.10923032000000001</v>
      </c>
      <c r="AO56" s="39">
        <f t="shared" si="42"/>
        <v>9.147331711004818E-4</v>
      </c>
      <c r="AP56" s="37">
        <f t="shared" si="43"/>
        <v>1.4276250000000003E-3</v>
      </c>
      <c r="AQ56" s="40">
        <f t="shared" si="44"/>
        <v>8.9999999999999993E-3</v>
      </c>
      <c r="AR56" s="39">
        <f t="shared" si="24"/>
        <v>0.14353270401474882</v>
      </c>
      <c r="AS56" s="37">
        <f t="shared" si="25"/>
        <v>2.3049599999999999</v>
      </c>
      <c r="AT56" s="40">
        <f t="shared" si="26"/>
        <v>94.137915796955369</v>
      </c>
    </row>
    <row r="57" spans="17:46" x14ac:dyDescent="0.55000000000000004">
      <c r="Q57">
        <v>50</v>
      </c>
      <c r="R57" s="39">
        <f t="shared" si="0"/>
        <v>210</v>
      </c>
      <c r="S57" s="37">
        <f t="shared" si="30"/>
        <v>1.12E-2</v>
      </c>
      <c r="T57" s="37">
        <f t="shared" si="2"/>
        <v>20</v>
      </c>
      <c r="U57" s="40">
        <f t="shared" si="31"/>
        <v>0.13066666666666665</v>
      </c>
      <c r="V57" s="39">
        <f t="shared" si="32"/>
        <v>1</v>
      </c>
      <c r="W57" s="37">
        <f t="shared" si="33"/>
        <v>0.64036364668834855</v>
      </c>
      <c r="X57" s="40">
        <f t="shared" si="34"/>
        <v>0.12989271022825766</v>
      </c>
      <c r="Y57" s="39">
        <f t="shared" si="35"/>
        <v>0.33231118146774702</v>
      </c>
      <c r="Z57" s="37">
        <f t="shared" si="28"/>
        <v>0.33231118146774702</v>
      </c>
      <c r="AA57" s="37">
        <f t="shared" si="29"/>
        <v>0.16838444613656728</v>
      </c>
      <c r="AB57" s="37">
        <v>0</v>
      </c>
      <c r="AC57" s="37">
        <f t="shared" si="36"/>
        <v>2.0868044771728836E-2</v>
      </c>
      <c r="AD57" s="40">
        <f t="shared" si="19"/>
        <v>2.0868044771728836E-2</v>
      </c>
      <c r="AE57" s="39">
        <f t="shared" si="27"/>
        <v>8.3674183167277538E-2</v>
      </c>
      <c r="AF57" s="37">
        <f t="shared" si="20"/>
        <v>0.15353155963985232</v>
      </c>
      <c r="AG57" s="37">
        <f t="shared" si="37"/>
        <v>1.1550250504668311E-4</v>
      </c>
      <c r="AH57" s="37">
        <f t="shared" si="38"/>
        <v>2.6559457977820967E-3</v>
      </c>
      <c r="AI57" s="40">
        <f t="shared" si="21"/>
        <v>2.77144830282878E-3</v>
      </c>
      <c r="AJ57" s="39">
        <f t="shared" si="22"/>
        <v>1.6972647469825665E-2</v>
      </c>
      <c r="AK57" s="37">
        <f t="shared" si="39"/>
        <v>6.9147537159851197E-2</v>
      </c>
      <c r="AL57" s="37">
        <f t="shared" si="40"/>
        <v>1.0304000000000001E-2</v>
      </c>
      <c r="AM57" s="37">
        <f t="shared" si="41"/>
        <v>9.9132400000000009E-2</v>
      </c>
      <c r="AN57" s="40">
        <f t="shared" si="23"/>
        <v>0.10943640000000002</v>
      </c>
      <c r="AO57" s="39">
        <f t="shared" si="42"/>
        <v>9.4287759221782117E-4</v>
      </c>
      <c r="AP57" s="37">
        <f t="shared" si="43"/>
        <v>1.4276250000000003E-3</v>
      </c>
      <c r="AQ57" s="40">
        <f t="shared" si="44"/>
        <v>8.9999999999999993E-3</v>
      </c>
      <c r="AR57" s="39">
        <f t="shared" si="24"/>
        <v>0.14444639566677547</v>
      </c>
      <c r="AS57" s="37">
        <f t="shared" si="25"/>
        <v>2.3519999999999999</v>
      </c>
      <c r="AT57" s="40">
        <f t="shared" si="26"/>
        <v>94.213919597172222</v>
      </c>
    </row>
    <row r="58" spans="17:46" x14ac:dyDescent="0.55000000000000004">
      <c r="Q58">
        <v>51</v>
      </c>
      <c r="R58" s="39">
        <f t="shared" si="0"/>
        <v>210</v>
      </c>
      <c r="S58" s="37">
        <f t="shared" si="30"/>
        <v>1.1424E-2</v>
      </c>
      <c r="T58" s="37">
        <f t="shared" si="2"/>
        <v>20</v>
      </c>
      <c r="U58" s="40">
        <f t="shared" si="31"/>
        <v>0.13327999999999998</v>
      </c>
      <c r="V58" s="39">
        <f t="shared" si="32"/>
        <v>1</v>
      </c>
      <c r="W58" s="37">
        <f t="shared" si="33"/>
        <v>0.6467355812076524</v>
      </c>
      <c r="X58" s="40">
        <f t="shared" si="34"/>
        <v>0.13118520684075222</v>
      </c>
      <c r="Y58" s="39">
        <f t="shared" si="35"/>
        <v>0.33561784183064475</v>
      </c>
      <c r="Z58" s="37">
        <f t="shared" si="28"/>
        <v>0.33561784183064475</v>
      </c>
      <c r="AA58" s="37">
        <f t="shared" si="29"/>
        <v>0.17090395044763679</v>
      </c>
      <c r="AB58" s="37">
        <v>0</v>
      </c>
      <c r="AC58" s="37">
        <f t="shared" si="36"/>
        <v>2.14972059650557E-2</v>
      </c>
      <c r="AD58" s="40">
        <f t="shared" si="19"/>
        <v>2.14972059650557E-2</v>
      </c>
      <c r="AE58" s="39">
        <f t="shared" si="27"/>
        <v>8.6196918263355904E-2</v>
      </c>
      <c r="AF58" s="37">
        <f t="shared" si="20"/>
        <v>0.15582882304673551</v>
      </c>
      <c r="AG58" s="37">
        <f t="shared" si="37"/>
        <v>1.1898484825144097E-4</v>
      </c>
      <c r="AH58" s="37">
        <f t="shared" si="38"/>
        <v>2.7090647137377384E-3</v>
      </c>
      <c r="AI58" s="40">
        <f t="shared" si="21"/>
        <v>2.8280495619891792E-3</v>
      </c>
      <c r="AJ58" s="39">
        <f t="shared" si="22"/>
        <v>1.7484364367735452E-2</v>
      </c>
      <c r="AK58" s="37">
        <f t="shared" si="39"/>
        <v>7.0182178553230168E-2</v>
      </c>
      <c r="AL58" s="37">
        <f t="shared" si="40"/>
        <v>1.051008E-2</v>
      </c>
      <c r="AM58" s="37">
        <f t="shared" si="41"/>
        <v>9.9132400000000009E-2</v>
      </c>
      <c r="AN58" s="40">
        <f t="shared" si="23"/>
        <v>0.10964248000000001</v>
      </c>
      <c r="AO58" s="39">
        <f t="shared" si="42"/>
        <v>9.7130488368523228E-4</v>
      </c>
      <c r="AP58" s="37">
        <f t="shared" si="43"/>
        <v>1.4276250000000003E-3</v>
      </c>
      <c r="AQ58" s="40">
        <f t="shared" si="44"/>
        <v>8.9999999999999993E-3</v>
      </c>
      <c r="AR58" s="39">
        <f t="shared" si="24"/>
        <v>0.14536666541073012</v>
      </c>
      <c r="AS58" s="37">
        <f t="shared" si="25"/>
        <v>2.3990399999999998</v>
      </c>
      <c r="AT58" s="40">
        <f t="shared" si="26"/>
        <v>94.286814785274728</v>
      </c>
    </row>
    <row r="59" spans="17:46" x14ac:dyDescent="0.55000000000000004">
      <c r="Q59">
        <v>52</v>
      </c>
      <c r="R59" s="39">
        <f t="shared" si="0"/>
        <v>210</v>
      </c>
      <c r="S59" s="37">
        <f t="shared" si="30"/>
        <v>1.1648E-2</v>
      </c>
      <c r="T59" s="37">
        <f t="shared" si="2"/>
        <v>20</v>
      </c>
      <c r="U59" s="40">
        <f t="shared" si="31"/>
        <v>0.13589333333333334</v>
      </c>
      <c r="V59" s="39">
        <f t="shared" si="32"/>
        <v>1</v>
      </c>
      <c r="W59" s="37">
        <f t="shared" si="33"/>
        <v>0.65304534605186493</v>
      </c>
      <c r="X59" s="40">
        <f t="shared" si="34"/>
        <v>0.13246509282546776</v>
      </c>
      <c r="Y59" s="39">
        <f t="shared" si="35"/>
        <v>0.33889223977782301</v>
      </c>
      <c r="Z59" s="37">
        <f t="shared" si="28"/>
        <v>0.33889223977782301</v>
      </c>
      <c r="AA59" s="37">
        <f t="shared" si="29"/>
        <v>0.17341113358272187</v>
      </c>
      <c r="AB59" s="37">
        <v>0</v>
      </c>
      <c r="AC59" s="37">
        <f t="shared" si="36"/>
        <v>2.213256604032723E-2</v>
      </c>
      <c r="AD59" s="40">
        <f t="shared" si="19"/>
        <v>2.213256604032723E-2</v>
      </c>
      <c r="AE59" s="39">
        <f t="shared" si="27"/>
        <v>8.8744508892808105E-2</v>
      </c>
      <c r="AF59" s="37">
        <f t="shared" si="20"/>
        <v>0.15811485210621379</v>
      </c>
      <c r="AG59" s="37">
        <f t="shared" si="37"/>
        <v>1.2250150163719233E-4</v>
      </c>
      <c r="AH59" s="37">
        <f t="shared" si="38"/>
        <v>2.7621836296933804E-3</v>
      </c>
      <c r="AI59" s="40">
        <f t="shared" si="21"/>
        <v>2.8846851313305728E-3</v>
      </c>
      <c r="AJ59" s="39">
        <f t="shared" si="22"/>
        <v>1.8001123014362231E-2</v>
      </c>
      <c r="AK59" s="37">
        <f t="shared" si="39"/>
        <v>7.1211760221713022E-2</v>
      </c>
      <c r="AL59" s="37">
        <f t="shared" si="40"/>
        <v>1.0716160000000001E-2</v>
      </c>
      <c r="AM59" s="37">
        <f t="shared" si="41"/>
        <v>9.9132400000000009E-2</v>
      </c>
      <c r="AN59" s="40">
        <f t="shared" si="23"/>
        <v>0.10984856000000001</v>
      </c>
      <c r="AO59" s="39">
        <f t="shared" si="42"/>
        <v>1.0000122582627944E-3</v>
      </c>
      <c r="AP59" s="37">
        <f t="shared" si="43"/>
        <v>1.4276250000000003E-3</v>
      </c>
      <c r="AQ59" s="40">
        <f t="shared" si="44"/>
        <v>8.9999999999999993E-3</v>
      </c>
      <c r="AR59" s="39">
        <f t="shared" si="24"/>
        <v>0.14629344842992059</v>
      </c>
      <c r="AS59" s="37">
        <f t="shared" si="25"/>
        <v>2.4460800000000003</v>
      </c>
      <c r="AT59" s="40">
        <f t="shared" si="26"/>
        <v>94.356775698403951</v>
      </c>
    </row>
    <row r="60" spans="17:46" x14ac:dyDescent="0.55000000000000004">
      <c r="Q60">
        <v>53</v>
      </c>
      <c r="R60" s="39">
        <f t="shared" si="0"/>
        <v>210</v>
      </c>
      <c r="S60" s="37">
        <f t="shared" si="30"/>
        <v>1.1872000000000001E-2</v>
      </c>
      <c r="T60" s="37">
        <f t="shared" si="2"/>
        <v>20</v>
      </c>
      <c r="U60" s="40">
        <f t="shared" si="31"/>
        <v>0.13850666666666667</v>
      </c>
      <c r="V60" s="39">
        <f t="shared" si="32"/>
        <v>1</v>
      </c>
      <c r="W60" s="37">
        <f t="shared" si="33"/>
        <v>0.65929472620369112</v>
      </c>
      <c r="X60" s="40">
        <f t="shared" si="34"/>
        <v>0.13373273025205396</v>
      </c>
      <c r="Y60" s="39">
        <f t="shared" si="35"/>
        <v>0.34213530161063366</v>
      </c>
      <c r="Z60" s="37">
        <f t="shared" si="28"/>
        <v>0.34213530161063366</v>
      </c>
      <c r="AA60" s="37">
        <f t="shared" si="29"/>
        <v>0.17590629104979716</v>
      </c>
      <c r="AB60" s="37">
        <v>0</v>
      </c>
      <c r="AC60" s="37">
        <f t="shared" si="36"/>
        <v>2.2774065097939417E-2</v>
      </c>
      <c r="AD60" s="40">
        <f t="shared" si="19"/>
        <v>2.2774065097939417E-2</v>
      </c>
      <c r="AE60" s="39">
        <f t="shared" si="27"/>
        <v>9.1316714877385907E-2</v>
      </c>
      <c r="AF60" s="37">
        <f t="shared" si="20"/>
        <v>0.16038991626003946</v>
      </c>
      <c r="AG60" s="37">
        <f t="shared" si="37"/>
        <v>1.2605213366572211E-4</v>
      </c>
      <c r="AH60" s="37">
        <f t="shared" si="38"/>
        <v>2.8153025456490225E-3</v>
      </c>
      <c r="AI60" s="40">
        <f t="shared" si="21"/>
        <v>2.9413546793147444E-3</v>
      </c>
      <c r="AJ60" s="39">
        <f t="shared" si="22"/>
        <v>1.8522874691444487E-2</v>
      </c>
      <c r="AK60" s="37">
        <f t="shared" si="39"/>
        <v>7.2236403516464459E-2</v>
      </c>
      <c r="AL60" s="37">
        <f t="shared" si="40"/>
        <v>1.0922240000000001E-2</v>
      </c>
      <c r="AM60" s="37">
        <f t="shared" si="41"/>
        <v>9.9132400000000009E-2</v>
      </c>
      <c r="AN60" s="40">
        <f t="shared" si="23"/>
        <v>0.11005464000000001</v>
      </c>
      <c r="AO60" s="39">
        <f t="shared" si="42"/>
        <v>1.0289970095160987E-3</v>
      </c>
      <c r="AP60" s="37">
        <f t="shared" si="43"/>
        <v>1.4276250000000003E-3</v>
      </c>
      <c r="AQ60" s="40">
        <f t="shared" si="44"/>
        <v>8.9999999999999993E-3</v>
      </c>
      <c r="AR60" s="39">
        <f t="shared" si="24"/>
        <v>0.14722668178677029</v>
      </c>
      <c r="AS60" s="37">
        <f t="shared" si="25"/>
        <v>2.4931200000000002</v>
      </c>
      <c r="AT60" s="40">
        <f t="shared" si="26"/>
        <v>94.423963989185708</v>
      </c>
    </row>
    <row r="61" spans="17:46" x14ac:dyDescent="0.55000000000000004">
      <c r="Q61">
        <v>54</v>
      </c>
      <c r="R61" s="39">
        <f t="shared" si="0"/>
        <v>210</v>
      </c>
      <c r="S61" s="37">
        <f t="shared" si="30"/>
        <v>1.2095999999999999E-2</v>
      </c>
      <c r="T61" s="37">
        <f t="shared" si="2"/>
        <v>20</v>
      </c>
      <c r="U61" s="40">
        <f t="shared" si="31"/>
        <v>0.14112</v>
      </c>
      <c r="V61" s="39">
        <f t="shared" si="32"/>
        <v>1</v>
      </c>
      <c r="W61" s="37">
        <f t="shared" si="33"/>
        <v>0.66548542283058298</v>
      </c>
      <c r="X61" s="40">
        <f t="shared" si="34"/>
        <v>0.13498846418889826</v>
      </c>
      <c r="Y61" s="39">
        <f t="shared" si="35"/>
        <v>0.34534791013522731</v>
      </c>
      <c r="Z61" s="37">
        <f t="shared" si="28"/>
        <v>0.34534791013522731</v>
      </c>
      <c r="AA61" s="37">
        <f t="shared" si="29"/>
        <v>0.17838970583905703</v>
      </c>
      <c r="AB61" s="37">
        <v>0</v>
      </c>
      <c r="AC61" s="37">
        <f t="shared" si="36"/>
        <v>2.3421644941918136E-2</v>
      </c>
      <c r="AD61" s="40">
        <f t="shared" si="19"/>
        <v>2.3421644941918136E-2</v>
      </c>
      <c r="AE61" s="39">
        <f t="shared" si="27"/>
        <v>9.3913302869851861E-2</v>
      </c>
      <c r="AF61" s="37">
        <f t="shared" si="20"/>
        <v>0.16265427353635528</v>
      </c>
      <c r="AG61" s="37">
        <f t="shared" si="37"/>
        <v>1.296364222282335E-4</v>
      </c>
      <c r="AH61" s="37">
        <f t="shared" si="38"/>
        <v>2.8684214616046641E-3</v>
      </c>
      <c r="AI61" s="40">
        <f t="shared" si="21"/>
        <v>2.9980578838328976E-3</v>
      </c>
      <c r="AJ61" s="39">
        <f t="shared" si="22"/>
        <v>1.9049572066337322E-2</v>
      </c>
      <c r="AK61" s="37">
        <f t="shared" si="39"/>
        <v>7.325622464818822E-2</v>
      </c>
      <c r="AL61" s="37">
        <f t="shared" si="40"/>
        <v>1.1128319999999999E-2</v>
      </c>
      <c r="AM61" s="37">
        <f t="shared" si="41"/>
        <v>9.9132400000000009E-2</v>
      </c>
      <c r="AN61" s="40">
        <f t="shared" si="23"/>
        <v>0.11026072000000001</v>
      </c>
      <c r="AO61" s="39">
        <f t="shared" si="42"/>
        <v>1.0582565079855794E-3</v>
      </c>
      <c r="AP61" s="37">
        <f t="shared" si="43"/>
        <v>1.4276250000000003E-3</v>
      </c>
      <c r="AQ61" s="40">
        <f t="shared" si="44"/>
        <v>8.9999999999999993E-3</v>
      </c>
      <c r="AR61" s="39">
        <f t="shared" si="24"/>
        <v>0.14816630433373662</v>
      </c>
      <c r="AS61" s="37">
        <f t="shared" si="25"/>
        <v>2.5401599999999998</v>
      </c>
      <c r="AT61" s="40">
        <f t="shared" si="26"/>
        <v>94.488529755674222</v>
      </c>
    </row>
    <row r="62" spans="17:46" x14ac:dyDescent="0.55000000000000004">
      <c r="Q62">
        <v>55</v>
      </c>
      <c r="R62" s="39">
        <f t="shared" si="0"/>
        <v>210</v>
      </c>
      <c r="S62" s="37">
        <f t="shared" si="30"/>
        <v>1.2319999999999999E-2</v>
      </c>
      <c r="T62" s="37">
        <f t="shared" si="2"/>
        <v>20</v>
      </c>
      <c r="U62" s="40">
        <f t="shared" si="31"/>
        <v>0.14373333333333332</v>
      </c>
      <c r="V62" s="39">
        <f t="shared" si="32"/>
        <v>1</v>
      </c>
      <c r="W62" s="37">
        <f t="shared" si="33"/>
        <v>0.67161905869324467</v>
      </c>
      <c r="X62" s="40">
        <f t="shared" si="34"/>
        <v>0.13623262380019813</v>
      </c>
      <c r="Y62" s="39">
        <f t="shared" si="35"/>
        <v>0.34853090746924997</v>
      </c>
      <c r="Z62" s="37">
        <f t="shared" si="28"/>
        <v>0.34853090746924997</v>
      </c>
      <c r="AA62" s="37">
        <f t="shared" si="29"/>
        <v>0.18086164917472469</v>
      </c>
      <c r="AB62" s="37">
        <v>0</v>
      </c>
      <c r="AC62" s="37">
        <f t="shared" si="36"/>
        <v>2.4075249000660076E-2</v>
      </c>
      <c r="AD62" s="40">
        <f t="shared" si="19"/>
        <v>2.4075249000660076E-2</v>
      </c>
      <c r="AE62" s="39">
        <f t="shared" si="27"/>
        <v>9.65340460361757E-2</v>
      </c>
      <c r="AF62" s="37">
        <f t="shared" si="20"/>
        <v>0.16490817123518778</v>
      </c>
      <c r="AG62" s="37">
        <f t="shared" si="37"/>
        <v>1.3325405420665668E-4</v>
      </c>
      <c r="AH62" s="37">
        <f t="shared" si="38"/>
        <v>2.9215403775603058E-3</v>
      </c>
      <c r="AI62" s="40">
        <f t="shared" si="21"/>
        <v>3.0547944317669625E-3</v>
      </c>
      <c r="AJ62" s="39">
        <f t="shared" si="22"/>
        <v>1.9581169127548478E-2</v>
      </c>
      <c r="AK62" s="37">
        <f t="shared" si="39"/>
        <v>7.4271334995859487E-2</v>
      </c>
      <c r="AL62" s="37">
        <f t="shared" si="40"/>
        <v>1.13344E-2</v>
      </c>
      <c r="AM62" s="37">
        <f t="shared" si="41"/>
        <v>9.9132400000000009E-2</v>
      </c>
      <c r="AN62" s="40">
        <f t="shared" si="23"/>
        <v>0.1104668</v>
      </c>
      <c r="AO62" s="39">
        <f t="shared" si="42"/>
        <v>1.0877881976053606E-3</v>
      </c>
      <c r="AP62" s="37">
        <f t="shared" si="43"/>
        <v>1.4276250000000003E-3</v>
      </c>
      <c r="AQ62" s="40">
        <f t="shared" si="44"/>
        <v>8.9999999999999993E-3</v>
      </c>
      <c r="AR62" s="39">
        <f t="shared" si="24"/>
        <v>0.14911225663003241</v>
      </c>
      <c r="AS62" s="37">
        <f t="shared" si="25"/>
        <v>2.5871999999999997</v>
      </c>
      <c r="AT62" s="40">
        <f t="shared" si="26"/>
        <v>94.550612552761976</v>
      </c>
    </row>
    <row r="63" spans="17:46" x14ac:dyDescent="0.55000000000000004">
      <c r="Q63">
        <v>56</v>
      </c>
      <c r="R63" s="39">
        <f t="shared" si="0"/>
        <v>210</v>
      </c>
      <c r="S63" s="37">
        <f t="shared" si="30"/>
        <v>1.2544E-2</v>
      </c>
      <c r="T63" s="37">
        <f t="shared" si="2"/>
        <v>20</v>
      </c>
      <c r="U63" s="40">
        <f t="shared" si="31"/>
        <v>0.14634666666666668</v>
      </c>
      <c r="V63" s="39">
        <f t="shared" si="32"/>
        <v>1</v>
      </c>
      <c r="W63" s="37">
        <f t="shared" si="33"/>
        <v>0.67769718311352012</v>
      </c>
      <c r="X63" s="40">
        <f t="shared" si="34"/>
        <v>0.13746552335365822</v>
      </c>
      <c r="Y63" s="39">
        <f t="shared" si="35"/>
        <v>0.35168509761988592</v>
      </c>
      <c r="Z63" s="37">
        <f t="shared" si="28"/>
        <v>0.35168509761988592</v>
      </c>
      <c r="AA63" s="37">
        <f t="shared" si="29"/>
        <v>0.18332238120888308</v>
      </c>
      <c r="AB63" s="37">
        <v>0</v>
      </c>
      <c r="AC63" s="37">
        <f t="shared" si="36"/>
        <v>2.4734822252741959E-2</v>
      </c>
      <c r="AD63" s="40">
        <f t="shared" si="19"/>
        <v>2.4734822252741959E-2</v>
      </c>
      <c r="AE63" s="39">
        <f t="shared" si="27"/>
        <v>9.9178723758053297E-2</v>
      </c>
      <c r="AF63" s="37">
        <f t="shared" si="20"/>
        <v>0.16715184656107668</v>
      </c>
      <c r="AG63" s="37">
        <f t="shared" si="37"/>
        <v>1.3690472506301085E-4</v>
      </c>
      <c r="AH63" s="37">
        <f t="shared" si="38"/>
        <v>2.9746592935159487E-3</v>
      </c>
      <c r="AI63" s="40">
        <f t="shared" si="21"/>
        <v>3.1115640185789594E-3</v>
      </c>
      <c r="AJ63" s="39">
        <f t="shared" si="22"/>
        <v>2.0117621124396703E-2</v>
      </c>
      <c r="AK63" s="37">
        <f t="shared" si="39"/>
        <v>7.5281841391648563E-2</v>
      </c>
      <c r="AL63" s="37">
        <f t="shared" si="40"/>
        <v>1.1540480000000001E-2</v>
      </c>
      <c r="AM63" s="37">
        <f t="shared" si="41"/>
        <v>9.9132400000000009E-2</v>
      </c>
      <c r="AN63" s="40">
        <f t="shared" si="23"/>
        <v>0.11067288000000002</v>
      </c>
      <c r="AO63" s="39">
        <f t="shared" si="42"/>
        <v>1.1175895923511089E-3</v>
      </c>
      <c r="AP63" s="37">
        <f t="shared" si="43"/>
        <v>1.4276250000000003E-3</v>
      </c>
      <c r="AQ63" s="40">
        <f t="shared" si="44"/>
        <v>8.9999999999999993E-3</v>
      </c>
      <c r="AR63" s="39">
        <f t="shared" si="24"/>
        <v>0.15006448086367205</v>
      </c>
      <c r="AS63" s="37">
        <f t="shared" si="25"/>
        <v>2.6342400000000001</v>
      </c>
      <c r="AT63" s="40">
        <f t="shared" si="26"/>
        <v>94.610342299304733</v>
      </c>
    </row>
    <row r="64" spans="17:46" x14ac:dyDescent="0.55000000000000004">
      <c r="Q64">
        <v>57</v>
      </c>
      <c r="R64" s="39">
        <f t="shared" si="0"/>
        <v>210</v>
      </c>
      <c r="S64" s="37">
        <f t="shared" si="30"/>
        <v>1.2768E-2</v>
      </c>
      <c r="T64" s="37">
        <f t="shared" si="2"/>
        <v>20</v>
      </c>
      <c r="U64" s="40">
        <f t="shared" si="31"/>
        <v>0.14896000000000001</v>
      </c>
      <c r="V64" s="39">
        <f t="shared" si="32"/>
        <v>1</v>
      </c>
      <c r="W64" s="37">
        <f t="shared" si="33"/>
        <v>0.68372127654476278</v>
      </c>
      <c r="X64" s="40">
        <f t="shared" si="34"/>
        <v>0.13868746314755345</v>
      </c>
      <c r="Y64" s="39">
        <f t="shared" si="35"/>
        <v>0.35481124885561122</v>
      </c>
      <c r="Z64" s="37">
        <f t="shared" si="28"/>
        <v>0.35481124885561122</v>
      </c>
      <c r="AA64" s="37">
        <f t="shared" si="29"/>
        <v>0.18577215166275371</v>
      </c>
      <c r="AB64" s="37">
        <v>0</v>
      </c>
      <c r="AC64" s="37">
        <f t="shared" si="36"/>
        <v>2.5400311157389145E-2</v>
      </c>
      <c r="AD64" s="40">
        <f t="shared" si="19"/>
        <v>2.5400311157389145E-2</v>
      </c>
      <c r="AE64" s="39">
        <f t="shared" si="27"/>
        <v>0.10184712135410787</v>
      </c>
      <c r="AF64" s="37">
        <f t="shared" si="20"/>
        <v>0.16938552720778757</v>
      </c>
      <c r="AG64" s="37">
        <f t="shared" si="37"/>
        <v>1.4058813845455471E-4</v>
      </c>
      <c r="AH64" s="37">
        <f t="shared" si="38"/>
        <v>3.0277782094715899E-3</v>
      </c>
      <c r="AI64" s="40">
        <f t="shared" si="21"/>
        <v>3.1683663479261446E-3</v>
      </c>
      <c r="AJ64" s="39">
        <f t="shared" si="22"/>
        <v>2.0658884510459562E-2</v>
      </c>
      <c r="AK64" s="37">
        <f t="shared" si="39"/>
        <v>7.6287846384263724E-2</v>
      </c>
      <c r="AL64" s="37">
        <f t="shared" si="40"/>
        <v>1.174656E-2</v>
      </c>
      <c r="AM64" s="37">
        <f t="shared" si="41"/>
        <v>9.9132400000000009E-2</v>
      </c>
      <c r="AN64" s="40">
        <f t="shared" si="23"/>
        <v>0.11087896000000001</v>
      </c>
      <c r="AO64" s="39">
        <f t="shared" si="42"/>
        <v>1.1476582730984058E-3</v>
      </c>
      <c r="AP64" s="37">
        <f t="shared" si="43"/>
        <v>1.4276250000000003E-3</v>
      </c>
      <c r="AQ64" s="40">
        <f t="shared" si="44"/>
        <v>8.9999999999999993E-3</v>
      </c>
      <c r="AR64" s="39">
        <f t="shared" si="24"/>
        <v>0.1510229207784137</v>
      </c>
      <c r="AS64" s="37">
        <f t="shared" si="25"/>
        <v>2.6812800000000001</v>
      </c>
      <c r="AT64" s="40">
        <f t="shared" si="26"/>
        <v>94.667840093286799</v>
      </c>
    </row>
    <row r="65" spans="17:46" x14ac:dyDescent="0.55000000000000004">
      <c r="Q65">
        <v>58</v>
      </c>
      <c r="R65" s="39">
        <f t="shared" si="0"/>
        <v>210</v>
      </c>
      <c r="S65" s="37">
        <f t="shared" si="30"/>
        <v>1.2992E-2</v>
      </c>
      <c r="T65" s="37">
        <f t="shared" si="2"/>
        <v>20</v>
      </c>
      <c r="U65" s="40">
        <f t="shared" si="31"/>
        <v>0.15157333333333334</v>
      </c>
      <c r="V65" s="39">
        <f t="shared" si="32"/>
        <v>1</v>
      </c>
      <c r="W65" s="37">
        <f t="shared" si="33"/>
        <v>0.68969275478288161</v>
      </c>
      <c r="X65" s="40">
        <f t="shared" si="34"/>
        <v>0.1398987303649066</v>
      </c>
      <c r="Y65" s="39">
        <f t="shared" si="35"/>
        <v>0.35791009589147982</v>
      </c>
      <c r="Z65" s="37">
        <f t="shared" si="28"/>
        <v>0.35791009589147982</v>
      </c>
      <c r="AA65" s="37">
        <f t="shared" si="29"/>
        <v>0.18821120042025344</v>
      </c>
      <c r="AB65" s="37">
        <v>0</v>
      </c>
      <c r="AC65" s="37">
        <f t="shared" si="36"/>
        <v>2.6071663589233744E-2</v>
      </c>
      <c r="AD65" s="40">
        <f t="shared" si="19"/>
        <v>2.6071663589233744E-2</v>
      </c>
      <c r="AE65" s="39">
        <f t="shared" si="27"/>
        <v>0.10453902981829065</v>
      </c>
      <c r="AF65" s="37">
        <f t="shared" si="20"/>
        <v>0.17160943189951228</v>
      </c>
      <c r="AG65" s="37">
        <f t="shared" si="37"/>
        <v>1.443040058726794E-4</v>
      </c>
      <c r="AH65" s="37">
        <f t="shared" si="38"/>
        <v>3.0808971254272319E-3</v>
      </c>
      <c r="AI65" s="40">
        <f t="shared" si="21"/>
        <v>3.2252011312999115E-3</v>
      </c>
      <c r="AJ65" s="39">
        <f t="shared" si="22"/>
        <v>2.1204916890510111E-2</v>
      </c>
      <c r="AK65" s="37">
        <f t="shared" si="39"/>
        <v>7.7289448482696949E-2</v>
      </c>
      <c r="AL65" s="37">
        <f t="shared" si="40"/>
        <v>1.195264E-2</v>
      </c>
      <c r="AM65" s="37">
        <f t="shared" si="41"/>
        <v>9.9132400000000009E-2</v>
      </c>
      <c r="AN65" s="40">
        <f t="shared" si="23"/>
        <v>0.11108504000000001</v>
      </c>
      <c r="AO65" s="39">
        <f t="shared" si="42"/>
        <v>1.1779918846749335E-3</v>
      </c>
      <c r="AP65" s="37">
        <f t="shared" si="43"/>
        <v>1.4276250000000003E-3</v>
      </c>
      <c r="AQ65" s="40">
        <f t="shared" si="44"/>
        <v>8.9999999999999993E-3</v>
      </c>
      <c r="AR65" s="39">
        <f t="shared" si="24"/>
        <v>0.15198752160520859</v>
      </c>
      <c r="AS65" s="37">
        <f t="shared" si="25"/>
        <v>2.7283200000000001</v>
      </c>
      <c r="AT65" s="40">
        <f t="shared" si="26"/>
        <v>94.723218945715033</v>
      </c>
    </row>
    <row r="66" spans="17:46" x14ac:dyDescent="0.55000000000000004">
      <c r="Q66">
        <v>59</v>
      </c>
      <c r="R66" s="39">
        <f t="shared" si="0"/>
        <v>210</v>
      </c>
      <c r="S66" s="37">
        <f t="shared" si="30"/>
        <v>1.3216E-2</v>
      </c>
      <c r="T66" s="37">
        <f t="shared" si="2"/>
        <v>20</v>
      </c>
      <c r="U66" s="40">
        <f t="shared" si="31"/>
        <v>0.15418666666666667</v>
      </c>
      <c r="V66" s="39">
        <f t="shared" si="32"/>
        <v>1</v>
      </c>
      <c r="W66" s="37">
        <f t="shared" si="33"/>
        <v>0.69561297285200197</v>
      </c>
      <c r="X66" s="40">
        <f t="shared" si="34"/>
        <v>0.14109959986166398</v>
      </c>
      <c r="Y66" s="39">
        <f t="shared" si="35"/>
        <v>0.36098234190555373</v>
      </c>
      <c r="Z66" s="37">
        <f t="shared" si="28"/>
        <v>0.36098234190555373</v>
      </c>
      <c r="AA66" s="37">
        <f t="shared" si="29"/>
        <v>0.19063975807814093</v>
      </c>
      <c r="AB66" s="37">
        <v>0</v>
      </c>
      <c r="AC66" s="37">
        <f t="shared" si="36"/>
        <v>2.6748828777027785E-2</v>
      </c>
      <c r="AD66" s="40">
        <f t="shared" si="19"/>
        <v>2.6748828777027785E-2</v>
      </c>
      <c r="AE66" s="39">
        <f t="shared" si="27"/>
        <v>0.10725424557414068</v>
      </c>
      <c r="AF66" s="37">
        <f t="shared" si="20"/>
        <v>0.17382377089248771</v>
      </c>
      <c r="AG66" s="37">
        <f t="shared" si="37"/>
        <v>1.4805204630369189E-4</v>
      </c>
      <c r="AH66" s="37">
        <f t="shared" si="38"/>
        <v>3.1340160413828736E-3</v>
      </c>
      <c r="AI66" s="40">
        <f t="shared" si="21"/>
        <v>3.2820680876865654E-3</v>
      </c>
      <c r="AJ66" s="39">
        <f t="shared" si="22"/>
        <v>2.1755676970670431E-2</v>
      </c>
      <c r="AK66" s="37">
        <f t="shared" si="39"/>
        <v>7.8286742382143101E-2</v>
      </c>
      <c r="AL66" s="37">
        <f t="shared" si="40"/>
        <v>1.2158720000000001E-2</v>
      </c>
      <c r="AM66" s="37">
        <f t="shared" si="41"/>
        <v>9.9132400000000009E-2</v>
      </c>
      <c r="AN66" s="40">
        <f t="shared" si="23"/>
        <v>0.11129112000000001</v>
      </c>
      <c r="AO66" s="39">
        <f t="shared" si="42"/>
        <v>1.2085881330913624E-3</v>
      </c>
      <c r="AP66" s="37">
        <f t="shared" si="43"/>
        <v>1.4276250000000003E-3</v>
      </c>
      <c r="AQ66" s="40">
        <f t="shared" si="44"/>
        <v>8.9999999999999993E-3</v>
      </c>
      <c r="AR66" s="39">
        <f t="shared" si="24"/>
        <v>0.15295822999780573</v>
      </c>
      <c r="AS66" s="37">
        <f t="shared" si="25"/>
        <v>2.77536</v>
      </c>
      <c r="AT66" s="40">
        <f t="shared" si="26"/>
        <v>94.776584442534443</v>
      </c>
    </row>
    <row r="67" spans="17:46" x14ac:dyDescent="0.55000000000000004">
      <c r="Q67">
        <v>60</v>
      </c>
      <c r="R67" s="39">
        <f t="shared" si="0"/>
        <v>210</v>
      </c>
      <c r="S67" s="37">
        <f t="shared" si="30"/>
        <v>1.3440000000000001E-2</v>
      </c>
      <c r="T67" s="37">
        <f t="shared" si="2"/>
        <v>20</v>
      </c>
      <c r="U67" s="40">
        <f t="shared" si="31"/>
        <v>0.15679999999999999</v>
      </c>
      <c r="V67" s="39">
        <f t="shared" si="32"/>
        <v>1</v>
      </c>
      <c r="W67" s="37">
        <f t="shared" si="33"/>
        <v>0.7014832285949536</v>
      </c>
      <c r="X67" s="40">
        <f t="shared" si="34"/>
        <v>0.14229033489499743</v>
      </c>
      <c r="Y67" s="39">
        <f t="shared" si="35"/>
        <v>0.36402866040215548</v>
      </c>
      <c r="Z67" s="37">
        <f t="shared" si="28"/>
        <v>0.36402866040215548</v>
      </c>
      <c r="AA67" s="37">
        <f t="shared" si="29"/>
        <v>0.19305804645660915</v>
      </c>
      <c r="AB67" s="37">
        <v>0</v>
      </c>
      <c r="AC67" s="37">
        <f t="shared" si="36"/>
        <v>2.7431757246008701E-2</v>
      </c>
      <c r="AD67" s="40">
        <f t="shared" si="19"/>
        <v>2.7431757246008701E-2</v>
      </c>
      <c r="AE67" s="39">
        <f t="shared" si="27"/>
        <v>0.10999257024368872</v>
      </c>
      <c r="AF67" s="37">
        <f t="shared" si="20"/>
        <v>0.17602874644055008</v>
      </c>
      <c r="AG67" s="37">
        <f t="shared" si="37"/>
        <v>1.5183198590981424E-4</v>
      </c>
      <c r="AH67" s="37">
        <f t="shared" si="38"/>
        <v>3.1871349573385156E-3</v>
      </c>
      <c r="AI67" s="40">
        <f t="shared" si="21"/>
        <v>3.3389669432483298E-3</v>
      </c>
      <c r="AJ67" s="39">
        <f t="shared" si="22"/>
        <v>2.2311124511535597E-2</v>
      </c>
      <c r="AK67" s="37">
        <f t="shared" si="39"/>
        <v>7.9279819173676117E-2</v>
      </c>
      <c r="AL67" s="37">
        <f t="shared" si="40"/>
        <v>1.23648E-2</v>
      </c>
      <c r="AM67" s="37">
        <f t="shared" si="41"/>
        <v>9.9132400000000009E-2</v>
      </c>
      <c r="AN67" s="40">
        <f t="shared" si="23"/>
        <v>0.1114972</v>
      </c>
      <c r="AO67" s="39">
        <f t="shared" si="42"/>
        <v>1.239444782937259E-3</v>
      </c>
      <c r="AP67" s="37">
        <f t="shared" si="43"/>
        <v>1.4276250000000003E-3</v>
      </c>
      <c r="AQ67" s="40">
        <f t="shared" si="44"/>
        <v>8.9999999999999993E-3</v>
      </c>
      <c r="AR67" s="39">
        <f t="shared" si="24"/>
        <v>0.15393499397219429</v>
      </c>
      <c r="AS67" s="37">
        <f t="shared" si="25"/>
        <v>2.8224</v>
      </c>
      <c r="AT67" s="40">
        <f t="shared" si="26"/>
        <v>94.828035342663028</v>
      </c>
    </row>
    <row r="68" spans="17:46" x14ac:dyDescent="0.55000000000000004">
      <c r="Q68">
        <v>61</v>
      </c>
      <c r="R68" s="39">
        <f t="shared" si="0"/>
        <v>210</v>
      </c>
      <c r="S68" s="37">
        <f t="shared" si="30"/>
        <v>1.3663999999999999E-2</v>
      </c>
      <c r="T68" s="37">
        <f t="shared" si="2"/>
        <v>20</v>
      </c>
      <c r="U68" s="40">
        <f t="shared" si="31"/>
        <v>0.15941333333333332</v>
      </c>
      <c r="V68" s="39">
        <f t="shared" si="32"/>
        <v>1</v>
      </c>
      <c r="W68" s="37">
        <f t="shared" si="33"/>
        <v>0.70730476599553604</v>
      </c>
      <c r="X68" s="40">
        <f t="shared" si="34"/>
        <v>0.14347118779719978</v>
      </c>
      <c r="Y68" s="39">
        <f t="shared" si="35"/>
        <v>0.36704969693592948</v>
      </c>
      <c r="Z68" s="37">
        <f t="shared" si="28"/>
        <v>0.36704969693592948</v>
      </c>
      <c r="AA68" s="37">
        <f t="shared" si="29"/>
        <v>0.19546627907377812</v>
      </c>
      <c r="AB68" s="37">
        <v>0</v>
      </c>
      <c r="AC68" s="37">
        <f t="shared" si="36"/>
        <v>2.8120400763641806E-2</v>
      </c>
      <c r="AD68" s="40">
        <f t="shared" si="19"/>
        <v>2.8120400763641806E-2</v>
      </c>
      <c r="AE68" s="39">
        <f t="shared" si="27"/>
        <v>0.11275381042990171</v>
      </c>
      <c r="AF68" s="37">
        <f t="shared" si="20"/>
        <v>0.17822455322777336</v>
      </c>
      <c r="AG68" s="37">
        <f t="shared" si="37"/>
        <v>1.5564355772887319E-4</v>
      </c>
      <c r="AH68" s="37">
        <f t="shared" si="38"/>
        <v>3.2402538732941577E-3</v>
      </c>
      <c r="AI68" s="40">
        <f t="shared" si="21"/>
        <v>3.3958974310230308E-3</v>
      </c>
      <c r="AJ68" s="39">
        <f t="shared" si="22"/>
        <v>2.2871220284044272E-2</v>
      </c>
      <c r="AK68" s="37">
        <f t="shared" si="39"/>
        <v>8.0268766539100811E-2</v>
      </c>
      <c r="AL68" s="37">
        <f t="shared" si="40"/>
        <v>1.257088E-2</v>
      </c>
      <c r="AM68" s="37">
        <f t="shared" si="41"/>
        <v>9.9132400000000009E-2</v>
      </c>
      <c r="AN68" s="40">
        <f t="shared" si="23"/>
        <v>0.11170328000000002</v>
      </c>
      <c r="AO68" s="39">
        <f t="shared" si="42"/>
        <v>1.270559654929577E-3</v>
      </c>
      <c r="AP68" s="37">
        <f t="shared" si="43"/>
        <v>1.4276250000000003E-3</v>
      </c>
      <c r="AQ68" s="40">
        <f t="shared" si="44"/>
        <v>8.9999999999999993E-3</v>
      </c>
      <c r="AR68" s="39">
        <f t="shared" si="24"/>
        <v>0.15491776284959441</v>
      </c>
      <c r="AS68" s="37">
        <f t="shared" si="25"/>
        <v>2.86944</v>
      </c>
      <c r="AT68" s="40">
        <f t="shared" si="26"/>
        <v>94.877664119220185</v>
      </c>
    </row>
    <row r="69" spans="17:46" x14ac:dyDescent="0.55000000000000004">
      <c r="Q69">
        <v>62</v>
      </c>
      <c r="R69" s="39">
        <f t="shared" si="0"/>
        <v>210</v>
      </c>
      <c r="S69" s="37">
        <f t="shared" si="30"/>
        <v>1.3887999999999999E-2</v>
      </c>
      <c r="T69" s="37">
        <f t="shared" si="2"/>
        <v>20</v>
      </c>
      <c r="U69" s="40">
        <f t="shared" si="31"/>
        <v>0.16202666666666665</v>
      </c>
      <c r="V69" s="39">
        <f t="shared" si="32"/>
        <v>1</v>
      </c>
      <c r="W69" s="37">
        <f t="shared" si="33"/>
        <v>0.71307877825665233</v>
      </c>
      <c r="X69" s="40">
        <f t="shared" si="34"/>
        <v>0.14464240060005989</v>
      </c>
      <c r="Y69" s="39">
        <f t="shared" si="35"/>
        <v>0.37004607070921242</v>
      </c>
      <c r="Z69" s="37">
        <f t="shared" si="28"/>
        <v>0.37004607070921242</v>
      </c>
      <c r="AA69" s="37">
        <f t="shared" si="29"/>
        <v>0.19786466158718866</v>
      </c>
      <c r="AB69" s="37">
        <v>0</v>
      </c>
      <c r="AC69" s="37">
        <f t="shared" si="36"/>
        <v>2.8814712288489339E-2</v>
      </c>
      <c r="AD69" s="40">
        <f t="shared" si="19"/>
        <v>2.8814712288489339E-2</v>
      </c>
      <c r="AE69" s="39">
        <f t="shared" si="27"/>
        <v>0.11553777751166451</v>
      </c>
      <c r="AF69" s="37">
        <f t="shared" si="20"/>
        <v>0.18041137877101995</v>
      </c>
      <c r="AG69" s="37">
        <f t="shared" si="37"/>
        <v>1.5948650139129613E-4</v>
      </c>
      <c r="AH69" s="37">
        <f t="shared" si="38"/>
        <v>3.2933727892497998E-3</v>
      </c>
      <c r="AI69" s="40">
        <f t="shared" si="21"/>
        <v>3.4528592906410958E-3</v>
      </c>
      <c r="AJ69" s="39">
        <f t="shared" si="22"/>
        <v>2.3435926027892368E-2</v>
      </c>
      <c r="AK69" s="37">
        <f t="shared" si="39"/>
        <v>8.1253668932253498E-2</v>
      </c>
      <c r="AL69" s="37">
        <f t="shared" si="40"/>
        <v>1.277696E-2</v>
      </c>
      <c r="AM69" s="37">
        <f t="shared" si="41"/>
        <v>9.9132400000000009E-2</v>
      </c>
      <c r="AN69" s="40">
        <f t="shared" si="23"/>
        <v>0.11190936000000001</v>
      </c>
      <c r="AO69" s="39">
        <f t="shared" si="42"/>
        <v>1.3019306236024173E-3</v>
      </c>
      <c r="AP69" s="37">
        <f t="shared" si="43"/>
        <v>1.4276250000000003E-3</v>
      </c>
      <c r="AQ69" s="40">
        <f t="shared" si="44"/>
        <v>8.9999999999999993E-3</v>
      </c>
      <c r="AR69" s="39">
        <f t="shared" si="24"/>
        <v>0.15590648720273287</v>
      </c>
      <c r="AS69" s="37">
        <f t="shared" si="25"/>
        <v>2.91648</v>
      </c>
      <c r="AT69" s="40">
        <f t="shared" si="26"/>
        <v>94.925557450141028</v>
      </c>
    </row>
    <row r="70" spans="17:46" x14ac:dyDescent="0.55000000000000004">
      <c r="Q70">
        <v>63</v>
      </c>
      <c r="R70" s="39">
        <f t="shared" si="0"/>
        <v>210</v>
      </c>
      <c r="S70" s="37">
        <f t="shared" si="30"/>
        <v>1.4112E-2</v>
      </c>
      <c r="T70" s="37">
        <f t="shared" si="2"/>
        <v>20</v>
      </c>
      <c r="U70" s="40">
        <f t="shared" si="31"/>
        <v>0.16464000000000001</v>
      </c>
      <c r="V70" s="39">
        <f t="shared" si="32"/>
        <v>1</v>
      </c>
      <c r="W70" s="37">
        <f t="shared" si="33"/>
        <v>0.71880641065588724</v>
      </c>
      <c r="X70" s="40">
        <f t="shared" si="34"/>
        <v>0.14580420561409418</v>
      </c>
      <c r="Y70" s="39">
        <f t="shared" si="35"/>
        <v>0.37301837605391142</v>
      </c>
      <c r="Z70" s="37">
        <f t="shared" si="28"/>
        <v>0.37301837605391142</v>
      </c>
      <c r="AA70" s="37">
        <f t="shared" si="29"/>
        <v>0.20025339220508842</v>
      </c>
      <c r="AB70" s="37">
        <v>0</v>
      </c>
      <c r="AC70" s="37">
        <f t="shared" si="36"/>
        <v>2.9514645921978697E-2</v>
      </c>
      <c r="AD70" s="40">
        <f t="shared" si="19"/>
        <v>2.9514645921978697E-2</v>
      </c>
      <c r="AE70" s="39">
        <f t="shared" si="27"/>
        <v>0.11834428745038528</v>
      </c>
      <c r="AF70" s="37">
        <f t="shared" si="20"/>
        <v>0.18258940379494751</v>
      </c>
      <c r="AG70" s="37">
        <f t="shared" si="37"/>
        <v>1.6336056285315252E-4</v>
      </c>
      <c r="AH70" s="37">
        <f t="shared" si="38"/>
        <v>3.3464917052054423E-3</v>
      </c>
      <c r="AI70" s="40">
        <f t="shared" si="21"/>
        <v>3.5098522680585948E-3</v>
      </c>
      <c r="AJ70" s="39">
        <f t="shared" si="22"/>
        <v>2.4005204412304467E-2</v>
      </c>
      <c r="AK70" s="37">
        <f t="shared" si="39"/>
        <v>8.2234607747897648E-2</v>
      </c>
      <c r="AL70" s="37">
        <f t="shared" si="40"/>
        <v>1.298304E-2</v>
      </c>
      <c r="AM70" s="37">
        <f t="shared" si="41"/>
        <v>9.9132400000000009E-2</v>
      </c>
      <c r="AN70" s="40">
        <f t="shared" si="23"/>
        <v>0.11211544000000001</v>
      </c>
      <c r="AO70" s="39">
        <f t="shared" si="42"/>
        <v>1.3335556151277755E-3</v>
      </c>
      <c r="AP70" s="37">
        <f t="shared" si="43"/>
        <v>1.4276250000000003E-3</v>
      </c>
      <c r="AQ70" s="40">
        <f t="shared" si="44"/>
        <v>8.9999999999999993E-3</v>
      </c>
      <c r="AR70" s="39">
        <f t="shared" si="24"/>
        <v>0.15690111880516508</v>
      </c>
      <c r="AS70" s="37">
        <f t="shared" si="25"/>
        <v>2.9635199999999999</v>
      </c>
      <c r="AT70" s="40">
        <f t="shared" si="26"/>
        <v>94.971796663610448</v>
      </c>
    </row>
    <row r="71" spans="17:46" x14ac:dyDescent="0.55000000000000004">
      <c r="Q71">
        <v>64</v>
      </c>
      <c r="R71" s="39">
        <f t="shared" ref="R71:R134" si="45">VOUT</f>
        <v>210</v>
      </c>
      <c r="S71" s="37">
        <f t="shared" ref="S71:S102" si="46">Q71*$O$12</f>
        <v>1.4336E-2</v>
      </c>
      <c r="T71" s="37">
        <f t="shared" ref="T71:T134" si="47">VIN_var</f>
        <v>20</v>
      </c>
      <c r="U71" s="40">
        <f t="shared" ref="U71:U102" si="48">(R71*S71)/(T71*EFF_est)</f>
        <v>0.16725333333333334</v>
      </c>
      <c r="V71" s="39">
        <f t="shared" ref="V71:V102" si="49">IF((S71*R71/T71)&lt;((T71*(1-(T71/R71)))/(2*Lm*Fsw)),1,2)</f>
        <v>1</v>
      </c>
      <c r="W71" s="37">
        <f t="shared" ref="W71:W102" si="50">CHOOSE(V71,SQRT((2*S71*Lm*Fsw*(R71-T71))/((T71)^2)),1-(T71/R71))</f>
        <v>0.72448876319788424</v>
      </c>
      <c r="X71" s="40">
        <f t="shared" ref="X71:X102" si="51">CHOOSE(V71,(Lm*W71*Fsw)/(R71-T71),1-W71)</f>
        <v>0.14695682596656032</v>
      </c>
      <c r="Y71" s="39">
        <f t="shared" ref="Y71:Y102" si="52">(T71*W71)/(Lm*Fsw)</f>
        <v>0.37596718380793165</v>
      </c>
      <c r="Z71" s="37">
        <f t="shared" si="28"/>
        <v>0.37596718380793165</v>
      </c>
      <c r="AA71" s="37">
        <f t="shared" si="29"/>
        <v>0.20263266207002051</v>
      </c>
      <c r="AB71" s="37">
        <v>0</v>
      </c>
      <c r="AC71" s="37">
        <f t="shared" ref="AC71:AC102" si="53">(AA71^2)*Rdcr</f>
        <v>3.0220156862861183E-2</v>
      </c>
      <c r="AD71" s="40">
        <f t="shared" si="19"/>
        <v>3.0220156862861183E-2</v>
      </c>
      <c r="AE71" s="39">
        <f t="shared" si="27"/>
        <v>0.12117316060739014</v>
      </c>
      <c r="AF71" s="37">
        <f t="shared" si="20"/>
        <v>0.18475880258176214</v>
      </c>
      <c r="AG71" s="37">
        <f t="shared" ref="AG71:AG102" si="54">(AF71^2)*RDS_on</f>
        <v>1.6726549414408813E-4</v>
      </c>
      <c r="AH71" s="37">
        <f t="shared" ref="AH71:AH102" si="55">((R71*U71)/2)*Fsw*(tr_sw+tf_sw)</f>
        <v>3.3996106211610839E-3</v>
      </c>
      <c r="AI71" s="40">
        <f t="shared" si="21"/>
        <v>3.5668761153051722E-3</v>
      </c>
      <c r="AJ71" s="39">
        <f t="shared" si="22"/>
        <v>2.4579018998993767E-2</v>
      </c>
      <c r="AK71" s="37">
        <f t="shared" ref="AK71:AK102" si="56">CHOOSE(V71,Z71*SQRT(X71/3),SQRT(X71*((Z71^2)+((Y71^2)/3)-(Y71*Z71))))</f>
        <v>8.3211661479245691E-2</v>
      </c>
      <c r="AL71" s="37">
        <f t="shared" ref="AL71:AL102" si="57">S71*Vd_rect</f>
        <v>1.318912E-2</v>
      </c>
      <c r="AM71" s="37">
        <f t="shared" ref="AM71:AM102" si="58">CHOOSE(V71,(R71+Vd_rect)*Qrr*Fsw,(R71+Vd_rect)*Qrr*Fsw)</f>
        <v>9.9132400000000009E-2</v>
      </c>
      <c r="AN71" s="40">
        <f t="shared" si="23"/>
        <v>0.11232152000000001</v>
      </c>
      <c r="AO71" s="39">
        <f t="shared" ref="AO71:AO102" si="59">(AF71^2)*R_cs</f>
        <v>1.3654326052578622E-3</v>
      </c>
      <c r="AP71" s="37">
        <f t="shared" ref="AP71:AP102" si="60">Qg_tot*Vcc*Fsw</f>
        <v>1.4276250000000003E-3</v>
      </c>
      <c r="AQ71" s="40">
        <f t="shared" ref="AQ71:AQ102" si="61">IQ*T71</f>
        <v>8.9999999999999993E-3</v>
      </c>
      <c r="AR71" s="39">
        <f t="shared" si="24"/>
        <v>0.15790161058342422</v>
      </c>
      <c r="AS71" s="37">
        <f t="shared" si="25"/>
        <v>3.0105599999999999</v>
      </c>
      <c r="AT71" s="40">
        <f t="shared" si="26"/>
        <v>95.016458143093956</v>
      </c>
    </row>
    <row r="72" spans="17:46" x14ac:dyDescent="0.55000000000000004">
      <c r="Q72">
        <v>65</v>
      </c>
      <c r="R72" s="39">
        <f t="shared" si="45"/>
        <v>210</v>
      </c>
      <c r="S72" s="37">
        <f t="shared" si="46"/>
        <v>1.456E-2</v>
      </c>
      <c r="T72" s="37">
        <f t="shared" si="47"/>
        <v>20</v>
      </c>
      <c r="U72" s="40">
        <f t="shared" si="48"/>
        <v>0.16986666666666667</v>
      </c>
      <c r="V72" s="39">
        <f t="shared" si="49"/>
        <v>1</v>
      </c>
      <c r="W72" s="37">
        <f t="shared" si="50"/>
        <v>0.73012689308092193</v>
      </c>
      <c r="X72" s="40">
        <f t="shared" si="51"/>
        <v>0.14810047610178279</v>
      </c>
      <c r="Y72" s="39">
        <f t="shared" si="52"/>
        <v>0.37889304259518525</v>
      </c>
      <c r="Z72" s="37">
        <f t="shared" si="28"/>
        <v>0.37889304259518525</v>
      </c>
      <c r="AA72" s="37">
        <f t="shared" si="29"/>
        <v>0.20500265561698505</v>
      </c>
      <c r="AB72" s="37">
        <v>0</v>
      </c>
      <c r="AC72" s="37">
        <f t="shared" si="53"/>
        <v>3.0931201364171903E-2</v>
      </c>
      <c r="AD72" s="40">
        <f t="shared" ref="AD72:AD135" si="62">AB72+AC72</f>
        <v>3.0931201364171903E-2</v>
      </c>
      <c r="AE72" s="39">
        <f t="shared" si="27"/>
        <v>0.12402422157134593</v>
      </c>
      <c r="AF72" s="37">
        <f t="shared" ref="AF72:AF135" si="63">CHOOSE(V72,Z72*SQRT(W72/3),SQRT(W72*((Z72^2)+((Y72^2)/3)-(Z72*Y72))))</f>
        <v>0.18691974329778727</v>
      </c>
      <c r="AG72" s="37">
        <f t="shared" si="54"/>
        <v>1.7120105312910238E-4</v>
      </c>
      <c r="AH72" s="37">
        <f t="shared" si="55"/>
        <v>3.4527295371167251E-3</v>
      </c>
      <c r="AI72" s="40">
        <f t="shared" ref="AI72:AI135" si="64">AG72+AH72</f>
        <v>3.6239305902458275E-3</v>
      </c>
      <c r="AJ72" s="39">
        <f t="shared" ref="AJ72:AJ135" si="65">X72*U72</f>
        <v>2.5157334207156171E-2</v>
      </c>
      <c r="AK72" s="37">
        <f t="shared" si="56"/>
        <v>8.4184905865039031E-2</v>
      </c>
      <c r="AL72" s="37">
        <f t="shared" si="57"/>
        <v>1.3395200000000001E-2</v>
      </c>
      <c r="AM72" s="37">
        <f t="shared" si="58"/>
        <v>9.9132400000000009E-2</v>
      </c>
      <c r="AN72" s="40">
        <f t="shared" ref="AN72:AN135" si="66">AL72+AM72</f>
        <v>0.11252760000000001</v>
      </c>
      <c r="AO72" s="39">
        <f t="shared" si="59"/>
        <v>1.3975596173804274E-3</v>
      </c>
      <c r="AP72" s="37">
        <f t="shared" si="60"/>
        <v>1.4276250000000003E-3</v>
      </c>
      <c r="AQ72" s="40">
        <f t="shared" si="61"/>
        <v>8.9999999999999993E-3</v>
      </c>
      <c r="AR72" s="39">
        <f t="shared" ref="AR72:AR135" si="67">AO72+AN72+AI72+AD72+AP72+AQ72</f>
        <v>0.15890791657179815</v>
      </c>
      <c r="AS72" s="37">
        <f t="shared" ref="AS72:AS135" si="68">R72*S72</f>
        <v>3.0575999999999999</v>
      </c>
      <c r="AT72" s="40">
        <f t="shared" ref="AT72:AT135" si="69">(AS72/(AS72+AR72))*100</f>
        <v>95.059613696173813</v>
      </c>
    </row>
    <row r="73" spans="17:46" x14ac:dyDescent="0.55000000000000004">
      <c r="Q73">
        <v>66</v>
      </c>
      <c r="R73" s="39">
        <f t="shared" si="45"/>
        <v>210</v>
      </c>
      <c r="S73" s="37">
        <f t="shared" si="46"/>
        <v>1.4784E-2</v>
      </c>
      <c r="T73" s="37">
        <f t="shared" si="47"/>
        <v>20</v>
      </c>
      <c r="U73" s="40">
        <f t="shared" si="48"/>
        <v>0.17247999999999999</v>
      </c>
      <c r="V73" s="39">
        <f t="shared" si="49"/>
        <v>1</v>
      </c>
      <c r="W73" s="37">
        <f t="shared" si="50"/>
        <v>0.73572181699335248</v>
      </c>
      <c r="X73" s="40">
        <f t="shared" si="51"/>
        <v>0.1492353622469674</v>
      </c>
      <c r="Y73" s="39">
        <f t="shared" si="52"/>
        <v>0.38179648001730798</v>
      </c>
      <c r="Z73" s="37">
        <f t="shared" si="28"/>
        <v>0.38179648001730798</v>
      </c>
      <c r="AA73" s="37">
        <f t="shared" si="29"/>
        <v>0.20736355090822273</v>
      </c>
      <c r="AB73" s="37">
        <v>0</v>
      </c>
      <c r="AC73" s="37">
        <f t="shared" si="53"/>
        <v>3.1647736692516568E-2</v>
      </c>
      <c r="AD73" s="40">
        <f t="shared" si="62"/>
        <v>3.1647736692516568E-2</v>
      </c>
      <c r="AE73" s="39">
        <f t="shared" ref="AE73:AE136" si="70">U73*W73</f>
        <v>0.12689729899501342</v>
      </c>
      <c r="AF73" s="37">
        <f t="shared" si="63"/>
        <v>0.18907238829871637</v>
      </c>
      <c r="AG73" s="37">
        <f t="shared" si="54"/>
        <v>1.7516700328320487E-4</v>
      </c>
      <c r="AH73" s="37">
        <f t="shared" si="55"/>
        <v>3.5058484530723672E-3</v>
      </c>
      <c r="AI73" s="40">
        <f t="shared" si="64"/>
        <v>3.681015456355572E-3</v>
      </c>
      <c r="AJ73" s="39">
        <f t="shared" si="65"/>
        <v>2.5740115280356936E-2</v>
      </c>
      <c r="AK73" s="37">
        <f t="shared" si="56"/>
        <v>8.5154414027027878E-2</v>
      </c>
      <c r="AL73" s="37">
        <f t="shared" si="57"/>
        <v>1.360128E-2</v>
      </c>
      <c r="AM73" s="37">
        <f t="shared" si="58"/>
        <v>9.9132400000000009E-2</v>
      </c>
      <c r="AN73" s="40">
        <f t="shared" si="66"/>
        <v>0.11273368</v>
      </c>
      <c r="AO73" s="39">
        <f t="shared" si="59"/>
        <v>1.4299347206792232E-3</v>
      </c>
      <c r="AP73" s="37">
        <f t="shared" si="60"/>
        <v>1.4276250000000003E-3</v>
      </c>
      <c r="AQ73" s="40">
        <f t="shared" si="61"/>
        <v>8.9999999999999993E-3</v>
      </c>
      <c r="AR73" s="39">
        <f t="shared" si="67"/>
        <v>0.15991999186955136</v>
      </c>
      <c r="AS73" s="37">
        <f t="shared" si="68"/>
        <v>3.1046399999999998</v>
      </c>
      <c r="AT73" s="40">
        <f t="shared" si="69"/>
        <v>95.101330890906127</v>
      </c>
    </row>
    <row r="74" spans="17:46" x14ac:dyDescent="0.55000000000000004">
      <c r="Q74">
        <v>67</v>
      </c>
      <c r="R74" s="39">
        <f t="shared" si="45"/>
        <v>210</v>
      </c>
      <c r="S74" s="37">
        <f t="shared" si="46"/>
        <v>1.5008000000000001E-2</v>
      </c>
      <c r="T74" s="37">
        <f t="shared" si="47"/>
        <v>20</v>
      </c>
      <c r="U74" s="40">
        <f t="shared" si="48"/>
        <v>0.17509333333333335</v>
      </c>
      <c r="V74" s="39">
        <f t="shared" si="49"/>
        <v>1</v>
      </c>
      <c r="W74" s="37">
        <f t="shared" si="50"/>
        <v>0.7412745132540306</v>
      </c>
      <c r="X74" s="40">
        <f t="shared" si="51"/>
        <v>0.15036168284637022</v>
      </c>
      <c r="Y74" s="39">
        <f t="shared" si="52"/>
        <v>0.38467800376441652</v>
      </c>
      <c r="Z74" s="37">
        <f t="shared" si="28"/>
        <v>0.38467800376441652</v>
      </c>
      <c r="AA74" s="37">
        <f t="shared" si="29"/>
        <v>0.20971551994647725</v>
      </c>
      <c r="AB74" s="37">
        <v>0</v>
      </c>
      <c r="AC74" s="37">
        <f t="shared" si="53"/>
        <v>3.2369721089526071E-2</v>
      </c>
      <c r="AD74" s="40">
        <f t="shared" si="62"/>
        <v>3.2369721089526071E-2</v>
      </c>
      <c r="AE74" s="39">
        <f t="shared" si="70"/>
        <v>0.12979222544069241</v>
      </c>
      <c r="AF74" s="37">
        <f t="shared" si="63"/>
        <v>0.19121689441524328</v>
      </c>
      <c r="AG74" s="37">
        <f t="shared" si="54"/>
        <v>1.7916311347807048E-4</v>
      </c>
      <c r="AH74" s="37">
        <f t="shared" si="55"/>
        <v>3.5589673690280097E-3</v>
      </c>
      <c r="AI74" s="40">
        <f t="shared" si="64"/>
        <v>3.7381304825060803E-3</v>
      </c>
      <c r="AJ74" s="39">
        <f t="shared" si="65"/>
        <v>2.6327328255180454E-2</v>
      </c>
      <c r="AK74" s="37">
        <f t="shared" si="56"/>
        <v>8.612025659861329E-2</v>
      </c>
      <c r="AL74" s="37">
        <f t="shared" si="57"/>
        <v>1.3807360000000001E-2</v>
      </c>
      <c r="AM74" s="37">
        <f t="shared" si="58"/>
        <v>9.9132400000000009E-2</v>
      </c>
      <c r="AN74" s="40">
        <f t="shared" si="66"/>
        <v>0.11293976000000001</v>
      </c>
      <c r="AO74" s="39">
        <f t="shared" si="59"/>
        <v>1.462556028392412E-3</v>
      </c>
      <c r="AP74" s="37">
        <f t="shared" si="60"/>
        <v>1.4276250000000003E-3</v>
      </c>
      <c r="AQ74" s="40">
        <f t="shared" si="61"/>
        <v>8.9999999999999993E-3</v>
      </c>
      <c r="AR74" s="39">
        <f t="shared" si="67"/>
        <v>0.16093779260042457</v>
      </c>
      <c r="AS74" s="37">
        <f t="shared" si="68"/>
        <v>3.1516800000000003</v>
      </c>
      <c r="AT74" s="40">
        <f t="shared" si="69"/>
        <v>95.141673362984406</v>
      </c>
    </row>
    <row r="75" spans="17:46" x14ac:dyDescent="0.55000000000000004">
      <c r="Q75">
        <v>68</v>
      </c>
      <c r="R75" s="39">
        <f t="shared" si="45"/>
        <v>210</v>
      </c>
      <c r="S75" s="37">
        <f t="shared" si="46"/>
        <v>1.5231999999999999E-2</v>
      </c>
      <c r="T75" s="37">
        <f t="shared" si="47"/>
        <v>20</v>
      </c>
      <c r="U75" s="40">
        <f t="shared" si="48"/>
        <v>0.17770666666666665</v>
      </c>
      <c r="V75" s="39">
        <f t="shared" si="49"/>
        <v>1</v>
      </c>
      <c r="W75" s="37">
        <f t="shared" si="50"/>
        <v>0.74678592380949438</v>
      </c>
      <c r="X75" s="40">
        <f t="shared" si="51"/>
        <v>0.15147962896641007</v>
      </c>
      <c r="Y75" s="39">
        <f t="shared" si="52"/>
        <v>0.38753810265152794</v>
      </c>
      <c r="Z75" s="37">
        <f t="shared" si="28"/>
        <v>0.38753810265152794</v>
      </c>
      <c r="AA75" s="37">
        <f t="shared" si="29"/>
        <v>0.21205872896842029</v>
      </c>
      <c r="AB75" s="37">
        <v>0</v>
      </c>
      <c r="AC75" s="37">
        <f t="shared" si="53"/>
        <v>3.3097113735332626E-2</v>
      </c>
      <c r="AD75" s="40">
        <f t="shared" si="62"/>
        <v>3.3097113735332626E-2</v>
      </c>
      <c r="AE75" s="39">
        <f t="shared" si="70"/>
        <v>0.13270883723377253</v>
      </c>
      <c r="AF75" s="37">
        <f t="shared" si="63"/>
        <v>0.1933534132206044</v>
      </c>
      <c r="AG75" s="37">
        <f t="shared" si="54"/>
        <v>1.8318915777988323E-4</v>
      </c>
      <c r="AH75" s="37">
        <f t="shared" si="55"/>
        <v>3.6120862849836509E-3</v>
      </c>
      <c r="AI75" s="40">
        <f t="shared" si="64"/>
        <v>3.795275442763534E-3</v>
      </c>
      <c r="AJ75" s="39">
        <f t="shared" si="65"/>
        <v>2.6918939931524177E-2</v>
      </c>
      <c r="AK75" s="37">
        <f t="shared" si="56"/>
        <v>8.7082501845342872E-2</v>
      </c>
      <c r="AL75" s="37">
        <f t="shared" si="57"/>
        <v>1.401344E-2</v>
      </c>
      <c r="AM75" s="37">
        <f t="shared" si="58"/>
        <v>9.9132400000000009E-2</v>
      </c>
      <c r="AN75" s="40">
        <f t="shared" si="66"/>
        <v>0.11314584000000001</v>
      </c>
      <c r="AO75" s="39">
        <f t="shared" si="59"/>
        <v>1.4954216961623119E-3</v>
      </c>
      <c r="AP75" s="37">
        <f t="shared" si="60"/>
        <v>1.4276250000000003E-3</v>
      </c>
      <c r="AQ75" s="40">
        <f t="shared" si="61"/>
        <v>8.9999999999999993E-3</v>
      </c>
      <c r="AR75" s="39">
        <f t="shared" si="67"/>
        <v>0.16196127587425846</v>
      </c>
      <c r="AS75" s="37">
        <f t="shared" si="68"/>
        <v>3.1987199999999998</v>
      </c>
      <c r="AT75" s="40">
        <f t="shared" si="69"/>
        <v>95.180701096621391</v>
      </c>
    </row>
    <row r="76" spans="17:46" x14ac:dyDescent="0.55000000000000004">
      <c r="Q76">
        <v>69</v>
      </c>
      <c r="R76" s="39">
        <f t="shared" si="45"/>
        <v>210</v>
      </c>
      <c r="S76" s="37">
        <f t="shared" si="46"/>
        <v>1.5455999999999999E-2</v>
      </c>
      <c r="T76" s="37">
        <f t="shared" si="47"/>
        <v>20</v>
      </c>
      <c r="U76" s="40">
        <f t="shared" si="48"/>
        <v>0.18031999999999998</v>
      </c>
      <c r="V76" s="39">
        <f t="shared" si="49"/>
        <v>1</v>
      </c>
      <c r="W76" s="37">
        <f t="shared" si="50"/>
        <v>0.75225695609944343</v>
      </c>
      <c r="X76" s="40">
        <f t="shared" si="51"/>
        <v>0.15258938467406605</v>
      </c>
      <c r="Y76" s="39">
        <f t="shared" si="52"/>
        <v>0.39037724758663384</v>
      </c>
      <c r="Z76" s="37">
        <f t="shared" si="28"/>
        <v>0.39037724758663384</v>
      </c>
      <c r="AA76" s="37">
        <f t="shared" si="29"/>
        <v>0.21439333871976776</v>
      </c>
      <c r="AB76" s="37">
        <v>0</v>
      </c>
      <c r="AC76" s="37">
        <f t="shared" si="53"/>
        <v>3.3829874713933075E-2</v>
      </c>
      <c r="AD76" s="40">
        <f t="shared" si="62"/>
        <v>3.3829874713933075E-2</v>
      </c>
      <c r="AE76" s="39">
        <f t="shared" si="70"/>
        <v>0.13564697432385162</v>
      </c>
      <c r="AF76" s="37">
        <f t="shared" si="63"/>
        <v>0.19548209128142766</v>
      </c>
      <c r="AG76" s="37">
        <f t="shared" si="54"/>
        <v>1.8724491525762608E-4</v>
      </c>
      <c r="AH76" s="37">
        <f t="shared" si="55"/>
        <v>3.6652052009392929E-3</v>
      </c>
      <c r="AI76" s="40">
        <f t="shared" si="64"/>
        <v>3.8524501161969192E-3</v>
      </c>
      <c r="AJ76" s="39">
        <f t="shared" si="65"/>
        <v>2.7514917844427587E-2</v>
      </c>
      <c r="AK76" s="37">
        <f t="shared" si="56"/>
        <v>8.8041215777888163E-2</v>
      </c>
      <c r="AL76" s="37">
        <f t="shared" si="57"/>
        <v>1.4219519999999999E-2</v>
      </c>
      <c r="AM76" s="37">
        <f t="shared" si="58"/>
        <v>9.9132400000000009E-2</v>
      </c>
      <c r="AN76" s="40">
        <f t="shared" si="66"/>
        <v>0.11335192000000001</v>
      </c>
      <c r="AO76" s="39">
        <f t="shared" si="59"/>
        <v>1.5285299204704167E-3</v>
      </c>
      <c r="AP76" s="37">
        <f t="shared" si="60"/>
        <v>1.4276250000000003E-3</v>
      </c>
      <c r="AQ76" s="40">
        <f t="shared" si="61"/>
        <v>8.9999999999999993E-3</v>
      </c>
      <c r="AR76" s="39">
        <f t="shared" si="67"/>
        <v>0.16299039975060042</v>
      </c>
      <c r="AS76" s="37">
        <f t="shared" si="68"/>
        <v>3.2457599999999998</v>
      </c>
      <c r="AT76" s="40">
        <f t="shared" si="69"/>
        <v>95.218470681733535</v>
      </c>
    </row>
    <row r="77" spans="17:46" x14ac:dyDescent="0.55000000000000004">
      <c r="Q77">
        <v>70</v>
      </c>
      <c r="R77" s="39">
        <f t="shared" si="45"/>
        <v>210</v>
      </c>
      <c r="S77" s="37">
        <f t="shared" si="46"/>
        <v>1.5679999999999999E-2</v>
      </c>
      <c r="T77" s="37">
        <f t="shared" si="47"/>
        <v>20</v>
      </c>
      <c r="U77" s="40">
        <f t="shared" si="48"/>
        <v>0.18293333333333331</v>
      </c>
      <c r="V77" s="39">
        <f t="shared" si="49"/>
        <v>1</v>
      </c>
      <c r="W77" s="37">
        <f t="shared" si="50"/>
        <v>0.75768848480097672</v>
      </c>
      <c r="X77" s="40">
        <f t="shared" si="51"/>
        <v>0.15369112739068233</v>
      </c>
      <c r="Y77" s="39">
        <f t="shared" si="52"/>
        <v>0.39319589247585712</v>
      </c>
      <c r="Z77" s="37">
        <f t="shared" si="28"/>
        <v>0.39319589247585712</v>
      </c>
      <c r="AA77" s="37">
        <f t="shared" si="29"/>
        <v>0.21671950471347823</v>
      </c>
      <c r="AB77" s="37">
        <v>0</v>
      </c>
      <c r="AC77" s="37">
        <f t="shared" si="53"/>
        <v>3.4567964980315911E-2</v>
      </c>
      <c r="AD77" s="40">
        <f t="shared" si="62"/>
        <v>3.4567964980315911E-2</v>
      </c>
      <c r="AE77" s="39">
        <f t="shared" si="70"/>
        <v>0.13860648015292532</v>
      </c>
      <c r="AF77" s="37">
        <f t="shared" si="63"/>
        <v>0.19760307039315567</v>
      </c>
      <c r="AG77" s="37">
        <f t="shared" si="54"/>
        <v>1.9133016980113198E-4</v>
      </c>
      <c r="AH77" s="37">
        <f t="shared" si="55"/>
        <v>3.7183241168949346E-3</v>
      </c>
      <c r="AI77" s="40">
        <f t="shared" si="64"/>
        <v>3.9096542866960664E-3</v>
      </c>
      <c r="AJ77" s="39">
        <f t="shared" si="65"/>
        <v>2.8115230237335483E-2</v>
      </c>
      <c r="AK77" s="37">
        <f t="shared" si="56"/>
        <v>8.8996462258074477E-2</v>
      </c>
      <c r="AL77" s="37">
        <f t="shared" si="57"/>
        <v>1.44256E-2</v>
      </c>
      <c r="AM77" s="37">
        <f t="shared" si="58"/>
        <v>9.9132400000000009E-2</v>
      </c>
      <c r="AN77" s="40">
        <f t="shared" si="66"/>
        <v>0.11355800000000001</v>
      </c>
      <c r="AO77" s="39">
        <f t="shared" si="59"/>
        <v>1.5618789371520975E-3</v>
      </c>
      <c r="AP77" s="37">
        <f t="shared" si="60"/>
        <v>1.4276250000000003E-3</v>
      </c>
      <c r="AQ77" s="40">
        <f t="shared" si="61"/>
        <v>8.9999999999999993E-3</v>
      </c>
      <c r="AR77" s="39">
        <f t="shared" si="67"/>
        <v>0.16402512320416407</v>
      </c>
      <c r="AS77" s="37">
        <f t="shared" si="68"/>
        <v>3.2927999999999997</v>
      </c>
      <c r="AT77" s="40">
        <f t="shared" si="69"/>
        <v>95.255035549726415</v>
      </c>
    </row>
    <row r="78" spans="17:46" x14ac:dyDescent="0.55000000000000004">
      <c r="Q78">
        <v>71</v>
      </c>
      <c r="R78" s="39">
        <f t="shared" si="45"/>
        <v>210</v>
      </c>
      <c r="S78" s="37">
        <f t="shared" si="46"/>
        <v>1.5904000000000001E-2</v>
      </c>
      <c r="T78" s="37">
        <f t="shared" si="47"/>
        <v>20</v>
      </c>
      <c r="U78" s="40">
        <f t="shared" si="48"/>
        <v>0.18554666666666667</v>
      </c>
      <c r="V78" s="39">
        <f t="shared" si="49"/>
        <v>1</v>
      </c>
      <c r="W78" s="37">
        <f t="shared" si="50"/>
        <v>0.76308135346108419</v>
      </c>
      <c r="X78" s="40">
        <f t="shared" si="51"/>
        <v>0.15478502822310622</v>
      </c>
      <c r="Y78" s="39">
        <f t="shared" si="52"/>
        <v>0.39599447507061969</v>
      </c>
      <c r="Z78" s="37">
        <f t="shared" si="28"/>
        <v>0.39599447507061969</v>
      </c>
      <c r="AA78" s="37">
        <f t="shared" si="29"/>
        <v>0.21903737747230098</v>
      </c>
      <c r="AB78" s="37">
        <v>0</v>
      </c>
      <c r="AC78" s="37">
        <f t="shared" si="53"/>
        <v>3.5311346329238241E-2</v>
      </c>
      <c r="AD78" s="40">
        <f t="shared" si="62"/>
        <v>3.5311346329238241E-2</v>
      </c>
      <c r="AE78" s="39">
        <f t="shared" si="70"/>
        <v>0.14158720153019264</v>
      </c>
      <c r="AF78" s="37">
        <f t="shared" si="63"/>
        <v>0.19971648780119913</v>
      </c>
      <c r="AG78" s="37">
        <f t="shared" si="54"/>
        <v>1.9544470994826797E-4</v>
      </c>
      <c r="AH78" s="37">
        <f t="shared" si="55"/>
        <v>3.7714430328505771E-3</v>
      </c>
      <c r="AI78" s="40">
        <f t="shared" si="64"/>
        <v>3.9668877427988447E-3</v>
      </c>
      <c r="AJ78" s="39">
        <f t="shared" si="65"/>
        <v>2.8719846036703283E-2</v>
      </c>
      <c r="AK78" s="37">
        <f t="shared" si="56"/>
        <v>8.9948303098483867E-2</v>
      </c>
      <c r="AL78" s="37">
        <f t="shared" si="57"/>
        <v>1.4631680000000003E-2</v>
      </c>
      <c r="AM78" s="37">
        <f t="shared" si="58"/>
        <v>9.9132400000000009E-2</v>
      </c>
      <c r="AN78" s="40">
        <f t="shared" si="66"/>
        <v>0.11376408000000002</v>
      </c>
      <c r="AO78" s="39">
        <f t="shared" si="59"/>
        <v>1.595467019985861E-3</v>
      </c>
      <c r="AP78" s="37">
        <f t="shared" si="60"/>
        <v>1.4276250000000003E-3</v>
      </c>
      <c r="AQ78" s="40">
        <f t="shared" si="61"/>
        <v>8.9999999999999993E-3</v>
      </c>
      <c r="AR78" s="39">
        <f t="shared" si="67"/>
        <v>0.16506540609202297</v>
      </c>
      <c r="AS78" s="37">
        <f t="shared" si="68"/>
        <v>3.3398400000000001</v>
      </c>
      <c r="AT78" s="40">
        <f t="shared" si="69"/>
        <v>95.290446189928105</v>
      </c>
    </row>
    <row r="79" spans="17:46" x14ac:dyDescent="0.55000000000000004">
      <c r="Q79">
        <v>72</v>
      </c>
      <c r="R79" s="39">
        <f t="shared" si="45"/>
        <v>210</v>
      </c>
      <c r="S79" s="37">
        <f t="shared" si="46"/>
        <v>1.6128E-2</v>
      </c>
      <c r="T79" s="37">
        <f t="shared" si="47"/>
        <v>20</v>
      </c>
      <c r="U79" s="40">
        <f t="shared" si="48"/>
        <v>0.18815999999999999</v>
      </c>
      <c r="V79" s="39">
        <f t="shared" si="49"/>
        <v>1</v>
      </c>
      <c r="W79" s="37">
        <f t="shared" si="50"/>
        <v>0.76843637602601822</v>
      </c>
      <c r="X79" s="40">
        <f t="shared" si="51"/>
        <v>0.15587125227390916</v>
      </c>
      <c r="Y79" s="39">
        <f t="shared" si="52"/>
        <v>0.39877341776129643</v>
      </c>
      <c r="Z79" s="37">
        <f t="shared" si="28"/>
        <v>0.39877341776129643</v>
      </c>
      <c r="AA79" s="37">
        <f t="shared" si="29"/>
        <v>0.22134710275682765</v>
      </c>
      <c r="AB79" s="37">
        <v>0</v>
      </c>
      <c r="AC79" s="37">
        <f t="shared" si="53"/>
        <v>3.605998136554743E-2</v>
      </c>
      <c r="AD79" s="40">
        <f t="shared" si="62"/>
        <v>3.605998136554743E-2</v>
      </c>
      <c r="AE79" s="39">
        <f t="shared" si="70"/>
        <v>0.14458898851305557</v>
      </c>
      <c r="AF79" s="37">
        <f t="shared" si="63"/>
        <v>0.20182247640887241</v>
      </c>
      <c r="AG79" s="37">
        <f t="shared" si="54"/>
        <v>1.9958832872066833E-4</v>
      </c>
      <c r="AH79" s="37">
        <f t="shared" si="55"/>
        <v>3.8245619488062191E-3</v>
      </c>
      <c r="AI79" s="40">
        <f t="shared" si="64"/>
        <v>4.0241502775268875E-3</v>
      </c>
      <c r="AJ79" s="39">
        <f t="shared" si="65"/>
        <v>2.9328734827858745E-2</v>
      </c>
      <c r="AK79" s="37">
        <f t="shared" si="56"/>
        <v>9.0896798156105296E-2</v>
      </c>
      <c r="AL79" s="37">
        <f t="shared" si="57"/>
        <v>1.483776E-2</v>
      </c>
      <c r="AM79" s="37">
        <f t="shared" si="58"/>
        <v>9.9132400000000009E-2</v>
      </c>
      <c r="AN79" s="40">
        <f t="shared" si="66"/>
        <v>0.11397016000000001</v>
      </c>
      <c r="AO79" s="39">
        <f t="shared" si="59"/>
        <v>1.6292924793523944E-3</v>
      </c>
      <c r="AP79" s="37">
        <f t="shared" si="60"/>
        <v>1.4276250000000003E-3</v>
      </c>
      <c r="AQ79" s="40">
        <f t="shared" si="61"/>
        <v>8.9999999999999993E-3</v>
      </c>
      <c r="AR79" s="39">
        <f t="shared" si="67"/>
        <v>0.16611120912242672</v>
      </c>
      <c r="AS79" s="37">
        <f t="shared" si="68"/>
        <v>3.3868800000000001</v>
      </c>
      <c r="AT79" s="40">
        <f t="shared" si="69"/>
        <v>95.324750348497048</v>
      </c>
    </row>
    <row r="80" spans="17:46" x14ac:dyDescent="0.55000000000000004">
      <c r="Q80">
        <v>73</v>
      </c>
      <c r="R80" s="39">
        <f t="shared" si="45"/>
        <v>210</v>
      </c>
      <c r="S80" s="37">
        <f t="shared" si="46"/>
        <v>1.6351999999999998E-2</v>
      </c>
      <c r="T80" s="37">
        <f t="shared" si="47"/>
        <v>20</v>
      </c>
      <c r="U80" s="40">
        <f t="shared" si="48"/>
        <v>0.19077333333333332</v>
      </c>
      <c r="V80" s="39">
        <f t="shared" si="49"/>
        <v>1</v>
      </c>
      <c r="W80" s="37">
        <f t="shared" si="50"/>
        <v>0.77375433827539852</v>
      </c>
      <c r="X80" s="40">
        <f t="shared" si="51"/>
        <v>0.15694995893228347</v>
      </c>
      <c r="Y80" s="39">
        <f t="shared" si="52"/>
        <v>0.40153312832143151</v>
      </c>
      <c r="Z80" s="37">
        <f t="shared" ref="Z80:Z143" si="71">CHOOSE(V80,Y80,U80+(0.5*Y80))</f>
        <v>0.40153312832143151</v>
      </c>
      <c r="AA80" s="37">
        <f t="shared" ref="AA80:AA143" si="72">CHOOSE(V80,Z80*SQRT((W80+X80)/3),SQRT((U80^2)+((Y80^2)/12)))</f>
        <v>0.22364882178010501</v>
      </c>
      <c r="AB80" s="37">
        <v>0</v>
      </c>
      <c r="AC80" s="37">
        <f t="shared" si="53"/>
        <v>3.6813833475951067E-2</v>
      </c>
      <c r="AD80" s="40">
        <f t="shared" si="62"/>
        <v>3.6813833475951067E-2</v>
      </c>
      <c r="AE80" s="39">
        <f t="shared" si="70"/>
        <v>0.14761169429392534</v>
      </c>
      <c r="AF80" s="37">
        <f t="shared" si="63"/>
        <v>0.20392116497307552</v>
      </c>
      <c r="AG80" s="37">
        <f t="shared" si="54"/>
        <v>2.037608234674838E-4</v>
      </c>
      <c r="AH80" s="37">
        <f t="shared" si="55"/>
        <v>3.8776808647618607E-3</v>
      </c>
      <c r="AI80" s="40">
        <f t="shared" si="64"/>
        <v>4.0814416882293449E-3</v>
      </c>
      <c r="AJ80" s="39">
        <f t="shared" si="65"/>
        <v>2.9941866832041492E-2</v>
      </c>
      <c r="AK80" s="37">
        <f t="shared" si="56"/>
        <v>9.1842005420465833E-2</v>
      </c>
      <c r="AL80" s="37">
        <f t="shared" si="57"/>
        <v>1.5043839999999999E-2</v>
      </c>
      <c r="AM80" s="37">
        <f t="shared" si="58"/>
        <v>9.9132400000000009E-2</v>
      </c>
      <c r="AN80" s="40">
        <f t="shared" si="66"/>
        <v>0.11417624000000001</v>
      </c>
      <c r="AO80" s="39">
        <f t="shared" si="59"/>
        <v>1.6633536609590514E-3</v>
      </c>
      <c r="AP80" s="37">
        <f t="shared" si="60"/>
        <v>1.4276250000000003E-3</v>
      </c>
      <c r="AQ80" s="40">
        <f t="shared" si="61"/>
        <v>8.9999999999999993E-3</v>
      </c>
      <c r="AR80" s="39">
        <f t="shared" si="67"/>
        <v>0.16716249382513948</v>
      </c>
      <c r="AS80" s="37">
        <f t="shared" si="68"/>
        <v>3.4339199999999996</v>
      </c>
      <c r="AT80" s="40">
        <f t="shared" si="69"/>
        <v>95.35799321143638</v>
      </c>
    </row>
    <row r="81" spans="17:46" x14ac:dyDescent="0.55000000000000004">
      <c r="Q81">
        <v>74</v>
      </c>
      <c r="R81" s="39">
        <f t="shared" si="45"/>
        <v>210</v>
      </c>
      <c r="S81" s="37">
        <f t="shared" si="46"/>
        <v>1.6576E-2</v>
      </c>
      <c r="T81" s="37">
        <f t="shared" si="47"/>
        <v>20</v>
      </c>
      <c r="U81" s="40">
        <f t="shared" si="48"/>
        <v>0.19338666666666668</v>
      </c>
      <c r="V81" s="39">
        <f t="shared" si="49"/>
        <v>1</v>
      </c>
      <c r="W81" s="37">
        <f t="shared" si="50"/>
        <v>0.77903599916820276</v>
      </c>
      <c r="X81" s="40">
        <f t="shared" si="51"/>
        <v>0.15802130214706597</v>
      </c>
      <c r="Y81" s="39">
        <f t="shared" si="52"/>
        <v>0.40427400060622876</v>
      </c>
      <c r="Z81" s="37">
        <f t="shared" si="71"/>
        <v>0.40427400060622876</v>
      </c>
      <c r="AA81" s="37">
        <f t="shared" si="72"/>
        <v>0.22594267140977187</v>
      </c>
      <c r="AB81" s="37">
        <v>0</v>
      </c>
      <c r="AC81" s="37">
        <f t="shared" si="53"/>
        <v>3.7572866802145125E-2</v>
      </c>
      <c r="AD81" s="40">
        <f t="shared" si="62"/>
        <v>3.7572866802145125E-2</v>
      </c>
      <c r="AE81" s="39">
        <f t="shared" si="70"/>
        <v>0.15065517509247484</v>
      </c>
      <c r="AF81" s="37">
        <f t="shared" si="63"/>
        <v>0.20601267828860123</v>
      </c>
      <c r="AG81" s="37">
        <f t="shared" si="54"/>
        <v>2.0796199571664932E-4</v>
      </c>
      <c r="AH81" s="37">
        <f t="shared" si="55"/>
        <v>3.9307997807175032E-3</v>
      </c>
      <c r="AI81" s="40">
        <f t="shared" si="64"/>
        <v>4.1387617764341526E-3</v>
      </c>
      <c r="AJ81" s="39">
        <f t="shared" si="65"/>
        <v>3.0559212884547268E-2</v>
      </c>
      <c r="AK81" s="37">
        <f t="shared" si="56"/>
        <v>9.2783981096638768E-2</v>
      </c>
      <c r="AL81" s="37">
        <f t="shared" si="57"/>
        <v>1.5249920000000002E-2</v>
      </c>
      <c r="AM81" s="37">
        <f t="shared" si="58"/>
        <v>9.9132400000000009E-2</v>
      </c>
      <c r="AN81" s="40">
        <f t="shared" si="66"/>
        <v>0.11438232000000001</v>
      </c>
      <c r="AO81" s="39">
        <f t="shared" si="59"/>
        <v>1.6976489446257086E-3</v>
      </c>
      <c r="AP81" s="37">
        <f t="shared" si="60"/>
        <v>1.4276250000000003E-3</v>
      </c>
      <c r="AQ81" s="40">
        <f t="shared" si="61"/>
        <v>8.9999999999999993E-3</v>
      </c>
      <c r="AR81" s="39">
        <f t="shared" si="67"/>
        <v>0.16821922252320498</v>
      </c>
      <c r="AS81" s="37">
        <f t="shared" si="68"/>
        <v>3.4809600000000001</v>
      </c>
      <c r="AT81" s="40">
        <f t="shared" si="69"/>
        <v>95.390217573175519</v>
      </c>
    </row>
    <row r="82" spans="17:46" x14ac:dyDescent="0.55000000000000004">
      <c r="Q82">
        <v>75</v>
      </c>
      <c r="R82" s="39">
        <f t="shared" si="45"/>
        <v>210</v>
      </c>
      <c r="S82" s="37">
        <f t="shared" si="46"/>
        <v>1.6799999999999999E-2</v>
      </c>
      <c r="T82" s="37">
        <f t="shared" si="47"/>
        <v>20</v>
      </c>
      <c r="U82" s="40">
        <f t="shared" si="48"/>
        <v>0.19599999999999998</v>
      </c>
      <c r="V82" s="39">
        <f t="shared" si="49"/>
        <v>1</v>
      </c>
      <c r="W82" s="37">
        <f t="shared" si="50"/>
        <v>0.78428209210717026</v>
      </c>
      <c r="X82" s="40">
        <f t="shared" si="51"/>
        <v>0.15908543068321229</v>
      </c>
      <c r="Y82" s="39">
        <f t="shared" si="52"/>
        <v>0.40699641520870278</v>
      </c>
      <c r="Z82" s="37">
        <f t="shared" si="71"/>
        <v>0.40699641520870278</v>
      </c>
      <c r="AA82" s="37">
        <f t="shared" si="72"/>
        <v>0.22822878435860425</v>
      </c>
      <c r="AB82" s="37">
        <v>0</v>
      </c>
      <c r="AC82" s="37">
        <f t="shared" si="53"/>
        <v>3.833704621521742E-2</v>
      </c>
      <c r="AD82" s="40">
        <f t="shared" si="62"/>
        <v>3.833704621521742E-2</v>
      </c>
      <c r="AE82" s="39">
        <f t="shared" si="70"/>
        <v>0.15371929005300536</v>
      </c>
      <c r="AF82" s="37">
        <f t="shared" si="63"/>
        <v>0.20809713736187233</v>
      </c>
      <c r="AG82" s="37">
        <f t="shared" si="54"/>
        <v>2.1219165103320922E-4</v>
      </c>
      <c r="AH82" s="37">
        <f t="shared" si="55"/>
        <v>3.983918696673144E-3</v>
      </c>
      <c r="AI82" s="40">
        <f t="shared" si="64"/>
        <v>4.1961103477063536E-3</v>
      </c>
      <c r="AJ82" s="39">
        <f t="shared" si="65"/>
        <v>3.1180744413909604E-2</v>
      </c>
      <c r="AK82" s="37">
        <f t="shared" si="56"/>
        <v>9.3722779683491589E-2</v>
      </c>
      <c r="AL82" s="37">
        <f t="shared" si="57"/>
        <v>1.5455999999999999E-2</v>
      </c>
      <c r="AM82" s="37">
        <f t="shared" si="58"/>
        <v>9.9132400000000009E-2</v>
      </c>
      <c r="AN82" s="40">
        <f t="shared" si="66"/>
        <v>0.11458840000000001</v>
      </c>
      <c r="AO82" s="39">
        <f t="shared" si="59"/>
        <v>1.7321767431282384E-3</v>
      </c>
      <c r="AP82" s="37">
        <f t="shared" si="60"/>
        <v>1.4276250000000003E-3</v>
      </c>
      <c r="AQ82" s="40">
        <f t="shared" si="61"/>
        <v>8.9999999999999993E-3</v>
      </c>
      <c r="AR82" s="39">
        <f t="shared" si="67"/>
        <v>0.16928135830605201</v>
      </c>
      <c r="AS82" s="37">
        <f t="shared" si="68"/>
        <v>3.5279999999999996</v>
      </c>
      <c r="AT82" s="40">
        <f t="shared" si="69"/>
        <v>95.42146399202872</v>
      </c>
    </row>
    <row r="83" spans="17:46" x14ac:dyDescent="0.55000000000000004">
      <c r="Q83">
        <v>76</v>
      </c>
      <c r="R83" s="39">
        <f t="shared" si="45"/>
        <v>210</v>
      </c>
      <c r="S83" s="37">
        <f t="shared" si="46"/>
        <v>1.7024000000000001E-2</v>
      </c>
      <c r="T83" s="37">
        <f t="shared" si="47"/>
        <v>20</v>
      </c>
      <c r="U83" s="40">
        <f t="shared" si="48"/>
        <v>0.19861333333333334</v>
      </c>
      <c r="V83" s="39">
        <f t="shared" si="49"/>
        <v>1</v>
      </c>
      <c r="W83" s="37">
        <f t="shared" si="50"/>
        <v>0.78949332612758671</v>
      </c>
      <c r="X83" s="40">
        <f t="shared" si="51"/>
        <v>0.16014248836293257</v>
      </c>
      <c r="Y83" s="39">
        <f t="shared" si="52"/>
        <v>0.40970074007658885</v>
      </c>
      <c r="Z83" s="37">
        <f t="shared" si="71"/>
        <v>0.40970074007658885</v>
      </c>
      <c r="AA83" s="37">
        <f t="shared" si="72"/>
        <v>0.23050728936428103</v>
      </c>
      <c r="AB83" s="37">
        <v>0</v>
      </c>
      <c r="AC83" s="37">
        <f t="shared" si="53"/>
        <v>3.9106337291250327E-2</v>
      </c>
      <c r="AD83" s="40">
        <f t="shared" si="62"/>
        <v>3.9106337291250327E-2</v>
      </c>
      <c r="AE83" s="39">
        <f t="shared" si="70"/>
        <v>0.15680390114662043</v>
      </c>
      <c r="AF83" s="37">
        <f t="shared" si="63"/>
        <v>0.21017465957485068</v>
      </c>
      <c r="AG83" s="37">
        <f t="shared" si="54"/>
        <v>2.1644959888428145E-4</v>
      </c>
      <c r="AH83" s="37">
        <f t="shared" si="55"/>
        <v>4.0370376126287874E-3</v>
      </c>
      <c r="AI83" s="40">
        <f t="shared" si="64"/>
        <v>4.2534872115130686E-3</v>
      </c>
      <c r="AJ83" s="39">
        <f t="shared" si="65"/>
        <v>3.1806433422056579E-2</v>
      </c>
      <c r="AK83" s="37">
        <f t="shared" si="56"/>
        <v>9.4658454047507154E-2</v>
      </c>
      <c r="AL83" s="37">
        <f t="shared" si="57"/>
        <v>1.5662080000000002E-2</v>
      </c>
      <c r="AM83" s="37">
        <f t="shared" si="58"/>
        <v>9.9132400000000009E-2</v>
      </c>
      <c r="AN83" s="40">
        <f t="shared" si="66"/>
        <v>0.11479448</v>
      </c>
      <c r="AO83" s="39">
        <f t="shared" si="59"/>
        <v>1.7669355010961748E-3</v>
      </c>
      <c r="AP83" s="37">
        <f t="shared" si="60"/>
        <v>1.4276250000000003E-3</v>
      </c>
      <c r="AQ83" s="40">
        <f t="shared" si="61"/>
        <v>8.9999999999999993E-3</v>
      </c>
      <c r="AR83" s="39">
        <f t="shared" si="67"/>
        <v>0.17034886500385957</v>
      </c>
      <c r="AS83" s="37">
        <f t="shared" si="68"/>
        <v>3.57504</v>
      </c>
      <c r="AT83" s="40">
        <f t="shared" si="69"/>
        <v>95.451770933705603</v>
      </c>
    </row>
    <row r="84" spans="17:46" x14ac:dyDescent="0.55000000000000004">
      <c r="Q84">
        <v>77</v>
      </c>
      <c r="R84" s="39">
        <f t="shared" si="45"/>
        <v>210</v>
      </c>
      <c r="S84" s="37">
        <f t="shared" si="46"/>
        <v>1.7247999999999999E-2</v>
      </c>
      <c r="T84" s="37">
        <f t="shared" si="47"/>
        <v>20</v>
      </c>
      <c r="U84" s="40">
        <f t="shared" si="48"/>
        <v>0.20122666666666666</v>
      </c>
      <c r="V84" s="39">
        <f t="shared" si="49"/>
        <v>1</v>
      </c>
      <c r="W84" s="37">
        <f t="shared" si="50"/>
        <v>0.79467038701589976</v>
      </c>
      <c r="X84" s="40">
        <f t="shared" si="51"/>
        <v>0.16119261429259354</v>
      </c>
      <c r="Y84" s="39">
        <f t="shared" si="52"/>
        <v>0.41238733109283848</v>
      </c>
      <c r="Z84" s="37">
        <f t="shared" si="71"/>
        <v>0.41238733109283848</v>
      </c>
      <c r="AA84" s="37">
        <f t="shared" si="72"/>
        <v>0.23277831135911031</v>
      </c>
      <c r="AB84" s="37">
        <v>0</v>
      </c>
      <c r="AC84" s="37">
        <f t="shared" si="53"/>
        <v>3.9880706288050391E-2</v>
      </c>
      <c r="AD84" s="40">
        <f t="shared" si="62"/>
        <v>3.9880706288050391E-2</v>
      </c>
      <c r="AE84" s="39">
        <f t="shared" si="70"/>
        <v>0.15990887307791946</v>
      </c>
      <c r="AF84" s="37">
        <f t="shared" si="63"/>
        <v>0.21224535883979204</v>
      </c>
      <c r="AG84" s="37">
        <f t="shared" si="54"/>
        <v>2.2073565251025726E-4</v>
      </c>
      <c r="AH84" s="37">
        <f t="shared" si="55"/>
        <v>4.0901565285844281E-3</v>
      </c>
      <c r="AI84" s="40">
        <f t="shared" si="64"/>
        <v>4.3108921810946855E-3</v>
      </c>
      <c r="AJ84" s="39">
        <f t="shared" si="65"/>
        <v>3.2436252465384292E-2</v>
      </c>
      <c r="AK84" s="37">
        <f t="shared" si="56"/>
        <v>9.5591055492482271E-2</v>
      </c>
      <c r="AL84" s="37">
        <f t="shared" si="57"/>
        <v>1.5868159999999999E-2</v>
      </c>
      <c r="AM84" s="37">
        <f t="shared" si="58"/>
        <v>9.9132400000000009E-2</v>
      </c>
      <c r="AN84" s="40">
        <f t="shared" si="66"/>
        <v>0.11500056</v>
      </c>
      <c r="AO84" s="39">
        <f t="shared" si="59"/>
        <v>1.8019236939612834E-3</v>
      </c>
      <c r="AP84" s="37">
        <f t="shared" si="60"/>
        <v>1.4276250000000003E-3</v>
      </c>
      <c r="AQ84" s="40">
        <f t="shared" si="61"/>
        <v>8.9999999999999993E-3</v>
      </c>
      <c r="AR84" s="39">
        <f t="shared" si="67"/>
        <v>0.17142170716310637</v>
      </c>
      <c r="AS84" s="37">
        <f t="shared" si="68"/>
        <v>3.62208</v>
      </c>
      <c r="AT84" s="40">
        <f t="shared" si="69"/>
        <v>95.481174903930636</v>
      </c>
    </row>
    <row r="85" spans="17:46" x14ac:dyDescent="0.55000000000000004">
      <c r="Q85">
        <v>78</v>
      </c>
      <c r="R85" s="39">
        <f t="shared" si="45"/>
        <v>210</v>
      </c>
      <c r="S85" s="37">
        <f t="shared" si="46"/>
        <v>1.7472000000000001E-2</v>
      </c>
      <c r="T85" s="37">
        <f t="shared" si="47"/>
        <v>20</v>
      </c>
      <c r="U85" s="40">
        <f t="shared" si="48"/>
        <v>0.20384000000000002</v>
      </c>
      <c r="V85" s="39">
        <f t="shared" si="49"/>
        <v>1</v>
      </c>
      <c r="W85" s="37">
        <f t="shared" si="50"/>
        <v>0.79981393836316717</v>
      </c>
      <c r="X85" s="40">
        <f t="shared" si="51"/>
        <v>0.16223594307640243</v>
      </c>
      <c r="Y85" s="39">
        <f t="shared" si="52"/>
        <v>0.41505653262229741</v>
      </c>
      <c r="Z85" s="37">
        <f t="shared" si="71"/>
        <v>0.41505653262229741</v>
      </c>
      <c r="AA85" s="37">
        <f t="shared" si="72"/>
        <v>0.23504197163040291</v>
      </c>
      <c r="AB85" s="37">
        <v>0</v>
      </c>
      <c r="AC85" s="37">
        <f t="shared" si="53"/>
        <v>4.0660120122939646E-2</v>
      </c>
      <c r="AD85" s="40">
        <f t="shared" si="62"/>
        <v>4.0660120122939646E-2</v>
      </c>
      <c r="AE85" s="39">
        <f t="shared" si="70"/>
        <v>0.16303407319594801</v>
      </c>
      <c r="AF85" s="37">
        <f t="shared" si="63"/>
        <v>0.21430934574547361</v>
      </c>
      <c r="AG85" s="37">
        <f t="shared" si="54"/>
        <v>2.2504962880187947E-4</v>
      </c>
      <c r="AH85" s="37">
        <f t="shared" si="55"/>
        <v>4.1432754445400715E-3</v>
      </c>
      <c r="AI85" s="40">
        <f t="shared" si="64"/>
        <v>4.3683250733419507E-3</v>
      </c>
      <c r="AJ85" s="39">
        <f t="shared" si="65"/>
        <v>3.3070174636693872E-2</v>
      </c>
      <c r="AK85" s="37">
        <f t="shared" si="56"/>
        <v>9.6520633825385616E-2</v>
      </c>
      <c r="AL85" s="37">
        <f t="shared" si="57"/>
        <v>1.6074240000000004E-2</v>
      </c>
      <c r="AM85" s="37">
        <f t="shared" si="58"/>
        <v>9.9132400000000009E-2</v>
      </c>
      <c r="AN85" s="40">
        <f t="shared" si="66"/>
        <v>0.11520664000000001</v>
      </c>
      <c r="AO85" s="39">
        <f t="shared" si="59"/>
        <v>1.8371398269541178E-3</v>
      </c>
      <c r="AP85" s="37">
        <f t="shared" si="60"/>
        <v>1.4276250000000003E-3</v>
      </c>
      <c r="AQ85" s="40">
        <f t="shared" si="61"/>
        <v>8.9999999999999993E-3</v>
      </c>
      <c r="AR85" s="39">
        <f t="shared" si="67"/>
        <v>0.17249985002323573</v>
      </c>
      <c r="AS85" s="37">
        <f t="shared" si="68"/>
        <v>3.6691200000000004</v>
      </c>
      <c r="AT85" s="40">
        <f t="shared" si="69"/>
        <v>95.509710571122952</v>
      </c>
    </row>
    <row r="86" spans="17:46" x14ac:dyDescent="0.55000000000000004">
      <c r="Q86">
        <v>79</v>
      </c>
      <c r="R86" s="39">
        <f t="shared" si="45"/>
        <v>210</v>
      </c>
      <c r="S86" s="37">
        <f t="shared" si="46"/>
        <v>1.7696E-2</v>
      </c>
      <c r="T86" s="37">
        <f t="shared" si="47"/>
        <v>20</v>
      </c>
      <c r="U86" s="40">
        <f t="shared" si="48"/>
        <v>0.20645333333333332</v>
      </c>
      <c r="V86" s="39">
        <f t="shared" si="49"/>
        <v>1</v>
      </c>
      <c r="W86" s="37">
        <f t="shared" si="50"/>
        <v>0.80492462255791386</v>
      </c>
      <c r="X86" s="40">
        <f t="shared" si="51"/>
        <v>0.1632726050178</v>
      </c>
      <c r="Y86" s="39">
        <f t="shared" si="52"/>
        <v>0.41770867802694028</v>
      </c>
      <c r="Z86" s="37">
        <f t="shared" si="71"/>
        <v>0.41770867802694028</v>
      </c>
      <c r="AA86" s="37">
        <f t="shared" si="72"/>
        <v>0.23729838797211952</v>
      </c>
      <c r="AB86" s="37">
        <v>0</v>
      </c>
      <c r="AC86" s="37">
        <f t="shared" si="53"/>
        <v>4.1444546351546582E-2</v>
      </c>
      <c r="AD86" s="40">
        <f t="shared" si="62"/>
        <v>4.1444546351546582E-2</v>
      </c>
      <c r="AE86" s="39">
        <f t="shared" si="70"/>
        <v>0.16617937140915651</v>
      </c>
      <c r="AF86" s="37">
        <f t="shared" si="63"/>
        <v>0.21636672769546461</v>
      </c>
      <c r="AG86" s="37">
        <f t="shared" si="54"/>
        <v>2.2939134818285238E-4</v>
      </c>
      <c r="AH86" s="37">
        <f t="shared" si="55"/>
        <v>4.1963943604957123E-3</v>
      </c>
      <c r="AI86" s="40">
        <f t="shared" si="64"/>
        <v>4.4257857086785644E-3</v>
      </c>
      <c r="AJ86" s="39">
        <f t="shared" si="65"/>
        <v>3.3708173547941533E-2</v>
      </c>
      <c r="AK86" s="37">
        <f t="shared" si="56"/>
        <v>9.7447237418631996E-2</v>
      </c>
      <c r="AL86" s="37">
        <f t="shared" si="57"/>
        <v>1.6280320000000001E-2</v>
      </c>
      <c r="AM86" s="37">
        <f t="shared" si="58"/>
        <v>9.9132400000000009E-2</v>
      </c>
      <c r="AN86" s="40">
        <f t="shared" si="66"/>
        <v>0.11541272000000001</v>
      </c>
      <c r="AO86" s="39">
        <f t="shared" si="59"/>
        <v>1.8725824341457335E-3</v>
      </c>
      <c r="AP86" s="37">
        <f t="shared" si="60"/>
        <v>1.4276250000000003E-3</v>
      </c>
      <c r="AQ86" s="40">
        <f t="shared" si="61"/>
        <v>8.9999999999999993E-3</v>
      </c>
      <c r="AR86" s="39">
        <f t="shared" si="67"/>
        <v>0.17358325949437087</v>
      </c>
      <c r="AS86" s="37">
        <f t="shared" si="68"/>
        <v>3.7161599999999999</v>
      </c>
      <c r="AT86" s="40">
        <f t="shared" si="69"/>
        <v>95.537410879993786</v>
      </c>
    </row>
    <row r="87" spans="17:46" x14ac:dyDescent="0.55000000000000004">
      <c r="Q87">
        <v>80</v>
      </c>
      <c r="R87" s="39">
        <f t="shared" si="45"/>
        <v>210</v>
      </c>
      <c r="S87" s="37">
        <f t="shared" si="46"/>
        <v>1.7919999999999998E-2</v>
      </c>
      <c r="T87" s="37">
        <f t="shared" si="47"/>
        <v>20</v>
      </c>
      <c r="U87" s="40">
        <f t="shared" si="48"/>
        <v>0.20906666666666665</v>
      </c>
      <c r="V87" s="39">
        <f t="shared" si="49"/>
        <v>1</v>
      </c>
      <c r="W87" s="37">
        <f t="shared" si="50"/>
        <v>0.8100030617226085</v>
      </c>
      <c r="X87" s="40">
        <f t="shared" si="51"/>
        <v>0.16430272630941753</v>
      </c>
      <c r="Y87" s="39">
        <f t="shared" si="52"/>
        <v>0.42034409015184671</v>
      </c>
      <c r="Z87" s="37">
        <f t="shared" si="71"/>
        <v>0.42034409015184671</v>
      </c>
      <c r="AA87" s="37">
        <f t="shared" si="72"/>
        <v>0.23954767482837253</v>
      </c>
      <c r="AB87" s="37">
        <v>0</v>
      </c>
      <c r="AC87" s="37">
        <f t="shared" si="53"/>
        <v>4.2233953147540255E-2</v>
      </c>
      <c r="AD87" s="40">
        <f t="shared" si="62"/>
        <v>4.2233953147540255E-2</v>
      </c>
      <c r="AE87" s="39">
        <f t="shared" si="70"/>
        <v>0.16934464010413999</v>
      </c>
      <c r="AF87" s="37">
        <f t="shared" si="63"/>
        <v>0.21841760903896976</v>
      </c>
      <c r="AG87" s="37">
        <f t="shared" si="54"/>
        <v>2.3376063449767121E-4</v>
      </c>
      <c r="AH87" s="37">
        <f t="shared" si="55"/>
        <v>4.2495132764513539E-3</v>
      </c>
      <c r="AI87" s="40">
        <f t="shared" si="64"/>
        <v>4.4832739109490248E-3</v>
      </c>
      <c r="AJ87" s="39">
        <f t="shared" si="65"/>
        <v>3.4350223313755555E-2</v>
      </c>
      <c r="AK87" s="37">
        <f t="shared" si="56"/>
        <v>9.8370913269011748E-2</v>
      </c>
      <c r="AL87" s="37">
        <f t="shared" si="57"/>
        <v>1.6486399999999998E-2</v>
      </c>
      <c r="AM87" s="37">
        <f t="shared" si="58"/>
        <v>9.9132400000000009E-2</v>
      </c>
      <c r="AN87" s="40">
        <f t="shared" si="66"/>
        <v>0.11561880000000001</v>
      </c>
      <c r="AO87" s="39">
        <f t="shared" si="59"/>
        <v>1.9082500775320097E-3</v>
      </c>
      <c r="AP87" s="37">
        <f t="shared" si="60"/>
        <v>1.4276250000000003E-3</v>
      </c>
      <c r="AQ87" s="40">
        <f t="shared" si="61"/>
        <v>8.9999999999999993E-3</v>
      </c>
      <c r="AR87" s="39">
        <f t="shared" si="67"/>
        <v>0.1746719021360213</v>
      </c>
      <c r="AS87" s="37">
        <f t="shared" si="68"/>
        <v>3.7631999999999999</v>
      </c>
      <c r="AT87" s="40">
        <f t="shared" si="69"/>
        <v>95.56430715683581</v>
      </c>
    </row>
    <row r="88" spans="17:46" x14ac:dyDescent="0.55000000000000004">
      <c r="Q88">
        <v>81</v>
      </c>
      <c r="R88" s="39">
        <f t="shared" si="45"/>
        <v>210</v>
      </c>
      <c r="S88" s="37">
        <f t="shared" si="46"/>
        <v>1.8144E-2</v>
      </c>
      <c r="T88" s="37">
        <f t="shared" si="47"/>
        <v>20</v>
      </c>
      <c r="U88" s="40">
        <f t="shared" si="48"/>
        <v>0.21168000000000001</v>
      </c>
      <c r="V88" s="39">
        <f t="shared" si="49"/>
        <v>1</v>
      </c>
      <c r="W88" s="37">
        <f t="shared" si="50"/>
        <v>0.8150498585976198</v>
      </c>
      <c r="X88" s="40">
        <f t="shared" si="51"/>
        <v>0.16532642921238036</v>
      </c>
      <c r="Y88" s="39">
        <f t="shared" si="52"/>
        <v>0.42296308178392311</v>
      </c>
      <c r="Z88" s="37">
        <f t="shared" si="71"/>
        <v>0.42296308178392311</v>
      </c>
      <c r="AA88" s="37">
        <f t="shared" si="72"/>
        <v>0.24178994342931426</v>
      </c>
      <c r="AB88" s="37">
        <v>0</v>
      </c>
      <c r="AC88" s="37">
        <f t="shared" si="53"/>
        <v>4.3028309283253525E-2</v>
      </c>
      <c r="AD88" s="40">
        <f t="shared" si="62"/>
        <v>4.3028309283253525E-2</v>
      </c>
      <c r="AE88" s="39">
        <f t="shared" si="70"/>
        <v>0.17252975406794416</v>
      </c>
      <c r="AF88" s="37">
        <f t="shared" si="63"/>
        <v>0.22046209119473167</v>
      </c>
      <c r="AG88" s="37">
        <f t="shared" si="54"/>
        <v>2.3815731490437554E-4</v>
      </c>
      <c r="AH88" s="37">
        <f t="shared" si="55"/>
        <v>4.3026321924069964E-3</v>
      </c>
      <c r="AI88" s="40">
        <f t="shared" si="64"/>
        <v>4.5407895073113717E-3</v>
      </c>
      <c r="AJ88" s="39">
        <f t="shared" si="65"/>
        <v>3.4996298535676679E-2</v>
      </c>
      <c r="AK88" s="37">
        <f t="shared" si="56"/>
        <v>9.9291707053493702E-2</v>
      </c>
      <c r="AL88" s="37">
        <f t="shared" si="57"/>
        <v>1.6692480000000003E-2</v>
      </c>
      <c r="AM88" s="37">
        <f t="shared" si="58"/>
        <v>9.9132400000000009E-2</v>
      </c>
      <c r="AN88" s="40">
        <f t="shared" si="66"/>
        <v>0.11582488000000002</v>
      </c>
      <c r="AO88" s="39">
        <f t="shared" si="59"/>
        <v>1.9441413461581676E-3</v>
      </c>
      <c r="AP88" s="37">
        <f t="shared" si="60"/>
        <v>1.4276250000000003E-3</v>
      </c>
      <c r="AQ88" s="40">
        <f t="shared" si="61"/>
        <v>8.9999999999999993E-3</v>
      </c>
      <c r="AR88" s="39">
        <f t="shared" si="67"/>
        <v>0.17576574513672308</v>
      </c>
      <c r="AS88" s="37">
        <f t="shared" si="68"/>
        <v>3.8102400000000003</v>
      </c>
      <c r="AT88" s="40">
        <f t="shared" si="69"/>
        <v>95.590429207203911</v>
      </c>
    </row>
    <row r="89" spans="17:46" x14ac:dyDescent="0.55000000000000004">
      <c r="Q89">
        <v>82</v>
      </c>
      <c r="R89" s="39">
        <f t="shared" si="45"/>
        <v>210</v>
      </c>
      <c r="S89" s="37">
        <f t="shared" si="46"/>
        <v>1.8367999999999999E-2</v>
      </c>
      <c r="T89" s="37">
        <f t="shared" si="47"/>
        <v>20</v>
      </c>
      <c r="U89" s="40">
        <f t="shared" si="48"/>
        <v>0.21429333333333334</v>
      </c>
      <c r="V89" s="39">
        <f t="shared" si="49"/>
        <v>1</v>
      </c>
      <c r="W89" s="37">
        <f t="shared" si="50"/>
        <v>0.82006559737620988</v>
      </c>
      <c r="X89" s="40">
        <f t="shared" si="51"/>
        <v>0.16634383222567964</v>
      </c>
      <c r="Y89" s="39">
        <f t="shared" si="52"/>
        <v>0.42556595608521536</v>
      </c>
      <c r="Z89" s="37">
        <f t="shared" si="71"/>
        <v>0.42556595608521536</v>
      </c>
      <c r="AA89" s="37">
        <f t="shared" si="72"/>
        <v>0.2440253019199061</v>
      </c>
      <c r="AB89" s="37">
        <v>0</v>
      </c>
      <c r="AC89" s="37">
        <f t="shared" si="53"/>
        <v>4.3827584111146574E-2</v>
      </c>
      <c r="AD89" s="40">
        <f t="shared" si="62"/>
        <v>4.3827584111146574E-2</v>
      </c>
      <c r="AE89" s="39">
        <f t="shared" si="70"/>
        <v>0.17573459041373926</v>
      </c>
      <c r="AF89" s="37">
        <f t="shared" si="63"/>
        <v>0.22250027276844067</v>
      </c>
      <c r="AG89" s="37">
        <f t="shared" si="54"/>
        <v>2.4258121977194949E-4</v>
      </c>
      <c r="AH89" s="37">
        <f t="shared" si="55"/>
        <v>4.3557511083626389E-3</v>
      </c>
      <c r="AI89" s="40">
        <f t="shared" si="64"/>
        <v>4.5983323281345882E-3</v>
      </c>
      <c r="AJ89" s="39">
        <f t="shared" si="65"/>
        <v>3.5646374287081645E-2</v>
      </c>
      <c r="AK89" s="37">
        <f t="shared" si="56"/>
        <v>0.10020966318210443</v>
      </c>
      <c r="AL89" s="37">
        <f t="shared" si="57"/>
        <v>1.689856E-2</v>
      </c>
      <c r="AM89" s="37">
        <f t="shared" si="58"/>
        <v>9.9132400000000009E-2</v>
      </c>
      <c r="AN89" s="40">
        <f t="shared" si="66"/>
        <v>0.11603096000000002</v>
      </c>
      <c r="AO89" s="39">
        <f t="shared" si="59"/>
        <v>1.9802548552812198E-3</v>
      </c>
      <c r="AP89" s="37">
        <f t="shared" si="60"/>
        <v>1.4276250000000003E-3</v>
      </c>
      <c r="AQ89" s="40">
        <f t="shared" si="61"/>
        <v>8.9999999999999993E-3</v>
      </c>
      <c r="AR89" s="39">
        <f t="shared" si="67"/>
        <v>0.17686475629456239</v>
      </c>
      <c r="AS89" s="37">
        <f t="shared" si="68"/>
        <v>3.8572799999999998</v>
      </c>
      <c r="AT89" s="40">
        <f t="shared" si="69"/>
        <v>95.615805406620652</v>
      </c>
    </row>
    <row r="90" spans="17:46" x14ac:dyDescent="0.55000000000000004">
      <c r="Q90">
        <v>83</v>
      </c>
      <c r="R90" s="39">
        <f t="shared" si="45"/>
        <v>210</v>
      </c>
      <c r="S90" s="37">
        <f t="shared" si="46"/>
        <v>1.8592000000000001E-2</v>
      </c>
      <c r="T90" s="37">
        <f t="shared" si="47"/>
        <v>20</v>
      </c>
      <c r="U90" s="40">
        <f t="shared" si="48"/>
        <v>0.21690666666666669</v>
      </c>
      <c r="V90" s="39">
        <f t="shared" si="49"/>
        <v>1</v>
      </c>
      <c r="W90" s="37">
        <f t="shared" si="50"/>
        <v>0.82505084449384092</v>
      </c>
      <c r="X90" s="40">
        <f t="shared" si="51"/>
        <v>0.16735505024627698</v>
      </c>
      <c r="Y90" s="39">
        <f t="shared" si="52"/>
        <v>0.42815300700251219</v>
      </c>
      <c r="Z90" s="37">
        <f t="shared" si="71"/>
        <v>0.42815300700251219</v>
      </c>
      <c r="AA90" s="37">
        <f t="shared" si="72"/>
        <v>0.24625385548202247</v>
      </c>
      <c r="AB90" s="37">
        <v>0</v>
      </c>
      <c r="AC90" s="37">
        <f t="shared" si="53"/>
        <v>4.4631747546063957E-2</v>
      </c>
      <c r="AD90" s="40">
        <f t="shared" si="62"/>
        <v>4.4631747546063957E-2</v>
      </c>
      <c r="AE90" s="39">
        <f t="shared" si="70"/>
        <v>0.1789590285096774</v>
      </c>
      <c r="AF90" s="37">
        <f t="shared" si="63"/>
        <v>0.22453224966406898</v>
      </c>
      <c r="AG90" s="37">
        <f t="shared" si="54"/>
        <v>2.4703218258211832E-4</v>
      </c>
      <c r="AH90" s="37">
        <f t="shared" si="55"/>
        <v>4.4088700243182805E-3</v>
      </c>
      <c r="AI90" s="40">
        <f t="shared" si="64"/>
        <v>4.6559022069003987E-3</v>
      </c>
      <c r="AJ90" s="39">
        <f t="shared" si="65"/>
        <v>3.6300426098752454E-2</v>
      </c>
      <c r="AK90" s="37">
        <f t="shared" si="56"/>
        <v>0.10112482484807078</v>
      </c>
      <c r="AL90" s="37">
        <f t="shared" si="57"/>
        <v>1.7104640000000001E-2</v>
      </c>
      <c r="AM90" s="37">
        <f t="shared" si="58"/>
        <v>9.9132400000000009E-2</v>
      </c>
      <c r="AN90" s="40">
        <f t="shared" si="66"/>
        <v>0.11623704000000001</v>
      </c>
      <c r="AO90" s="39">
        <f t="shared" si="59"/>
        <v>2.0165892455683123E-3</v>
      </c>
      <c r="AP90" s="37">
        <f t="shared" si="60"/>
        <v>1.4276250000000003E-3</v>
      </c>
      <c r="AQ90" s="40">
        <f t="shared" si="61"/>
        <v>8.9999999999999993E-3</v>
      </c>
      <c r="AR90" s="39">
        <f t="shared" si="67"/>
        <v>0.17796890399853268</v>
      </c>
      <c r="AS90" s="37">
        <f t="shared" si="68"/>
        <v>3.9043200000000002</v>
      </c>
      <c r="AT90" s="40">
        <f t="shared" si="69"/>
        <v>95.640462784879944</v>
      </c>
    </row>
    <row r="91" spans="17:46" x14ac:dyDescent="0.55000000000000004">
      <c r="Q91">
        <v>84</v>
      </c>
      <c r="R91" s="39">
        <f t="shared" si="45"/>
        <v>210</v>
      </c>
      <c r="S91" s="37">
        <f t="shared" si="46"/>
        <v>1.8815999999999999E-2</v>
      </c>
      <c r="T91" s="37">
        <f t="shared" si="47"/>
        <v>20</v>
      </c>
      <c r="U91" s="40">
        <f t="shared" si="48"/>
        <v>0.21951999999999999</v>
      </c>
      <c r="V91" s="39">
        <f t="shared" si="49"/>
        <v>1</v>
      </c>
      <c r="W91" s="37">
        <f t="shared" si="50"/>
        <v>0.83000614937481032</v>
      </c>
      <c r="X91" s="40">
        <f t="shared" si="51"/>
        <v>0.16836019472055361</v>
      </c>
      <c r="Y91" s="39">
        <f t="shared" si="52"/>
        <v>0.43072451965480557</v>
      </c>
      <c r="Z91" s="37">
        <f t="shared" si="71"/>
        <v>0.43072451965480557</v>
      </c>
      <c r="AA91" s="37">
        <f t="shared" si="72"/>
        <v>0.24847570645031172</v>
      </c>
      <c r="AB91" s="37">
        <v>0</v>
      </c>
      <c r="AC91" s="37">
        <f t="shared" si="53"/>
        <v>4.5440770048242367E-2</v>
      </c>
      <c r="AD91" s="40">
        <f t="shared" si="62"/>
        <v>4.5440770048242367E-2</v>
      </c>
      <c r="AE91" s="39">
        <f t="shared" si="70"/>
        <v>0.18220294991075836</v>
      </c>
      <c r="AF91" s="37">
        <f t="shared" si="63"/>
        <v>0.2265581151895113</v>
      </c>
      <c r="AG91" s="37">
        <f t="shared" si="54"/>
        <v>2.5151003983529699E-4</v>
      </c>
      <c r="AH91" s="37">
        <f t="shared" si="55"/>
        <v>4.4619889402739222E-3</v>
      </c>
      <c r="AI91" s="40">
        <f t="shared" si="64"/>
        <v>4.7134989801092195E-3</v>
      </c>
      <c r="AJ91" s="39">
        <f t="shared" si="65"/>
        <v>3.6958429945055923E-2</v>
      </c>
      <c r="AK91" s="37">
        <f t="shared" si="56"/>
        <v>0.10203723407539828</v>
      </c>
      <c r="AL91" s="37">
        <f t="shared" si="57"/>
        <v>1.7310720000000002E-2</v>
      </c>
      <c r="AM91" s="37">
        <f t="shared" si="58"/>
        <v>9.9132400000000009E-2</v>
      </c>
      <c r="AN91" s="40">
        <f t="shared" si="66"/>
        <v>0.11644312000000001</v>
      </c>
      <c r="AO91" s="39">
        <f t="shared" si="59"/>
        <v>2.0531431823289548E-3</v>
      </c>
      <c r="AP91" s="37">
        <f t="shared" si="60"/>
        <v>1.4276250000000003E-3</v>
      </c>
      <c r="AQ91" s="40">
        <f t="shared" si="61"/>
        <v>8.9999999999999993E-3</v>
      </c>
      <c r="AR91" s="39">
        <f t="shared" si="67"/>
        <v>0.17907815721068054</v>
      </c>
      <c r="AS91" s="37">
        <f t="shared" si="68"/>
        <v>3.9513599999999998</v>
      </c>
      <c r="AT91" s="40">
        <f t="shared" si="69"/>
        <v>95.664427104469397</v>
      </c>
    </row>
    <row r="92" spans="17:46" x14ac:dyDescent="0.55000000000000004">
      <c r="Q92">
        <v>85</v>
      </c>
      <c r="R92" s="39">
        <f t="shared" si="45"/>
        <v>210</v>
      </c>
      <c r="S92" s="37">
        <f t="shared" si="46"/>
        <v>1.9040000000000001E-2</v>
      </c>
      <c r="T92" s="37">
        <f t="shared" si="47"/>
        <v>20</v>
      </c>
      <c r="U92" s="40">
        <f t="shared" si="48"/>
        <v>0.22213333333333335</v>
      </c>
      <c r="V92" s="39">
        <f t="shared" si="49"/>
        <v>1</v>
      </c>
      <c r="W92" s="37">
        <f t="shared" si="50"/>
        <v>0.8349320451390041</v>
      </c>
      <c r="X92" s="40">
        <f t="shared" si="51"/>
        <v>0.16935937378766958</v>
      </c>
      <c r="Y92" s="39">
        <f t="shared" si="52"/>
        <v>0.433280770700054</v>
      </c>
      <c r="Z92" s="37">
        <f t="shared" si="71"/>
        <v>0.433280770700054</v>
      </c>
      <c r="AA92" s="37">
        <f t="shared" si="72"/>
        <v>0.25069095442220268</v>
      </c>
      <c r="AB92" s="37">
        <v>0</v>
      </c>
      <c r="AC92" s="37">
        <f t="shared" si="53"/>
        <v>4.6254622607028568E-2</v>
      </c>
      <c r="AD92" s="40">
        <f t="shared" si="62"/>
        <v>4.6254622607028568E-2</v>
      </c>
      <c r="AE92" s="39">
        <f t="shared" si="70"/>
        <v>0.18546623829354411</v>
      </c>
      <c r="AF92" s="37">
        <f t="shared" si="63"/>
        <v>0.22857796015688792</v>
      </c>
      <c r="AG92" s="37">
        <f t="shared" si="54"/>
        <v>2.5601463096047087E-4</v>
      </c>
      <c r="AH92" s="37">
        <f t="shared" si="55"/>
        <v>4.5151078562295638E-3</v>
      </c>
      <c r="AI92" s="40">
        <f t="shared" si="64"/>
        <v>4.7711224871900349E-3</v>
      </c>
      <c r="AJ92" s="39">
        <f t="shared" si="65"/>
        <v>3.7620362230701004E-2</v>
      </c>
      <c r="AK92" s="37">
        <f t="shared" si="56"/>
        <v>0.10294693176404575</v>
      </c>
      <c r="AL92" s="37">
        <f t="shared" si="57"/>
        <v>1.7516800000000003E-2</v>
      </c>
      <c r="AM92" s="37">
        <f t="shared" si="58"/>
        <v>9.9132400000000009E-2</v>
      </c>
      <c r="AN92" s="40">
        <f t="shared" si="66"/>
        <v>0.11664920000000001</v>
      </c>
      <c r="AO92" s="39">
        <f t="shared" si="59"/>
        <v>2.0899153547793538E-3</v>
      </c>
      <c r="AP92" s="37">
        <f t="shared" si="60"/>
        <v>1.4276250000000003E-3</v>
      </c>
      <c r="AQ92" s="40">
        <f t="shared" si="61"/>
        <v>8.9999999999999993E-3</v>
      </c>
      <c r="AR92" s="39">
        <f t="shared" si="67"/>
        <v>0.18019248544899796</v>
      </c>
      <c r="AS92" s="37">
        <f t="shared" si="68"/>
        <v>3.9984000000000002</v>
      </c>
      <c r="AT92" s="40">
        <f t="shared" si="69"/>
        <v>95.687722933584027</v>
      </c>
    </row>
    <row r="93" spans="17:46" x14ac:dyDescent="0.55000000000000004">
      <c r="Q93">
        <v>86</v>
      </c>
      <c r="R93" s="39">
        <f t="shared" si="45"/>
        <v>210</v>
      </c>
      <c r="S93" s="37">
        <f t="shared" si="46"/>
        <v>1.9264E-2</v>
      </c>
      <c r="T93" s="37">
        <f t="shared" si="47"/>
        <v>20</v>
      </c>
      <c r="U93" s="40">
        <f t="shared" si="48"/>
        <v>0.22474666666666668</v>
      </c>
      <c r="V93" s="39">
        <f t="shared" si="49"/>
        <v>1</v>
      </c>
      <c r="W93" s="37">
        <f t="shared" si="50"/>
        <v>0.83982904927133828</v>
      </c>
      <c r="X93" s="40">
        <f t="shared" si="51"/>
        <v>0.17035269241535461</v>
      </c>
      <c r="Y93" s="39">
        <f t="shared" si="52"/>
        <v>0.43582202868258341</v>
      </c>
      <c r="Z93" s="37">
        <f t="shared" si="71"/>
        <v>0.43582202868258341</v>
      </c>
      <c r="AA93" s="37">
        <f t="shared" si="72"/>
        <v>0.25289969636241855</v>
      </c>
      <c r="AB93" s="37">
        <v>0</v>
      </c>
      <c r="AC93" s="37">
        <f t="shared" si="53"/>
        <v>4.7073276725269779E-2</v>
      </c>
      <c r="AD93" s="40">
        <f t="shared" si="62"/>
        <v>4.7073276725269779E-2</v>
      </c>
      <c r="AE93" s="39">
        <f t="shared" si="70"/>
        <v>0.18874877939356904</v>
      </c>
      <c r="AF93" s="37">
        <f t="shared" si="63"/>
        <v>0.2305918729778397</v>
      </c>
      <c r="AG93" s="37">
        <f t="shared" si="54"/>
        <v>2.6054579822879799E-4</v>
      </c>
      <c r="AH93" s="37">
        <f t="shared" si="55"/>
        <v>4.5682267721852063E-3</v>
      </c>
      <c r="AI93" s="40">
        <f t="shared" si="64"/>
        <v>4.8287725704140045E-3</v>
      </c>
      <c r="AJ93" s="39">
        <f t="shared" si="65"/>
        <v>3.8286199778042901E-2</v>
      </c>
      <c r="AK93" s="37">
        <f t="shared" si="56"/>
        <v>0.10385395773284412</v>
      </c>
      <c r="AL93" s="37">
        <f t="shared" si="57"/>
        <v>1.772288E-2</v>
      </c>
      <c r="AM93" s="37">
        <f t="shared" si="58"/>
        <v>9.9132400000000009E-2</v>
      </c>
      <c r="AN93" s="40">
        <f t="shared" si="66"/>
        <v>0.11685528000000001</v>
      </c>
      <c r="AO93" s="39">
        <f t="shared" si="59"/>
        <v>2.1269044753371262E-3</v>
      </c>
      <c r="AP93" s="37">
        <f t="shared" si="60"/>
        <v>1.4276250000000003E-3</v>
      </c>
      <c r="AQ93" s="40">
        <f t="shared" si="61"/>
        <v>8.9999999999999993E-3</v>
      </c>
      <c r="AR93" s="39">
        <f t="shared" si="67"/>
        <v>0.18131185877102091</v>
      </c>
      <c r="AS93" s="37">
        <f t="shared" si="68"/>
        <v>4.0454400000000001</v>
      </c>
      <c r="AT93" s="40">
        <f t="shared" si="69"/>
        <v>95.710373714161236</v>
      </c>
    </row>
    <row r="94" spans="17:46" x14ac:dyDescent="0.55000000000000004">
      <c r="Q94">
        <v>87</v>
      </c>
      <c r="R94" s="39">
        <f t="shared" si="45"/>
        <v>210</v>
      </c>
      <c r="S94" s="37">
        <f t="shared" si="46"/>
        <v>1.9487999999999998E-2</v>
      </c>
      <c r="T94" s="37">
        <f t="shared" si="47"/>
        <v>20</v>
      </c>
      <c r="U94" s="40">
        <f t="shared" si="48"/>
        <v>0.22735999999999995</v>
      </c>
      <c r="V94" s="39">
        <f t="shared" si="49"/>
        <v>1</v>
      </c>
      <c r="W94" s="37">
        <f t="shared" si="50"/>
        <v>0.84469766425627091</v>
      </c>
      <c r="X94" s="40">
        <f t="shared" si="51"/>
        <v>0.17134025252861412</v>
      </c>
      <c r="Y94" s="39">
        <f t="shared" si="52"/>
        <v>0.4383485543623617</v>
      </c>
      <c r="Z94" s="37">
        <f t="shared" si="71"/>
        <v>0.4383485543623617</v>
      </c>
      <c r="AA94" s="37">
        <f t="shared" si="72"/>
        <v>0.25510202670233256</v>
      </c>
      <c r="AB94" s="37">
        <v>0</v>
      </c>
      <c r="AC94" s="37">
        <f t="shared" si="53"/>
        <v>4.7896704404341274E-2</v>
      </c>
      <c r="AD94" s="40">
        <f t="shared" si="62"/>
        <v>4.7896704404341274E-2</v>
      </c>
      <c r="AE94" s="39">
        <f t="shared" si="70"/>
        <v>0.1920504609453057</v>
      </c>
      <c r="AF94" s="37">
        <f t="shared" si="63"/>
        <v>0.23259993975411972</v>
      </c>
      <c r="AG94" s="37">
        <f t="shared" si="54"/>
        <v>2.6510338667073865E-4</v>
      </c>
      <c r="AH94" s="37">
        <f t="shared" si="55"/>
        <v>4.6213456881408462E-3</v>
      </c>
      <c r="AI94" s="40">
        <f t="shared" si="64"/>
        <v>4.8864490748115851E-3</v>
      </c>
      <c r="AJ94" s="39">
        <f t="shared" si="65"/>
        <v>3.8955919814905697E-2</v>
      </c>
      <c r="AK94" s="37">
        <f t="shared" si="56"/>
        <v>0.10475835076029726</v>
      </c>
      <c r="AL94" s="37">
        <f t="shared" si="57"/>
        <v>1.7928960000000001E-2</v>
      </c>
      <c r="AM94" s="37">
        <f t="shared" si="58"/>
        <v>9.9132400000000009E-2</v>
      </c>
      <c r="AN94" s="40">
        <f t="shared" si="66"/>
        <v>0.11706136</v>
      </c>
      <c r="AO94" s="39">
        <f t="shared" si="59"/>
        <v>2.1641092789448052E-3</v>
      </c>
      <c r="AP94" s="37">
        <f t="shared" si="60"/>
        <v>1.4276250000000003E-3</v>
      </c>
      <c r="AQ94" s="40">
        <f t="shared" si="61"/>
        <v>8.9999999999999993E-3</v>
      </c>
      <c r="AR94" s="39">
        <f t="shared" si="67"/>
        <v>0.18243624775809766</v>
      </c>
      <c r="AS94" s="37">
        <f t="shared" si="68"/>
        <v>4.0924799999999992</v>
      </c>
      <c r="AT94" s="40">
        <f t="shared" si="69"/>
        <v>95.732401825327614</v>
      </c>
    </row>
    <row r="95" spans="17:46" x14ac:dyDescent="0.55000000000000004">
      <c r="Q95">
        <v>88</v>
      </c>
      <c r="R95" s="39">
        <f t="shared" si="45"/>
        <v>210</v>
      </c>
      <c r="S95" s="37">
        <f t="shared" si="46"/>
        <v>1.9712E-2</v>
      </c>
      <c r="T95" s="37">
        <f t="shared" si="47"/>
        <v>20</v>
      </c>
      <c r="U95" s="40">
        <f t="shared" si="48"/>
        <v>0.22997333333333334</v>
      </c>
      <c r="V95" s="39">
        <f t="shared" si="49"/>
        <v>1</v>
      </c>
      <c r="W95" s="37">
        <f t="shared" si="50"/>
        <v>0.84953837817958522</v>
      </c>
      <c r="X95" s="40">
        <f t="shared" si="51"/>
        <v>0.17232215313179586</v>
      </c>
      <c r="Y95" s="39">
        <f t="shared" si="52"/>
        <v>0.44086060102728863</v>
      </c>
      <c r="Z95" s="37">
        <f t="shared" si="71"/>
        <v>0.44086060102728863</v>
      </c>
      <c r="AA95" s="37">
        <f t="shared" si="72"/>
        <v>0.25729803743447682</v>
      </c>
      <c r="AB95" s="37">
        <v>0</v>
      </c>
      <c r="AC95" s="37">
        <f t="shared" si="53"/>
        <v>4.8724878129778215E-2</v>
      </c>
      <c r="AD95" s="40">
        <f t="shared" si="62"/>
        <v>4.8724878129778215E-2</v>
      </c>
      <c r="AE95" s="39">
        <f t="shared" si="70"/>
        <v>0.19537117262455314</v>
      </c>
      <c r="AF95" s="37">
        <f t="shared" si="63"/>
        <v>0.23460224436376589</v>
      </c>
      <c r="AG95" s="37">
        <f t="shared" si="54"/>
        <v>2.696872439965291E-4</v>
      </c>
      <c r="AH95" s="37">
        <f t="shared" si="55"/>
        <v>4.6744646040964904E-3</v>
      </c>
      <c r="AI95" s="40">
        <f t="shared" si="64"/>
        <v>4.9441518480930194E-3</v>
      </c>
      <c r="AJ95" s="39">
        <f t="shared" si="65"/>
        <v>3.9629499962896199E-2</v>
      </c>
      <c r="AK95" s="37">
        <f t="shared" si="56"/>
        <v>0.10566014862339215</v>
      </c>
      <c r="AL95" s="37">
        <f t="shared" si="57"/>
        <v>1.8135040000000002E-2</v>
      </c>
      <c r="AM95" s="37">
        <f t="shared" si="58"/>
        <v>9.9132400000000009E-2</v>
      </c>
      <c r="AN95" s="40">
        <f t="shared" si="66"/>
        <v>0.11726744000000001</v>
      </c>
      <c r="AO95" s="39">
        <f t="shared" si="59"/>
        <v>2.2015285224206453E-3</v>
      </c>
      <c r="AP95" s="37">
        <f t="shared" si="60"/>
        <v>1.4276250000000003E-3</v>
      </c>
      <c r="AQ95" s="40">
        <f t="shared" si="61"/>
        <v>8.9999999999999993E-3</v>
      </c>
      <c r="AR95" s="39">
        <f t="shared" si="67"/>
        <v>0.18356562350029187</v>
      </c>
      <c r="AS95" s="37">
        <f t="shared" si="68"/>
        <v>4.1395200000000001</v>
      </c>
      <c r="AT95" s="40">
        <f t="shared" si="69"/>
        <v>95.753828642615147</v>
      </c>
    </row>
    <row r="96" spans="17:46" x14ac:dyDescent="0.55000000000000004">
      <c r="Q96">
        <v>89</v>
      </c>
      <c r="R96" s="39">
        <f t="shared" si="45"/>
        <v>210</v>
      </c>
      <c r="S96" s="37">
        <f t="shared" si="46"/>
        <v>1.9935999999999999E-2</v>
      </c>
      <c r="T96" s="37">
        <f t="shared" si="47"/>
        <v>20</v>
      </c>
      <c r="U96" s="40">
        <f t="shared" si="48"/>
        <v>0.23258666666666666</v>
      </c>
      <c r="V96" s="39">
        <f t="shared" si="49"/>
        <v>1</v>
      </c>
      <c r="W96" s="37">
        <f t="shared" si="50"/>
        <v>0.85435166529948314</v>
      </c>
      <c r="X96" s="40">
        <f t="shared" si="51"/>
        <v>0.17329849042443202</v>
      </c>
      <c r="Y96" s="39">
        <f t="shared" si="52"/>
        <v>0.44335841478956056</v>
      </c>
      <c r="Z96" s="37">
        <f t="shared" si="71"/>
        <v>0.44335841478956056</v>
      </c>
      <c r="AA96" s="37">
        <f t="shared" si="72"/>
        <v>0.25948781820249284</v>
      </c>
      <c r="AB96" s="37">
        <v>0</v>
      </c>
      <c r="AC96" s="37">
        <f t="shared" si="53"/>
        <v>4.9557770857480615E-2</v>
      </c>
      <c r="AD96" s="40">
        <f t="shared" si="62"/>
        <v>4.9557770857480615E-2</v>
      </c>
      <c r="AE96" s="39">
        <f t="shared" si="70"/>
        <v>0.19871080599312246</v>
      </c>
      <c r="AF96" s="37">
        <f t="shared" si="63"/>
        <v>0.2365988685431166</v>
      </c>
      <c r="AG96" s="37">
        <f t="shared" si="54"/>
        <v>2.7429722051982658E-4</v>
      </c>
      <c r="AH96" s="37">
        <f t="shared" si="55"/>
        <v>4.727583520052132E-3</v>
      </c>
      <c r="AI96" s="40">
        <f t="shared" si="64"/>
        <v>5.001880740571959E-3</v>
      </c>
      <c r="AJ96" s="39">
        <f t="shared" si="65"/>
        <v>4.0306918226183895E-2</v>
      </c>
      <c r="AK96" s="37">
        <f t="shared" si="56"/>
        <v>0.10655938813453744</v>
      </c>
      <c r="AL96" s="37">
        <f t="shared" si="57"/>
        <v>1.8341119999999999E-2</v>
      </c>
      <c r="AM96" s="37">
        <f t="shared" si="58"/>
        <v>9.9132400000000009E-2</v>
      </c>
      <c r="AN96" s="40">
        <f t="shared" si="66"/>
        <v>0.11747352000000001</v>
      </c>
      <c r="AO96" s="39">
        <f t="shared" si="59"/>
        <v>2.2391609838353188E-3</v>
      </c>
      <c r="AP96" s="37">
        <f t="shared" si="60"/>
        <v>1.4276250000000003E-3</v>
      </c>
      <c r="AQ96" s="40">
        <f t="shared" si="61"/>
        <v>8.9999999999999993E-3</v>
      </c>
      <c r="AR96" s="39">
        <f t="shared" si="67"/>
        <v>0.1846999575818879</v>
      </c>
      <c r="AS96" s="37">
        <f t="shared" si="68"/>
        <v>4.1865600000000001</v>
      </c>
      <c r="AT96" s="40">
        <f t="shared" si="69"/>
        <v>95.774674593270788</v>
      </c>
    </row>
    <row r="97" spans="17:46" x14ac:dyDescent="0.55000000000000004">
      <c r="Q97">
        <v>90</v>
      </c>
      <c r="R97" s="39">
        <f t="shared" si="45"/>
        <v>210</v>
      </c>
      <c r="S97" s="37">
        <f t="shared" si="46"/>
        <v>2.0160000000000001E-2</v>
      </c>
      <c r="T97" s="37">
        <f t="shared" si="47"/>
        <v>20</v>
      </c>
      <c r="U97" s="40">
        <f t="shared" si="48"/>
        <v>0.23519999999999999</v>
      </c>
      <c r="V97" s="39">
        <f t="shared" si="49"/>
        <v>1</v>
      </c>
      <c r="W97" s="37">
        <f t="shared" si="50"/>
        <v>0.85913798658888318</v>
      </c>
      <c r="X97" s="40">
        <f t="shared" si="51"/>
        <v>0.17426935791123976</v>
      </c>
      <c r="Y97" s="39">
        <f t="shared" si="52"/>
        <v>0.44584223486709046</v>
      </c>
      <c r="Z97" s="37">
        <f t="shared" si="71"/>
        <v>0.44584223486709046</v>
      </c>
      <c r="AA97" s="37">
        <f t="shared" si="72"/>
        <v>0.2616714563867919</v>
      </c>
      <c r="AB97" s="37">
        <v>0</v>
      </c>
      <c r="AC97" s="37">
        <f t="shared" si="53"/>
        <v>5.0395356000462362E-2</v>
      </c>
      <c r="AD97" s="40">
        <f t="shared" si="62"/>
        <v>5.0395356000462362E-2</v>
      </c>
      <c r="AE97" s="39">
        <f t="shared" si="70"/>
        <v>0.20206925444570531</v>
      </c>
      <c r="AF97" s="37">
        <f t="shared" si="63"/>
        <v>0.23858989196491567</v>
      </c>
      <c r="AG97" s="37">
        <f t="shared" si="54"/>
        <v>2.7893316908436769E-4</v>
      </c>
      <c r="AH97" s="37">
        <f t="shared" si="55"/>
        <v>4.7807024360077737E-3</v>
      </c>
      <c r="AI97" s="40">
        <f t="shared" si="64"/>
        <v>5.0596356050921412E-3</v>
      </c>
      <c r="AJ97" s="39">
        <f t="shared" si="65"/>
        <v>4.0988152980723593E-2</v>
      </c>
      <c r="AK97" s="37">
        <f t="shared" si="56"/>
        <v>0.10745610517673992</v>
      </c>
      <c r="AL97" s="37">
        <f t="shared" si="57"/>
        <v>1.8547200000000003E-2</v>
      </c>
      <c r="AM97" s="37">
        <f t="shared" si="58"/>
        <v>9.9132400000000009E-2</v>
      </c>
      <c r="AN97" s="40">
        <f t="shared" si="66"/>
        <v>0.11767960000000001</v>
      </c>
      <c r="AO97" s="39">
        <f t="shared" si="59"/>
        <v>2.2770054619132051E-3</v>
      </c>
      <c r="AP97" s="37">
        <f t="shared" si="60"/>
        <v>1.4276250000000003E-3</v>
      </c>
      <c r="AQ97" s="40">
        <f t="shared" si="61"/>
        <v>8.9999999999999993E-3</v>
      </c>
      <c r="AR97" s="39">
        <f t="shared" si="67"/>
        <v>0.1858392220674677</v>
      </c>
      <c r="AS97" s="37">
        <f t="shared" si="68"/>
        <v>4.2336</v>
      </c>
      <c r="AT97" s="40">
        <f t="shared" si="69"/>
        <v>95.794959207957376</v>
      </c>
    </row>
    <row r="98" spans="17:46" x14ac:dyDescent="0.55000000000000004">
      <c r="Q98">
        <v>91</v>
      </c>
      <c r="R98" s="39">
        <f t="shared" si="45"/>
        <v>210</v>
      </c>
      <c r="S98" s="37">
        <f t="shared" si="46"/>
        <v>2.0383999999999999E-2</v>
      </c>
      <c r="T98" s="37">
        <f t="shared" si="47"/>
        <v>20</v>
      </c>
      <c r="U98" s="40">
        <f t="shared" si="48"/>
        <v>0.23781333333333332</v>
      </c>
      <c r="V98" s="39">
        <f t="shared" si="49"/>
        <v>1</v>
      </c>
      <c r="W98" s="37">
        <f t="shared" si="50"/>
        <v>0.86389779025067537</v>
      </c>
      <c r="X98" s="40">
        <f t="shared" si="51"/>
        <v>0.17523484650663698</v>
      </c>
      <c r="Y98" s="39">
        <f t="shared" si="52"/>
        <v>0.44831229385089538</v>
      </c>
      <c r="Z98" s="37">
        <f t="shared" si="71"/>
        <v>0.44831229385089538</v>
      </c>
      <c r="AA98" s="37">
        <f t="shared" si="72"/>
        <v>0.26384903718617581</v>
      </c>
      <c r="AB98" s="37">
        <v>0</v>
      </c>
      <c r="AC98" s="37">
        <f t="shared" si="53"/>
        <v>5.1237607416116979E-2</v>
      </c>
      <c r="AD98" s="40">
        <f t="shared" si="62"/>
        <v>5.1237607416116979E-2</v>
      </c>
      <c r="AE98" s="39">
        <f t="shared" si="70"/>
        <v>0.20544641315881393</v>
      </c>
      <c r="AF98" s="37">
        <f t="shared" si="63"/>
        <v>0.24057539231273314</v>
      </c>
      <c r="AG98" s="37">
        <f t="shared" si="54"/>
        <v>2.835949449934848E-4</v>
      </c>
      <c r="AH98" s="37">
        <f t="shared" si="55"/>
        <v>4.8338213519634153E-3</v>
      </c>
      <c r="AI98" s="40">
        <f t="shared" si="64"/>
        <v>5.1174162969568997E-3</v>
      </c>
      <c r="AJ98" s="39">
        <f t="shared" si="65"/>
        <v>4.167318296389836E-2</v>
      </c>
      <c r="AK98" s="37">
        <f t="shared" si="56"/>
        <v>0.10835033473712256</v>
      </c>
      <c r="AL98" s="37">
        <f t="shared" si="57"/>
        <v>1.8753280000000001E-2</v>
      </c>
      <c r="AM98" s="37">
        <f t="shared" si="58"/>
        <v>9.9132400000000009E-2</v>
      </c>
      <c r="AN98" s="40">
        <f t="shared" si="66"/>
        <v>0.11788568000000001</v>
      </c>
      <c r="AO98" s="39">
        <f t="shared" si="59"/>
        <v>2.3150607754570183E-3</v>
      </c>
      <c r="AP98" s="37">
        <f t="shared" si="60"/>
        <v>1.4276250000000003E-3</v>
      </c>
      <c r="AQ98" s="40">
        <f t="shared" si="61"/>
        <v>8.9999999999999993E-3</v>
      </c>
      <c r="AR98" s="39">
        <f t="shared" si="67"/>
        <v>0.18698338948853088</v>
      </c>
      <c r="AS98" s="37">
        <f t="shared" si="68"/>
        <v>4.28064</v>
      </c>
      <c r="AT98" s="40">
        <f t="shared" si="69"/>
        <v>95.814701169116731</v>
      </c>
    </row>
    <row r="99" spans="17:46" x14ac:dyDescent="0.55000000000000004">
      <c r="Q99">
        <v>92</v>
      </c>
      <c r="R99" s="39">
        <f t="shared" si="45"/>
        <v>210</v>
      </c>
      <c r="S99" s="37">
        <f t="shared" si="46"/>
        <v>2.0608000000000001E-2</v>
      </c>
      <c r="T99" s="37">
        <f t="shared" si="47"/>
        <v>20</v>
      </c>
      <c r="U99" s="40">
        <f t="shared" si="48"/>
        <v>0.24042666666666668</v>
      </c>
      <c r="V99" s="39">
        <f t="shared" si="49"/>
        <v>1</v>
      </c>
      <c r="W99" s="37">
        <f t="shared" si="50"/>
        <v>0.8686315122075644</v>
      </c>
      <c r="X99" s="40">
        <f t="shared" si="51"/>
        <v>0.17619504463410277</v>
      </c>
      <c r="Y99" s="39">
        <f t="shared" si="52"/>
        <v>0.45076881795929652</v>
      </c>
      <c r="Z99" s="37">
        <f t="shared" si="71"/>
        <v>0.45076881795929652</v>
      </c>
      <c r="AA99" s="37">
        <f t="shared" si="72"/>
        <v>0.26602064369565098</v>
      </c>
      <c r="AB99" s="37">
        <v>0</v>
      </c>
      <c r="AC99" s="37">
        <f t="shared" si="53"/>
        <v>5.2084499393974887E-2</v>
      </c>
      <c r="AD99" s="40">
        <f t="shared" si="62"/>
        <v>5.2084499393974887E-2</v>
      </c>
      <c r="AE99" s="39">
        <f t="shared" si="70"/>
        <v>0.2088421790416907</v>
      </c>
      <c r="AF99" s="37">
        <f t="shared" si="63"/>
        <v>0.2425554453519157</v>
      </c>
      <c r="AG99" s="37">
        <f t="shared" si="54"/>
        <v>2.8828240594234425E-4</v>
      </c>
      <c r="AH99" s="37">
        <f t="shared" si="55"/>
        <v>4.8869402679190578E-3</v>
      </c>
      <c r="AI99" s="40">
        <f t="shared" si="64"/>
        <v>5.1752226738614017E-3</v>
      </c>
      <c r="AJ99" s="39">
        <f t="shared" si="65"/>
        <v>4.2361987264561883E-2</v>
      </c>
      <c r="AK99" s="37">
        <f t="shared" si="56"/>
        <v>0.10924211093887889</v>
      </c>
      <c r="AL99" s="37">
        <f t="shared" si="57"/>
        <v>1.8959360000000001E-2</v>
      </c>
      <c r="AM99" s="37">
        <f t="shared" si="58"/>
        <v>9.9132400000000009E-2</v>
      </c>
      <c r="AN99" s="40">
        <f t="shared" si="66"/>
        <v>0.11809176000000002</v>
      </c>
      <c r="AO99" s="39">
        <f t="shared" si="59"/>
        <v>2.3533257627946468E-3</v>
      </c>
      <c r="AP99" s="37">
        <f t="shared" si="60"/>
        <v>1.4276250000000003E-3</v>
      </c>
      <c r="AQ99" s="40">
        <f t="shared" si="61"/>
        <v>8.9999999999999993E-3</v>
      </c>
      <c r="AR99" s="39">
        <f t="shared" si="67"/>
        <v>0.18813243283063094</v>
      </c>
      <c r="AS99" s="37">
        <f t="shared" si="68"/>
        <v>4.32768</v>
      </c>
      <c r="AT99" s="40">
        <f t="shared" si="69"/>
        <v>95.833918356243487</v>
      </c>
    </row>
    <row r="100" spans="17:46" x14ac:dyDescent="0.55000000000000004">
      <c r="Q100">
        <v>93</v>
      </c>
      <c r="R100" s="39">
        <f t="shared" si="45"/>
        <v>210</v>
      </c>
      <c r="S100" s="37">
        <f t="shared" si="46"/>
        <v>2.0832E-2</v>
      </c>
      <c r="T100" s="37">
        <f t="shared" si="47"/>
        <v>20</v>
      </c>
      <c r="U100" s="40">
        <f t="shared" si="48"/>
        <v>0.24304000000000001</v>
      </c>
      <c r="V100" s="39">
        <f t="shared" si="49"/>
        <v>1</v>
      </c>
      <c r="W100" s="37">
        <f t="shared" si="50"/>
        <v>0.8733395765680152</v>
      </c>
      <c r="X100" s="40">
        <f t="shared" si="51"/>
        <v>0.17715003832069107</v>
      </c>
      <c r="Y100" s="39">
        <f t="shared" si="52"/>
        <v>0.45321202727971727</v>
      </c>
      <c r="Z100" s="37">
        <f t="shared" si="71"/>
        <v>0.45321202727971727</v>
      </c>
      <c r="AA100" s="37">
        <f t="shared" si="72"/>
        <v>0.26818635698065135</v>
      </c>
      <c r="AB100" s="37">
        <v>0</v>
      </c>
      <c r="AC100" s="37">
        <f t="shared" si="53"/>
        <v>5.2936006643927266E-2</v>
      </c>
      <c r="AD100" s="40">
        <f t="shared" si="62"/>
        <v>5.2936006643927266E-2</v>
      </c>
      <c r="AE100" s="39">
        <f t="shared" si="70"/>
        <v>0.21225645068909041</v>
      </c>
      <c r="AF100" s="37">
        <f t="shared" si="63"/>
        <v>0.2445301249972624</v>
      </c>
      <c r="AG100" s="37">
        <f t="shared" si="54"/>
        <v>2.9299541195276622E-4</v>
      </c>
      <c r="AH100" s="37">
        <f t="shared" si="55"/>
        <v>4.9400591838747003E-3</v>
      </c>
      <c r="AI100" s="40">
        <f t="shared" si="64"/>
        <v>5.2330545958274664E-3</v>
      </c>
      <c r="AJ100" s="39">
        <f t="shared" si="65"/>
        <v>4.3054545313460757E-2</v>
      </c>
      <c r="AK100" s="37">
        <f t="shared" si="56"/>
        <v>0.11013146707175291</v>
      </c>
      <c r="AL100" s="37">
        <f t="shared" si="57"/>
        <v>1.9165440000000002E-2</v>
      </c>
      <c r="AM100" s="37">
        <f t="shared" si="58"/>
        <v>9.9132400000000009E-2</v>
      </c>
      <c r="AN100" s="40">
        <f t="shared" si="66"/>
        <v>0.11829784000000002</v>
      </c>
      <c r="AO100" s="39">
        <f t="shared" si="59"/>
        <v>2.3917992812470708E-3</v>
      </c>
      <c r="AP100" s="37">
        <f t="shared" si="60"/>
        <v>1.4276250000000003E-3</v>
      </c>
      <c r="AQ100" s="40">
        <f t="shared" si="61"/>
        <v>8.9999999999999993E-3</v>
      </c>
      <c r="AR100" s="39">
        <f t="shared" si="67"/>
        <v>0.18928632552100183</v>
      </c>
      <c r="AS100" s="37">
        <f t="shared" si="68"/>
        <v>4.3747199999999999</v>
      </c>
      <c r="AT100" s="40">
        <f t="shared" si="69"/>
        <v>95.852627888297377</v>
      </c>
    </row>
    <row r="101" spans="17:46" x14ac:dyDescent="0.55000000000000004">
      <c r="Q101">
        <v>94</v>
      </c>
      <c r="R101" s="39">
        <f t="shared" si="45"/>
        <v>210</v>
      </c>
      <c r="S101" s="37">
        <f t="shared" si="46"/>
        <v>2.1055999999999998E-2</v>
      </c>
      <c r="T101" s="37">
        <f t="shared" si="47"/>
        <v>20</v>
      </c>
      <c r="U101" s="40">
        <f t="shared" si="48"/>
        <v>0.24565333333333333</v>
      </c>
      <c r="V101" s="39">
        <f t="shared" si="49"/>
        <v>1</v>
      </c>
      <c r="W101" s="37">
        <f t="shared" si="50"/>
        <v>0.878022396069713</v>
      </c>
      <c r="X101" s="40">
        <f t="shared" si="51"/>
        <v>0.17809991128698283</v>
      </c>
      <c r="Y101" s="39">
        <f t="shared" si="52"/>
        <v>0.4556421359988132</v>
      </c>
      <c r="Z101" s="37">
        <f t="shared" si="71"/>
        <v>0.4556421359988132</v>
      </c>
      <c r="AA101" s="37">
        <f t="shared" si="72"/>
        <v>0.27034625614787477</v>
      </c>
      <c r="AB101" s="37">
        <v>0</v>
      </c>
      <c r="AC101" s="37">
        <f t="shared" si="53"/>
        <v>5.3792104284894823E-2</v>
      </c>
      <c r="AD101" s="40">
        <f t="shared" si="62"/>
        <v>5.3792104284894823E-2</v>
      </c>
      <c r="AE101" s="39">
        <f t="shared" si="70"/>
        <v>0.21568912833584522</v>
      </c>
      <c r="AF101" s="37">
        <f t="shared" si="63"/>
        <v>0.24649950337761276</v>
      </c>
      <c r="AG101" s="37">
        <f t="shared" si="54"/>
        <v>2.9773382531050766E-4</v>
      </c>
      <c r="AH101" s="37">
        <f t="shared" si="55"/>
        <v>4.9931780998303411E-3</v>
      </c>
      <c r="AI101" s="40">
        <f t="shared" si="64"/>
        <v>5.290911925140849E-3</v>
      </c>
      <c r="AJ101" s="39">
        <f t="shared" si="65"/>
        <v>4.375083687401829E-2</v>
      </c>
      <c r="AK101" s="37">
        <f t="shared" si="56"/>
        <v>0.11101843562112819</v>
      </c>
      <c r="AL101" s="37">
        <f t="shared" si="57"/>
        <v>1.937152E-2</v>
      </c>
      <c r="AM101" s="37">
        <f t="shared" si="58"/>
        <v>9.9132400000000009E-2</v>
      </c>
      <c r="AN101" s="40">
        <f t="shared" si="66"/>
        <v>0.11850392000000001</v>
      </c>
      <c r="AO101" s="39">
        <f t="shared" si="59"/>
        <v>2.430480206616389E-3</v>
      </c>
      <c r="AP101" s="37">
        <f t="shared" si="60"/>
        <v>1.4276250000000003E-3</v>
      </c>
      <c r="AQ101" s="40">
        <f t="shared" si="61"/>
        <v>8.9999999999999993E-3</v>
      </c>
      <c r="AR101" s="39">
        <f t="shared" si="67"/>
        <v>0.19044504141665208</v>
      </c>
      <c r="AS101" s="37">
        <f t="shared" si="68"/>
        <v>4.4217599999999999</v>
      </c>
      <c r="AT101" s="40">
        <f t="shared" si="69"/>
        <v>95.870846163462062</v>
      </c>
    </row>
    <row r="102" spans="17:46" x14ac:dyDescent="0.55000000000000004">
      <c r="Q102">
        <v>95</v>
      </c>
      <c r="R102" s="39">
        <f t="shared" si="45"/>
        <v>210</v>
      </c>
      <c r="S102" s="37">
        <f t="shared" si="46"/>
        <v>2.128E-2</v>
      </c>
      <c r="T102" s="37">
        <f t="shared" si="47"/>
        <v>20</v>
      </c>
      <c r="U102" s="40">
        <f t="shared" si="48"/>
        <v>0.24826666666666666</v>
      </c>
      <c r="V102" s="39">
        <f t="shared" si="49"/>
        <v>1</v>
      </c>
      <c r="W102" s="37">
        <f t="shared" si="50"/>
        <v>0.88268037250184739</v>
      </c>
      <c r="X102" s="40">
        <f t="shared" si="51"/>
        <v>0.17904474503274315</v>
      </c>
      <c r="Y102" s="39">
        <f t="shared" si="52"/>
        <v>0.45805935262161257</v>
      </c>
      <c r="Z102" s="37">
        <f t="shared" si="71"/>
        <v>0.45805935262161257</v>
      </c>
      <c r="AA102" s="37">
        <f t="shared" si="72"/>
        <v>0.27250041841291978</v>
      </c>
      <c r="AB102" s="37">
        <v>0</v>
      </c>
      <c r="AC102" s="37">
        <f t="shared" si="53"/>
        <v>5.465276783391923E-2</v>
      </c>
      <c r="AD102" s="40">
        <f t="shared" si="62"/>
        <v>5.465276783391923E-2</v>
      </c>
      <c r="AE102" s="39">
        <f t="shared" si="70"/>
        <v>0.21914011381312531</v>
      </c>
      <c r="AF102" s="37">
        <f t="shared" si="63"/>
        <v>0.24846365089751754</v>
      </c>
      <c r="AG102" s="37">
        <f t="shared" si="54"/>
        <v>3.0249751050488504E-4</v>
      </c>
      <c r="AH102" s="37">
        <f t="shared" si="55"/>
        <v>5.0462970157859836E-3</v>
      </c>
      <c r="AI102" s="40">
        <f t="shared" si="64"/>
        <v>5.348794526290869E-3</v>
      </c>
      <c r="AJ102" s="39">
        <f t="shared" si="65"/>
        <v>4.4450842033462362E-2</v>
      </c>
      <c r="AK102" s="37">
        <f t="shared" si="56"/>
        <v>0.11190304829580326</v>
      </c>
      <c r="AL102" s="37">
        <f t="shared" si="57"/>
        <v>1.9577600000000001E-2</v>
      </c>
      <c r="AM102" s="37">
        <f t="shared" si="58"/>
        <v>9.9132400000000009E-2</v>
      </c>
      <c r="AN102" s="40">
        <f t="shared" si="66"/>
        <v>0.11871000000000001</v>
      </c>
      <c r="AO102" s="39">
        <f t="shared" si="59"/>
        <v>2.4693674326929389E-3</v>
      </c>
      <c r="AP102" s="37">
        <f t="shared" si="60"/>
        <v>1.4276250000000003E-3</v>
      </c>
      <c r="AQ102" s="40">
        <f t="shared" si="61"/>
        <v>8.9999999999999993E-3</v>
      </c>
      <c r="AR102" s="39">
        <f t="shared" si="67"/>
        <v>0.19160855479290304</v>
      </c>
      <c r="AS102" s="37">
        <f t="shared" si="68"/>
        <v>4.4687999999999999</v>
      </c>
      <c r="AT102" s="40">
        <f t="shared" si="69"/>
        <v>95.888588896442414</v>
      </c>
    </row>
    <row r="103" spans="17:46" x14ac:dyDescent="0.55000000000000004">
      <c r="Q103">
        <v>96</v>
      </c>
      <c r="R103" s="39">
        <f t="shared" si="45"/>
        <v>210</v>
      </c>
      <c r="S103" s="37">
        <f t="shared" ref="S103:S134" si="73">Q103*$O$12</f>
        <v>2.1503999999999999E-2</v>
      </c>
      <c r="T103" s="37">
        <f t="shared" si="47"/>
        <v>20</v>
      </c>
      <c r="U103" s="40">
        <f t="shared" ref="U103:U134" si="74">(R103*S103)/(T103*EFF_est)</f>
        <v>0.25087999999999999</v>
      </c>
      <c r="V103" s="39">
        <f t="shared" ref="V103:V134" si="75">IF((S103*R103/T103)&lt;((T103*(1-(T103/R103)))/(2*Lm*Fsw)),1,2)</f>
        <v>1</v>
      </c>
      <c r="W103" s="37">
        <f t="shared" ref="W103:W134" si="76">CHOOSE(V103,SQRT((2*S103*Lm*Fsw*(R103-T103))/((T103)^2)),1-(T103/R103))</f>
        <v>0.88731389710744413</v>
      </c>
      <c r="X103" s="40">
        <f t="shared" ref="X103:X134" si="77">CHOOSE(V103,(Lm*W103*Fsw)/(R103-T103),1-W103)</f>
        <v>0.17998461891853101</v>
      </c>
      <c r="Y103" s="39">
        <f t="shared" ref="Y103:Y134" si="78">(T103*W103)/(Lm*Fsw)</f>
        <v>0.46046388018030315</v>
      </c>
      <c r="Z103" s="37">
        <f t="shared" si="71"/>
        <v>0.46046388018030315</v>
      </c>
      <c r="AA103" s="37">
        <f t="shared" si="72"/>
        <v>0.2746489191649007</v>
      </c>
      <c r="AB103" s="37">
        <v>0</v>
      </c>
      <c r="AC103" s="37">
        <f t="shared" ref="AC103:AC134" si="79">(AA103^2)*Rdcr</f>
        <v>5.5517973195657842E-2</v>
      </c>
      <c r="AD103" s="40">
        <f t="shared" si="62"/>
        <v>5.5517973195657842E-2</v>
      </c>
      <c r="AE103" s="39">
        <f t="shared" si="70"/>
        <v>0.22260931050631558</v>
      </c>
      <c r="AF103" s="37">
        <f t="shared" si="63"/>
        <v>0.25042263629615402</v>
      </c>
      <c r="AG103" s="37">
        <f t="shared" ref="AG103:AG134" si="80">(AF103^2)*RDS_on</f>
        <v>3.0728633417062762E-4</v>
      </c>
      <c r="AH103" s="37">
        <f t="shared" ref="AH103:AH134" si="81">((R103*U103)/2)*Fsw*(tr_sw+tf_sw)</f>
        <v>5.0994159317416243E-3</v>
      </c>
      <c r="AI103" s="40">
        <f t="shared" si="64"/>
        <v>5.4067022659122516E-3</v>
      </c>
      <c r="AJ103" s="39">
        <f t="shared" si="65"/>
        <v>4.5154541194281056E-2</v>
      </c>
      <c r="AK103" s="37">
        <f t="shared" ref="AK103:AK134" si="82">CHOOSE(V103,Z103*SQRT(X103/3),SQRT(X103*((Z103^2)+((Y103^2)/3)-(Y103*Z103))))</f>
        <v>0.1127853360545258</v>
      </c>
      <c r="AL103" s="37">
        <f t="shared" ref="AL103:AL134" si="83">S103*Vd_rect</f>
        <v>1.9783680000000001E-2</v>
      </c>
      <c r="AM103" s="37">
        <f t="shared" ref="AM103:AM134" si="84">CHOOSE(V103,(R103+Vd_rect)*Qrr*Fsw,(R103+Vd_rect)*Qrr*Fsw)</f>
        <v>9.9132400000000009E-2</v>
      </c>
      <c r="AN103" s="40">
        <f t="shared" si="66"/>
        <v>0.11891608000000001</v>
      </c>
      <c r="AO103" s="39">
        <f t="shared" ref="AO103:AO134" si="85">(AF103^2)*R_cs</f>
        <v>2.5084598707806331E-3</v>
      </c>
      <c r="AP103" s="37">
        <f t="shared" ref="AP103:AP134" si="86">Qg_tot*Vcc*Fsw</f>
        <v>1.4276250000000003E-3</v>
      </c>
      <c r="AQ103" s="40">
        <f t="shared" ref="AQ103:AQ134" si="87">IQ*T103</f>
        <v>8.9999999999999993E-3</v>
      </c>
      <c r="AR103" s="39">
        <f t="shared" si="67"/>
        <v>0.19277684033235074</v>
      </c>
      <c r="AS103" s="37">
        <f t="shared" si="68"/>
        <v>4.5158399999999999</v>
      </c>
      <c r="AT103" s="40">
        <f t="shared" si="69"/>
        <v>95.905871153475644</v>
      </c>
    </row>
    <row r="104" spans="17:46" x14ac:dyDescent="0.55000000000000004">
      <c r="Q104">
        <v>97</v>
      </c>
      <c r="R104" s="39">
        <f t="shared" si="45"/>
        <v>210</v>
      </c>
      <c r="S104" s="37">
        <f t="shared" si="73"/>
        <v>2.1728000000000001E-2</v>
      </c>
      <c r="T104" s="37">
        <f t="shared" si="47"/>
        <v>20</v>
      </c>
      <c r="U104" s="40">
        <f t="shared" si="74"/>
        <v>0.25349333333333335</v>
      </c>
      <c r="V104" s="39">
        <f t="shared" si="75"/>
        <v>1</v>
      </c>
      <c r="W104" s="37">
        <f t="shared" si="76"/>
        <v>0.89192335096688657</v>
      </c>
      <c r="X104" s="40">
        <f t="shared" si="77"/>
        <v>0.18091961024349373</v>
      </c>
      <c r="Y104" s="39">
        <f t="shared" si="78"/>
        <v>0.46285591643325719</v>
      </c>
      <c r="Z104" s="37">
        <f t="shared" si="71"/>
        <v>0.46285591643325719</v>
      </c>
      <c r="AA104" s="37">
        <f t="shared" si="72"/>
        <v>0.27679183202820573</v>
      </c>
      <c r="AB104" s="37">
        <v>0</v>
      </c>
      <c r="AC104" s="37">
        <f t="shared" si="79"/>
        <v>5.6387696652262412E-2</v>
      </c>
      <c r="AD104" s="40">
        <f t="shared" si="62"/>
        <v>5.6387696652262412E-2</v>
      </c>
      <c r="AE104" s="39">
        <f t="shared" si="70"/>
        <v>0.22609662331443264</v>
      </c>
      <c r="AF104" s="37">
        <f t="shared" si="63"/>
        <v>0.25237652670363675</v>
      </c>
      <c r="AG104" s="37">
        <f t="shared" si="80"/>
        <v>3.1210016503185824E-4</v>
      </c>
      <c r="AH104" s="37">
        <f t="shared" si="81"/>
        <v>5.1525348476972677E-3</v>
      </c>
      <c r="AI104" s="40">
        <f t="shared" si="64"/>
        <v>5.4646350127291257E-3</v>
      </c>
      <c r="AJ104" s="39">
        <f t="shared" si="65"/>
        <v>4.5861915065990709E-2</v>
      </c>
      <c r="AK104" s="37">
        <f t="shared" si="82"/>
        <v>0.1136653291313539</v>
      </c>
      <c r="AL104" s="37">
        <f t="shared" si="83"/>
        <v>1.9989760000000002E-2</v>
      </c>
      <c r="AM104" s="37">
        <f t="shared" si="84"/>
        <v>9.9132400000000009E-2</v>
      </c>
      <c r="AN104" s="40">
        <f t="shared" si="66"/>
        <v>0.11912216</v>
      </c>
      <c r="AO104" s="39">
        <f t="shared" si="85"/>
        <v>2.5477564492396589E-3</v>
      </c>
      <c r="AP104" s="37">
        <f t="shared" si="86"/>
        <v>1.4276250000000003E-3</v>
      </c>
      <c r="AQ104" s="40">
        <f t="shared" si="87"/>
        <v>8.9999999999999993E-3</v>
      </c>
      <c r="AR104" s="39">
        <f t="shared" si="67"/>
        <v>0.19394987311423117</v>
      </c>
      <c r="AS104" s="37">
        <f t="shared" si="68"/>
        <v>4.5628799999999998</v>
      </c>
      <c r="AT104" s="40">
        <f t="shared" si="69"/>
        <v>95.922707385217976</v>
      </c>
    </row>
    <row r="105" spans="17:46" x14ac:dyDescent="0.55000000000000004">
      <c r="Q105">
        <v>98</v>
      </c>
      <c r="R105" s="39">
        <f t="shared" si="45"/>
        <v>210</v>
      </c>
      <c r="S105" s="37">
        <f t="shared" si="73"/>
        <v>2.1951999999999999E-2</v>
      </c>
      <c r="T105" s="37">
        <f t="shared" si="47"/>
        <v>20</v>
      </c>
      <c r="U105" s="40">
        <f t="shared" si="74"/>
        <v>0.25610666666666665</v>
      </c>
      <c r="V105" s="39">
        <f t="shared" si="75"/>
        <v>1</v>
      </c>
      <c r="W105" s="37">
        <f t="shared" si="76"/>
        <v>0.89650910536368777</v>
      </c>
      <c r="X105" s="40">
        <f t="shared" si="77"/>
        <v>0.18184979431956064</v>
      </c>
      <c r="Y105" s="39">
        <f t="shared" si="78"/>
        <v>0.46523565405484574</v>
      </c>
      <c r="Z105" s="37">
        <f t="shared" si="71"/>
        <v>0.46523565405484574</v>
      </c>
      <c r="AA105" s="37">
        <f t="shared" si="72"/>
        <v>0.27892922892155209</v>
      </c>
      <c r="AB105" s="37">
        <v>0</v>
      </c>
      <c r="AC105" s="37">
        <f t="shared" si="79"/>
        <v>5.7261914853623898E-2</v>
      </c>
      <c r="AD105" s="40">
        <f t="shared" si="62"/>
        <v>5.7261914853623898E-2</v>
      </c>
      <c r="AE105" s="39">
        <f t="shared" si="70"/>
        <v>0.22960195861100952</v>
      </c>
      <c r="AF105" s="37">
        <f t="shared" si="63"/>
        <v>0.25432538769486318</v>
      </c>
      <c r="AG105" s="37">
        <f t="shared" si="80"/>
        <v>3.1693887384809811E-4</v>
      </c>
      <c r="AH105" s="37">
        <f t="shared" si="81"/>
        <v>5.2056537636529093E-3</v>
      </c>
      <c r="AI105" s="40">
        <f t="shared" si="64"/>
        <v>5.5225926375010075E-3</v>
      </c>
      <c r="AJ105" s="39">
        <f t="shared" si="65"/>
        <v>4.6572944657201604E-2</v>
      </c>
      <c r="AK105" s="37">
        <f t="shared" si="82"/>
        <v>0.11454305705990699</v>
      </c>
      <c r="AL105" s="37">
        <f t="shared" si="83"/>
        <v>2.019584E-2</v>
      </c>
      <c r="AM105" s="37">
        <f t="shared" si="84"/>
        <v>9.9132400000000009E-2</v>
      </c>
      <c r="AN105" s="40">
        <f t="shared" si="66"/>
        <v>0.11932824</v>
      </c>
      <c r="AO105" s="39">
        <f t="shared" si="85"/>
        <v>2.5872561130456983E-3</v>
      </c>
      <c r="AP105" s="37">
        <f t="shared" si="86"/>
        <v>1.4276250000000003E-3</v>
      </c>
      <c r="AQ105" s="40">
        <f t="shared" si="87"/>
        <v>8.9999999999999993E-3</v>
      </c>
      <c r="AR105" s="39">
        <f t="shared" si="67"/>
        <v>0.1951276286041706</v>
      </c>
      <c r="AS105" s="37">
        <f t="shared" si="68"/>
        <v>4.6099199999999998</v>
      </c>
      <c r="AT105" s="40">
        <f t="shared" si="69"/>
        <v>95.939111457655756</v>
      </c>
    </row>
    <row r="106" spans="17:46" x14ac:dyDescent="0.55000000000000004">
      <c r="Q106">
        <v>99</v>
      </c>
      <c r="R106" s="39">
        <f t="shared" si="45"/>
        <v>210</v>
      </c>
      <c r="S106" s="37">
        <f t="shared" si="73"/>
        <v>2.2176000000000001E-2</v>
      </c>
      <c r="T106" s="37">
        <f t="shared" si="47"/>
        <v>20</v>
      </c>
      <c r="U106" s="40">
        <f t="shared" si="74"/>
        <v>0.25872000000000006</v>
      </c>
      <c r="V106" s="39">
        <f t="shared" si="75"/>
        <v>1</v>
      </c>
      <c r="W106" s="37">
        <f t="shared" si="76"/>
        <v>0.90107152213350961</v>
      </c>
      <c r="X106" s="40">
        <f t="shared" si="77"/>
        <v>0.18277524454223926</v>
      </c>
      <c r="Y106" s="39">
        <f t="shared" si="78"/>
        <v>0.46760328081655916</v>
      </c>
      <c r="Z106" s="37">
        <f t="shared" si="71"/>
        <v>0.46760328081655916</v>
      </c>
      <c r="AA106" s="37">
        <f t="shared" si="72"/>
        <v>0.28106118011448306</v>
      </c>
      <c r="AB106" s="37">
        <v>0</v>
      </c>
      <c r="AC106" s="37">
        <f t="shared" si="79"/>
        <v>5.8140604807966567E-2</v>
      </c>
      <c r="AD106" s="40">
        <f t="shared" si="62"/>
        <v>5.8140604807966567E-2</v>
      </c>
      <c r="AE106" s="39">
        <f t="shared" si="70"/>
        <v>0.23312522420638165</v>
      </c>
      <c r="AF106" s="37">
        <f t="shared" si="63"/>
        <v>0.256269283341028</v>
      </c>
      <c r="AG106" s="37">
        <f t="shared" si="80"/>
        <v>3.2180233336220811E-4</v>
      </c>
      <c r="AH106" s="37">
        <f t="shared" si="81"/>
        <v>5.2587726796085518E-3</v>
      </c>
      <c r="AI106" s="40">
        <f t="shared" si="64"/>
        <v>5.5805750129707598E-3</v>
      </c>
      <c r="AJ106" s="39">
        <f t="shared" si="65"/>
        <v>4.7287611267968155E-2</v>
      </c>
      <c r="AK106" s="37">
        <f t="shared" si="82"/>
        <v>0.11541854869656697</v>
      </c>
      <c r="AL106" s="37">
        <f t="shared" si="83"/>
        <v>2.040192E-2</v>
      </c>
      <c r="AM106" s="37">
        <f t="shared" si="84"/>
        <v>9.9132400000000009E-2</v>
      </c>
      <c r="AN106" s="40">
        <f t="shared" si="66"/>
        <v>0.11953432000000001</v>
      </c>
      <c r="AO106" s="39">
        <f t="shared" si="85"/>
        <v>2.626957823364964E-3</v>
      </c>
      <c r="AP106" s="37">
        <f t="shared" si="86"/>
        <v>1.4276250000000003E-3</v>
      </c>
      <c r="AQ106" s="40">
        <f t="shared" si="87"/>
        <v>8.9999999999999993E-3</v>
      </c>
      <c r="AR106" s="39">
        <f t="shared" si="67"/>
        <v>0.1963100826443023</v>
      </c>
      <c r="AS106" s="37">
        <f t="shared" si="68"/>
        <v>4.6569600000000007</v>
      </c>
      <c r="AT106" s="40">
        <f t="shared" si="69"/>
        <v>95.955096681177423</v>
      </c>
    </row>
    <row r="107" spans="17:46" x14ac:dyDescent="0.55000000000000004">
      <c r="Q107">
        <v>100</v>
      </c>
      <c r="R107" s="39">
        <f t="shared" si="45"/>
        <v>210</v>
      </c>
      <c r="S107" s="37">
        <f t="shared" si="73"/>
        <v>2.24E-2</v>
      </c>
      <c r="T107" s="37">
        <f t="shared" si="47"/>
        <v>20</v>
      </c>
      <c r="U107" s="40">
        <f t="shared" si="74"/>
        <v>0.26133333333333331</v>
      </c>
      <c r="V107" s="39">
        <f t="shared" si="75"/>
        <v>2</v>
      </c>
      <c r="W107" s="37">
        <f t="shared" si="76"/>
        <v>0.90476190476190477</v>
      </c>
      <c r="X107" s="40">
        <f t="shared" si="77"/>
        <v>9.5238095238095233E-2</v>
      </c>
      <c r="Y107" s="39">
        <f t="shared" si="78"/>
        <v>0.4695183729952801</v>
      </c>
      <c r="Z107" s="37">
        <f t="shared" si="71"/>
        <v>0.49609251983097336</v>
      </c>
      <c r="AA107" s="37">
        <f t="shared" si="72"/>
        <v>0.29439044876850601</v>
      </c>
      <c r="AB107" s="37">
        <v>0</v>
      </c>
      <c r="AC107" s="37">
        <f t="shared" si="79"/>
        <v>6.3785981936026054E-2</v>
      </c>
      <c r="AD107" s="40">
        <f t="shared" si="62"/>
        <v>6.3785981936026054E-2</v>
      </c>
      <c r="AE107" s="39">
        <f t="shared" si="70"/>
        <v>0.23644444444444443</v>
      </c>
      <c r="AF107" s="37">
        <f t="shared" si="63"/>
        <v>0.28002117183530156</v>
      </c>
      <c r="AG107" s="37">
        <f t="shared" si="80"/>
        <v>3.8421809771247594E-4</v>
      </c>
      <c r="AH107" s="37">
        <f t="shared" si="81"/>
        <v>5.3118915955641935E-3</v>
      </c>
      <c r="AI107" s="40">
        <f t="shared" si="64"/>
        <v>5.6961096932766691E-3</v>
      </c>
      <c r="AJ107" s="39">
        <f t="shared" si="65"/>
        <v>2.4888888888888884E-2</v>
      </c>
      <c r="AK107" s="37">
        <f t="shared" si="82"/>
        <v>9.0850864883648144E-2</v>
      </c>
      <c r="AL107" s="37">
        <f t="shared" si="83"/>
        <v>2.0608000000000001E-2</v>
      </c>
      <c r="AM107" s="37">
        <f t="shared" si="84"/>
        <v>9.9132400000000009E-2</v>
      </c>
      <c r="AN107" s="40">
        <f t="shared" si="66"/>
        <v>0.11974040000000001</v>
      </c>
      <c r="AO107" s="39">
        <f t="shared" si="85"/>
        <v>3.1364742670406194E-3</v>
      </c>
      <c r="AP107" s="37">
        <f t="shared" si="86"/>
        <v>1.4276250000000003E-3</v>
      </c>
      <c r="AQ107" s="40">
        <f t="shared" si="87"/>
        <v>8.9999999999999993E-3</v>
      </c>
      <c r="AR107" s="39">
        <f t="shared" si="67"/>
        <v>0.20278659089634335</v>
      </c>
      <c r="AS107" s="37">
        <f t="shared" si="68"/>
        <v>4.7039999999999997</v>
      </c>
      <c r="AT107" s="40">
        <f t="shared" si="69"/>
        <v>95.867222119001937</v>
      </c>
    </row>
    <row r="108" spans="17:46" x14ac:dyDescent="0.55000000000000004">
      <c r="Q108">
        <v>101</v>
      </c>
      <c r="R108" s="39">
        <f t="shared" si="45"/>
        <v>210</v>
      </c>
      <c r="S108" s="37">
        <f t="shared" si="73"/>
        <v>2.2623999999999998E-2</v>
      </c>
      <c r="T108" s="37">
        <f t="shared" si="47"/>
        <v>20</v>
      </c>
      <c r="U108" s="40">
        <f t="shared" si="74"/>
        <v>0.26394666666666666</v>
      </c>
      <c r="V108" s="39">
        <f t="shared" si="75"/>
        <v>2</v>
      </c>
      <c r="W108" s="37">
        <f t="shared" si="76"/>
        <v>0.90476190476190477</v>
      </c>
      <c r="X108" s="40">
        <f t="shared" si="77"/>
        <v>9.5238095238095233E-2</v>
      </c>
      <c r="Y108" s="39">
        <f t="shared" si="78"/>
        <v>0.4695183729952801</v>
      </c>
      <c r="Z108" s="37">
        <f t="shared" si="71"/>
        <v>0.49870585316430671</v>
      </c>
      <c r="AA108" s="37">
        <f t="shared" si="72"/>
        <v>0.29671277030059845</v>
      </c>
      <c r="AB108" s="37">
        <v>0</v>
      </c>
      <c r="AC108" s="37">
        <f t="shared" si="79"/>
        <v>6.4796312491759392E-2</v>
      </c>
      <c r="AD108" s="40">
        <f t="shared" si="62"/>
        <v>6.4796312491759392E-2</v>
      </c>
      <c r="AE108" s="39">
        <f t="shared" si="70"/>
        <v>0.23880888888888888</v>
      </c>
      <c r="AF108" s="37">
        <f t="shared" si="63"/>
        <v>0.28223014022919884</v>
      </c>
      <c r="AG108" s="37">
        <f t="shared" si="80"/>
        <v>3.9030387506358696E-4</v>
      </c>
      <c r="AH108" s="37">
        <f t="shared" si="81"/>
        <v>5.3650105115198351E-3</v>
      </c>
      <c r="AI108" s="40">
        <f t="shared" si="64"/>
        <v>5.7553143865834225E-3</v>
      </c>
      <c r="AJ108" s="39">
        <f t="shared" si="65"/>
        <v>2.5137777777777776E-2</v>
      </c>
      <c r="AK108" s="37">
        <f t="shared" si="82"/>
        <v>9.156754886783007E-2</v>
      </c>
      <c r="AL108" s="37">
        <f t="shared" si="83"/>
        <v>2.0814079999999999E-2</v>
      </c>
      <c r="AM108" s="37">
        <f t="shared" si="84"/>
        <v>9.9132400000000009E-2</v>
      </c>
      <c r="AN108" s="40">
        <f t="shared" si="66"/>
        <v>0.11994648000000001</v>
      </c>
      <c r="AO108" s="39">
        <f t="shared" si="85"/>
        <v>3.1861540821517299E-3</v>
      </c>
      <c r="AP108" s="37">
        <f t="shared" si="86"/>
        <v>1.4276250000000003E-3</v>
      </c>
      <c r="AQ108" s="40">
        <f t="shared" si="87"/>
        <v>8.9999999999999993E-3</v>
      </c>
      <c r="AR108" s="39">
        <f t="shared" si="67"/>
        <v>0.20411188596049457</v>
      </c>
      <c r="AS108" s="37">
        <f t="shared" si="68"/>
        <v>4.7510399999999997</v>
      </c>
      <c r="AT108" s="40">
        <f t="shared" si="69"/>
        <v>95.880814742756769</v>
      </c>
    </row>
    <row r="109" spans="17:46" x14ac:dyDescent="0.55000000000000004">
      <c r="Q109">
        <v>102</v>
      </c>
      <c r="R109" s="39">
        <f t="shared" si="45"/>
        <v>210</v>
      </c>
      <c r="S109" s="37">
        <f t="shared" si="73"/>
        <v>2.2848E-2</v>
      </c>
      <c r="T109" s="37">
        <f t="shared" si="47"/>
        <v>20</v>
      </c>
      <c r="U109" s="40">
        <f t="shared" si="74"/>
        <v>0.26655999999999996</v>
      </c>
      <c r="V109" s="39">
        <f t="shared" si="75"/>
        <v>2</v>
      </c>
      <c r="W109" s="37">
        <f t="shared" si="76"/>
        <v>0.90476190476190477</v>
      </c>
      <c r="X109" s="40">
        <f t="shared" si="77"/>
        <v>9.5238095238095233E-2</v>
      </c>
      <c r="Y109" s="39">
        <f t="shared" si="78"/>
        <v>0.4695183729952801</v>
      </c>
      <c r="Z109" s="37">
        <f t="shared" si="71"/>
        <v>0.50131918649764007</v>
      </c>
      <c r="AA109" s="37">
        <f t="shared" si="72"/>
        <v>0.29903989502240536</v>
      </c>
      <c r="AB109" s="37">
        <v>0</v>
      </c>
      <c r="AC109" s="37">
        <f t="shared" si="79"/>
        <v>6.5816696087848264E-2</v>
      </c>
      <c r="AD109" s="40">
        <f t="shared" si="62"/>
        <v>6.5816696087848264E-2</v>
      </c>
      <c r="AE109" s="39">
        <f t="shared" si="70"/>
        <v>0.2411733333333333</v>
      </c>
      <c r="AF109" s="37">
        <f t="shared" si="63"/>
        <v>0.28444367736782972</v>
      </c>
      <c r="AG109" s="37">
        <f t="shared" si="80"/>
        <v>3.9645020741321666E-4</v>
      </c>
      <c r="AH109" s="37">
        <f t="shared" si="81"/>
        <v>5.4181294274754767E-3</v>
      </c>
      <c r="AI109" s="40">
        <f t="shared" si="64"/>
        <v>5.8145796348886931E-3</v>
      </c>
      <c r="AJ109" s="39">
        <f t="shared" si="65"/>
        <v>2.5386666666666662E-2</v>
      </c>
      <c r="AK109" s="37">
        <f t="shared" si="82"/>
        <v>9.2285715148538908E-2</v>
      </c>
      <c r="AL109" s="37">
        <f t="shared" si="83"/>
        <v>2.102016E-2</v>
      </c>
      <c r="AM109" s="37">
        <f t="shared" si="84"/>
        <v>9.9132400000000009E-2</v>
      </c>
      <c r="AN109" s="40">
        <f t="shared" si="66"/>
        <v>0.12015256000000001</v>
      </c>
      <c r="AO109" s="39">
        <f t="shared" si="85"/>
        <v>3.2363282237813603E-3</v>
      </c>
      <c r="AP109" s="37">
        <f t="shared" si="86"/>
        <v>1.4276250000000003E-3</v>
      </c>
      <c r="AQ109" s="40">
        <f t="shared" si="87"/>
        <v>8.9999999999999993E-3</v>
      </c>
      <c r="AR109" s="39">
        <f t="shared" si="67"/>
        <v>0.20544778894651833</v>
      </c>
      <c r="AS109" s="37">
        <f t="shared" si="68"/>
        <v>4.7980799999999997</v>
      </c>
      <c r="AT109" s="40">
        <f t="shared" si="69"/>
        <v>95.893941282780901</v>
      </c>
    </row>
    <row r="110" spans="17:46" x14ac:dyDescent="0.55000000000000004">
      <c r="Q110">
        <v>103</v>
      </c>
      <c r="R110" s="39">
        <f t="shared" si="45"/>
        <v>210</v>
      </c>
      <c r="S110" s="37">
        <f t="shared" si="73"/>
        <v>2.3071999999999999E-2</v>
      </c>
      <c r="T110" s="37">
        <f t="shared" si="47"/>
        <v>20</v>
      </c>
      <c r="U110" s="40">
        <f t="shared" si="74"/>
        <v>0.26917333333333332</v>
      </c>
      <c r="V110" s="39">
        <f t="shared" si="75"/>
        <v>2</v>
      </c>
      <c r="W110" s="37">
        <f t="shared" si="76"/>
        <v>0.90476190476190477</v>
      </c>
      <c r="X110" s="40">
        <f t="shared" si="77"/>
        <v>9.5238095238095233E-2</v>
      </c>
      <c r="Y110" s="39">
        <f t="shared" si="78"/>
        <v>0.4695183729952801</v>
      </c>
      <c r="Z110" s="37">
        <f t="shared" si="71"/>
        <v>0.50393251983097342</v>
      </c>
      <c r="AA110" s="37">
        <f t="shared" si="72"/>
        <v>0.30137171166648841</v>
      </c>
      <c r="AB110" s="37">
        <v>0</v>
      </c>
      <c r="AC110" s="37">
        <f t="shared" si="79"/>
        <v>6.6847132724292713E-2</v>
      </c>
      <c r="AD110" s="40">
        <f t="shared" si="62"/>
        <v>6.6847132724292713E-2</v>
      </c>
      <c r="AE110" s="39">
        <f t="shared" si="70"/>
        <v>0.24353777777777777</v>
      </c>
      <c r="AF110" s="37">
        <f t="shared" si="63"/>
        <v>0.28666167741474924</v>
      </c>
      <c r="AG110" s="37">
        <f t="shared" si="80"/>
        <v>4.0265709476136505E-4</v>
      </c>
      <c r="AH110" s="37">
        <f t="shared" si="81"/>
        <v>5.4712483434311183E-3</v>
      </c>
      <c r="AI110" s="40">
        <f t="shared" si="64"/>
        <v>5.8739054381924836E-3</v>
      </c>
      <c r="AJ110" s="39">
        <f t="shared" si="65"/>
        <v>2.5635555555555554E-2</v>
      </c>
      <c r="AK110" s="37">
        <f t="shared" si="82"/>
        <v>9.300532938789767E-2</v>
      </c>
      <c r="AL110" s="37">
        <f t="shared" si="83"/>
        <v>2.122624E-2</v>
      </c>
      <c r="AM110" s="37">
        <f t="shared" si="84"/>
        <v>9.9132400000000009E-2</v>
      </c>
      <c r="AN110" s="40">
        <f t="shared" si="66"/>
        <v>0.12035864000000002</v>
      </c>
      <c r="AO110" s="39">
        <f t="shared" si="85"/>
        <v>3.2869966919295101E-3</v>
      </c>
      <c r="AP110" s="37">
        <f t="shared" si="86"/>
        <v>1.4276250000000003E-3</v>
      </c>
      <c r="AQ110" s="40">
        <f t="shared" si="87"/>
        <v>8.9999999999999993E-3</v>
      </c>
      <c r="AR110" s="39">
        <f t="shared" si="67"/>
        <v>0.20679429985441472</v>
      </c>
      <c r="AS110" s="37">
        <f t="shared" si="68"/>
        <v>4.8451199999999996</v>
      </c>
      <c r="AT110" s="40">
        <f t="shared" si="69"/>
        <v>95.906615045699127</v>
      </c>
    </row>
    <row r="111" spans="17:46" x14ac:dyDescent="0.55000000000000004">
      <c r="Q111">
        <v>104</v>
      </c>
      <c r="R111" s="39">
        <f t="shared" si="45"/>
        <v>210</v>
      </c>
      <c r="S111" s="37">
        <f t="shared" si="73"/>
        <v>2.3296000000000001E-2</v>
      </c>
      <c r="T111" s="37">
        <f t="shared" si="47"/>
        <v>20</v>
      </c>
      <c r="U111" s="40">
        <f t="shared" si="74"/>
        <v>0.27178666666666668</v>
      </c>
      <c r="V111" s="39">
        <f t="shared" si="75"/>
        <v>2</v>
      </c>
      <c r="W111" s="37">
        <f t="shared" si="76"/>
        <v>0.90476190476190477</v>
      </c>
      <c r="X111" s="40">
        <f t="shared" si="77"/>
        <v>9.5238095238095233E-2</v>
      </c>
      <c r="Y111" s="39">
        <f t="shared" si="78"/>
        <v>0.4695183729952801</v>
      </c>
      <c r="Z111" s="37">
        <f t="shared" si="71"/>
        <v>0.50654585316430678</v>
      </c>
      <c r="AA111" s="37">
        <f t="shared" si="72"/>
        <v>0.30370811216164284</v>
      </c>
      <c r="AB111" s="37">
        <v>0</v>
      </c>
      <c r="AC111" s="37">
        <f t="shared" si="79"/>
        <v>6.7887622401092723E-2</v>
      </c>
      <c r="AD111" s="40">
        <f t="shared" si="62"/>
        <v>6.7887622401092723E-2</v>
      </c>
      <c r="AE111" s="39">
        <f t="shared" si="70"/>
        <v>0.24590222222222224</v>
      </c>
      <c r="AF111" s="37">
        <f t="shared" si="63"/>
        <v>0.28888403757373721</v>
      </c>
      <c r="AG111" s="37">
        <f t="shared" si="80"/>
        <v>4.0892453710803168E-4</v>
      </c>
      <c r="AH111" s="37">
        <f t="shared" si="81"/>
        <v>5.5243672593867608E-3</v>
      </c>
      <c r="AI111" s="40">
        <f t="shared" si="64"/>
        <v>5.9332917964947923E-3</v>
      </c>
      <c r="AJ111" s="39">
        <f t="shared" si="65"/>
        <v>2.5884444444444443E-2</v>
      </c>
      <c r="AK111" s="37">
        <f t="shared" si="82"/>
        <v>9.3726358234408488E-2</v>
      </c>
      <c r="AL111" s="37">
        <f t="shared" si="83"/>
        <v>2.1432320000000001E-2</v>
      </c>
      <c r="AM111" s="37">
        <f t="shared" si="84"/>
        <v>9.9132400000000009E-2</v>
      </c>
      <c r="AN111" s="40">
        <f t="shared" si="66"/>
        <v>0.12056472000000001</v>
      </c>
      <c r="AO111" s="39">
        <f t="shared" si="85"/>
        <v>3.3381594865961768E-3</v>
      </c>
      <c r="AP111" s="37">
        <f t="shared" si="86"/>
        <v>1.4276250000000003E-3</v>
      </c>
      <c r="AQ111" s="40">
        <f t="shared" si="87"/>
        <v>8.9999999999999993E-3</v>
      </c>
      <c r="AR111" s="39">
        <f t="shared" si="67"/>
        <v>0.20815141868418369</v>
      </c>
      <c r="AS111" s="37">
        <f t="shared" si="68"/>
        <v>4.8921600000000005</v>
      </c>
      <c r="AT111" s="40">
        <f t="shared" si="69"/>
        <v>95.918848838883576</v>
      </c>
    </row>
    <row r="112" spans="17:46" x14ac:dyDescent="0.55000000000000004">
      <c r="Q112">
        <v>105</v>
      </c>
      <c r="R112" s="39">
        <f t="shared" si="45"/>
        <v>210</v>
      </c>
      <c r="S112" s="37">
        <f t="shared" si="73"/>
        <v>2.3519999999999999E-2</v>
      </c>
      <c r="T112" s="37">
        <f t="shared" si="47"/>
        <v>20</v>
      </c>
      <c r="U112" s="40">
        <f t="shared" si="74"/>
        <v>0.27439999999999998</v>
      </c>
      <c r="V112" s="39">
        <f t="shared" si="75"/>
        <v>2</v>
      </c>
      <c r="W112" s="37">
        <f t="shared" si="76"/>
        <v>0.90476190476190477</v>
      </c>
      <c r="X112" s="40">
        <f t="shared" si="77"/>
        <v>9.5238095238095233E-2</v>
      </c>
      <c r="Y112" s="39">
        <f t="shared" si="78"/>
        <v>0.4695183729952801</v>
      </c>
      <c r="Z112" s="37">
        <f t="shared" si="71"/>
        <v>0.50915918649764003</v>
      </c>
      <c r="AA112" s="37">
        <f t="shared" si="72"/>
        <v>0.30604899152751874</v>
      </c>
      <c r="AB112" s="37">
        <v>0</v>
      </c>
      <c r="AC112" s="37">
        <f t="shared" si="79"/>
        <v>6.8938165118248268E-2</v>
      </c>
      <c r="AD112" s="40">
        <f t="shared" si="62"/>
        <v>6.8938165118248268E-2</v>
      </c>
      <c r="AE112" s="39">
        <f t="shared" si="70"/>
        <v>0.24826666666666664</v>
      </c>
      <c r="AF112" s="37">
        <f t="shared" si="63"/>
        <v>0.29111065798856273</v>
      </c>
      <c r="AG112" s="37">
        <f t="shared" si="80"/>
        <v>4.1525253445321634E-4</v>
      </c>
      <c r="AH112" s="37">
        <f t="shared" si="81"/>
        <v>5.5774861753424025E-3</v>
      </c>
      <c r="AI112" s="40">
        <f t="shared" si="64"/>
        <v>5.992738709795619E-3</v>
      </c>
      <c r="AJ112" s="39">
        <f t="shared" si="65"/>
        <v>2.6133333333333331E-2</v>
      </c>
      <c r="AK112" s="37">
        <f t="shared" si="82"/>
        <v>9.4448769290432041E-2</v>
      </c>
      <c r="AL112" s="37">
        <f t="shared" si="83"/>
        <v>2.1638399999999999E-2</v>
      </c>
      <c r="AM112" s="37">
        <f t="shared" si="84"/>
        <v>9.9132400000000009E-2</v>
      </c>
      <c r="AN112" s="40">
        <f t="shared" si="66"/>
        <v>0.12077080000000001</v>
      </c>
      <c r="AO112" s="39">
        <f t="shared" si="85"/>
        <v>3.3898166077813573E-3</v>
      </c>
      <c r="AP112" s="37">
        <f t="shared" si="86"/>
        <v>1.4276250000000003E-3</v>
      </c>
      <c r="AQ112" s="40">
        <f t="shared" si="87"/>
        <v>8.9999999999999993E-3</v>
      </c>
      <c r="AR112" s="39">
        <f t="shared" si="67"/>
        <v>0.20951914543582525</v>
      </c>
      <c r="AS112" s="37">
        <f t="shared" si="68"/>
        <v>4.9391999999999996</v>
      </c>
      <c r="AT112" s="40">
        <f t="shared" si="69"/>
        <v>95.9306549936491</v>
      </c>
    </row>
    <row r="113" spans="17:46" x14ac:dyDescent="0.55000000000000004">
      <c r="Q113">
        <v>106</v>
      </c>
      <c r="R113" s="39">
        <f t="shared" si="45"/>
        <v>210</v>
      </c>
      <c r="S113" s="37">
        <f t="shared" si="73"/>
        <v>2.3744000000000001E-2</v>
      </c>
      <c r="T113" s="37">
        <f t="shared" si="47"/>
        <v>20</v>
      </c>
      <c r="U113" s="40">
        <f t="shared" si="74"/>
        <v>0.27701333333333333</v>
      </c>
      <c r="V113" s="39">
        <f t="shared" si="75"/>
        <v>2</v>
      </c>
      <c r="W113" s="37">
        <f t="shared" si="76"/>
        <v>0.90476190476190477</v>
      </c>
      <c r="X113" s="40">
        <f t="shared" si="77"/>
        <v>9.5238095238095233E-2</v>
      </c>
      <c r="Y113" s="39">
        <f t="shared" si="78"/>
        <v>0.4695183729952801</v>
      </c>
      <c r="Z113" s="37">
        <f t="shared" si="71"/>
        <v>0.51177251983097338</v>
      </c>
      <c r="AA113" s="37">
        <f t="shared" si="72"/>
        <v>0.30839424777296948</v>
      </c>
      <c r="AB113" s="37">
        <v>0</v>
      </c>
      <c r="AC113" s="37">
        <f t="shared" si="79"/>
        <v>6.9998760875759389E-2</v>
      </c>
      <c r="AD113" s="40">
        <f t="shared" si="62"/>
        <v>6.9998760875759389E-2</v>
      </c>
      <c r="AE113" s="39">
        <f t="shared" si="70"/>
        <v>0.25063111111111114</v>
      </c>
      <c r="AF113" s="37">
        <f t="shared" si="63"/>
        <v>0.29334144164629478</v>
      </c>
      <c r="AG113" s="37">
        <f t="shared" si="80"/>
        <v>4.2164108679692018E-4</v>
      </c>
      <c r="AH113" s="37">
        <f t="shared" si="81"/>
        <v>5.630605091298045E-3</v>
      </c>
      <c r="AI113" s="40">
        <f t="shared" si="64"/>
        <v>6.0522461780949648E-3</v>
      </c>
      <c r="AJ113" s="39">
        <f t="shared" si="65"/>
        <v>2.638222222222222E-2</v>
      </c>
      <c r="AK113" s="37">
        <f t="shared" si="82"/>
        <v>9.5172531080817177E-2</v>
      </c>
      <c r="AL113" s="37">
        <f t="shared" si="83"/>
        <v>2.1844480000000003E-2</v>
      </c>
      <c r="AM113" s="37">
        <f t="shared" si="84"/>
        <v>9.9132400000000009E-2</v>
      </c>
      <c r="AN113" s="40">
        <f t="shared" si="66"/>
        <v>0.12097688000000001</v>
      </c>
      <c r="AO113" s="39">
        <f t="shared" si="85"/>
        <v>3.4419680554850624E-3</v>
      </c>
      <c r="AP113" s="37">
        <f t="shared" si="86"/>
        <v>1.4276250000000003E-3</v>
      </c>
      <c r="AQ113" s="40">
        <f t="shared" si="87"/>
        <v>8.9999999999999993E-3</v>
      </c>
      <c r="AR113" s="39">
        <f t="shared" si="67"/>
        <v>0.2108974801093394</v>
      </c>
      <c r="AS113" s="37">
        <f t="shared" si="68"/>
        <v>4.9862400000000004</v>
      </c>
      <c r="AT113" s="40">
        <f t="shared" si="69"/>
        <v>95.942045387167582</v>
      </c>
    </row>
    <row r="114" spans="17:46" x14ac:dyDescent="0.55000000000000004">
      <c r="Q114">
        <v>107</v>
      </c>
      <c r="R114" s="39">
        <f t="shared" si="45"/>
        <v>210</v>
      </c>
      <c r="S114" s="37">
        <f t="shared" si="73"/>
        <v>2.3968E-2</v>
      </c>
      <c r="T114" s="37">
        <f t="shared" si="47"/>
        <v>20</v>
      </c>
      <c r="U114" s="40">
        <f t="shared" si="74"/>
        <v>0.27962666666666663</v>
      </c>
      <c r="V114" s="39">
        <f t="shared" si="75"/>
        <v>2</v>
      </c>
      <c r="W114" s="37">
        <f t="shared" si="76"/>
        <v>0.90476190476190477</v>
      </c>
      <c r="X114" s="40">
        <f t="shared" si="77"/>
        <v>9.5238095238095233E-2</v>
      </c>
      <c r="Y114" s="39">
        <f t="shared" si="78"/>
        <v>0.4695183729952801</v>
      </c>
      <c r="Z114" s="37">
        <f t="shared" si="71"/>
        <v>0.51438585316430663</v>
      </c>
      <c r="AA114" s="37">
        <f t="shared" si="72"/>
        <v>0.31074378179799889</v>
      </c>
      <c r="AB114" s="37">
        <v>0</v>
      </c>
      <c r="AC114" s="37">
        <f t="shared" si="79"/>
        <v>7.1069409673626044E-2</v>
      </c>
      <c r="AD114" s="40">
        <f t="shared" si="62"/>
        <v>7.1069409673626044E-2</v>
      </c>
      <c r="AE114" s="39">
        <f t="shared" si="70"/>
        <v>0.25299555555555553</v>
      </c>
      <c r="AF114" s="37">
        <f t="shared" si="63"/>
        <v>0.29557629428403437</v>
      </c>
      <c r="AG114" s="37">
        <f t="shared" si="80"/>
        <v>4.2809019413914232E-4</v>
      </c>
      <c r="AH114" s="37">
        <f t="shared" si="81"/>
        <v>5.6837240072536857E-3</v>
      </c>
      <c r="AI114" s="40">
        <f t="shared" si="64"/>
        <v>6.1118142013928279E-3</v>
      </c>
      <c r="AJ114" s="39">
        <f t="shared" si="65"/>
        <v>2.6631111111111105E-2</v>
      </c>
      <c r="AK114" s="37">
        <f t="shared" si="82"/>
        <v>9.5897613022641062E-2</v>
      </c>
      <c r="AL114" s="37">
        <f t="shared" si="83"/>
        <v>2.205056E-2</v>
      </c>
      <c r="AM114" s="37">
        <f t="shared" si="84"/>
        <v>9.9132400000000009E-2</v>
      </c>
      <c r="AN114" s="40">
        <f t="shared" si="66"/>
        <v>0.12118296000000001</v>
      </c>
      <c r="AO114" s="39">
        <f t="shared" si="85"/>
        <v>3.4946138297072839E-3</v>
      </c>
      <c r="AP114" s="37">
        <f t="shared" si="86"/>
        <v>1.4276250000000003E-3</v>
      </c>
      <c r="AQ114" s="40">
        <f t="shared" si="87"/>
        <v>8.9999999999999993E-3</v>
      </c>
      <c r="AR114" s="39">
        <f t="shared" si="67"/>
        <v>0.21228642270472617</v>
      </c>
      <c r="AS114" s="37">
        <f t="shared" si="68"/>
        <v>5.0332799999999995</v>
      </c>
      <c r="AT114" s="40">
        <f t="shared" si="69"/>
        <v>95.953031463182441</v>
      </c>
    </row>
    <row r="115" spans="17:46" x14ac:dyDescent="0.55000000000000004">
      <c r="Q115">
        <v>108</v>
      </c>
      <c r="R115" s="39">
        <f t="shared" si="45"/>
        <v>210</v>
      </c>
      <c r="S115" s="37">
        <f t="shared" si="73"/>
        <v>2.4191999999999998E-2</v>
      </c>
      <c r="T115" s="37">
        <f t="shared" si="47"/>
        <v>20</v>
      </c>
      <c r="U115" s="40">
        <f t="shared" si="74"/>
        <v>0.28223999999999999</v>
      </c>
      <c r="V115" s="39">
        <f t="shared" si="75"/>
        <v>2</v>
      </c>
      <c r="W115" s="37">
        <f t="shared" si="76"/>
        <v>0.90476190476190477</v>
      </c>
      <c r="X115" s="40">
        <f t="shared" si="77"/>
        <v>9.5238095238095233E-2</v>
      </c>
      <c r="Y115" s="39">
        <f t="shared" si="78"/>
        <v>0.4695183729952801</v>
      </c>
      <c r="Z115" s="37">
        <f t="shared" si="71"/>
        <v>0.51699918649763998</v>
      </c>
      <c r="AA115" s="37">
        <f t="shared" si="72"/>
        <v>0.3130974972991819</v>
      </c>
      <c r="AB115" s="37">
        <v>0</v>
      </c>
      <c r="AC115" s="37">
        <f t="shared" si="79"/>
        <v>7.2150111511848261E-2</v>
      </c>
      <c r="AD115" s="40">
        <f t="shared" si="62"/>
        <v>7.2150111511848261E-2</v>
      </c>
      <c r="AE115" s="39">
        <f t="shared" si="70"/>
        <v>0.25535999999999998</v>
      </c>
      <c r="AF115" s="37">
        <f t="shared" si="63"/>
        <v>0.29781512429895268</v>
      </c>
      <c r="AG115" s="37">
        <f t="shared" si="80"/>
        <v>4.3459985647988319E-4</v>
      </c>
      <c r="AH115" s="37">
        <f t="shared" si="81"/>
        <v>5.7368429232093282E-3</v>
      </c>
      <c r="AI115" s="40">
        <f t="shared" si="64"/>
        <v>6.1714427796892117E-3</v>
      </c>
      <c r="AJ115" s="39">
        <f t="shared" si="65"/>
        <v>2.6879999999999998E-2</v>
      </c>
      <c r="AK115" s="37">
        <f t="shared" si="82"/>
        <v>9.6623985396021572E-2</v>
      </c>
      <c r="AL115" s="37">
        <f t="shared" si="83"/>
        <v>2.2256639999999998E-2</v>
      </c>
      <c r="AM115" s="37">
        <f t="shared" si="84"/>
        <v>9.9132400000000009E-2</v>
      </c>
      <c r="AN115" s="40">
        <f t="shared" si="66"/>
        <v>0.12138904</v>
      </c>
      <c r="AO115" s="39">
        <f t="shared" si="85"/>
        <v>3.5477539304480253E-3</v>
      </c>
      <c r="AP115" s="37">
        <f t="shared" si="86"/>
        <v>1.4276250000000003E-3</v>
      </c>
      <c r="AQ115" s="40">
        <f t="shared" si="87"/>
        <v>8.9999999999999993E-3</v>
      </c>
      <c r="AR115" s="39">
        <f t="shared" si="67"/>
        <v>0.21368597322198551</v>
      </c>
      <c r="AS115" s="37">
        <f t="shared" si="68"/>
        <v>5.0803199999999995</v>
      </c>
      <c r="AT115" s="40">
        <f t="shared" si="69"/>
        <v>95.963624251599882</v>
      </c>
    </row>
    <row r="116" spans="17:46" x14ac:dyDescent="0.55000000000000004">
      <c r="Q116">
        <v>109</v>
      </c>
      <c r="R116" s="39">
        <f t="shared" si="45"/>
        <v>210</v>
      </c>
      <c r="S116" s="37">
        <f t="shared" si="73"/>
        <v>2.4416E-2</v>
      </c>
      <c r="T116" s="37">
        <f t="shared" si="47"/>
        <v>20</v>
      </c>
      <c r="U116" s="40">
        <f t="shared" si="74"/>
        <v>0.28485333333333335</v>
      </c>
      <c r="V116" s="39">
        <f t="shared" si="75"/>
        <v>2</v>
      </c>
      <c r="W116" s="37">
        <f t="shared" si="76"/>
        <v>0.90476190476190477</v>
      </c>
      <c r="X116" s="40">
        <f t="shared" si="77"/>
        <v>9.5238095238095233E-2</v>
      </c>
      <c r="Y116" s="39">
        <f t="shared" si="78"/>
        <v>0.4695183729952801</v>
      </c>
      <c r="Z116" s="37">
        <f t="shared" si="71"/>
        <v>0.51961251983097334</v>
      </c>
      <c r="AA116" s="37">
        <f t="shared" si="72"/>
        <v>0.31545530067843586</v>
      </c>
      <c r="AB116" s="37">
        <v>0</v>
      </c>
      <c r="AC116" s="37">
        <f t="shared" si="79"/>
        <v>7.3240866390426068E-2</v>
      </c>
      <c r="AD116" s="40">
        <f t="shared" si="62"/>
        <v>7.3240866390426068E-2</v>
      </c>
      <c r="AE116" s="39">
        <f t="shared" si="70"/>
        <v>0.25772444444444448</v>
      </c>
      <c r="AF116" s="37">
        <f t="shared" si="63"/>
        <v>0.30005784266151436</v>
      </c>
      <c r="AG116" s="37">
        <f t="shared" si="80"/>
        <v>4.4117007381914237E-4</v>
      </c>
      <c r="AH116" s="37">
        <f t="shared" si="81"/>
        <v>5.7899618391649707E-3</v>
      </c>
      <c r="AI116" s="40">
        <f t="shared" si="64"/>
        <v>6.2311319129841128E-3</v>
      </c>
      <c r="AJ116" s="39">
        <f t="shared" si="65"/>
        <v>2.712888888888889E-2</v>
      </c>
      <c r="AK116" s="37">
        <f t="shared" si="82"/>
        <v>9.7351619315963214E-2</v>
      </c>
      <c r="AL116" s="37">
        <f t="shared" si="83"/>
        <v>2.2462720000000002E-2</v>
      </c>
      <c r="AM116" s="37">
        <f t="shared" si="84"/>
        <v>9.9132400000000009E-2</v>
      </c>
      <c r="AN116" s="40">
        <f t="shared" si="66"/>
        <v>0.12159512000000001</v>
      </c>
      <c r="AO116" s="39">
        <f t="shared" si="85"/>
        <v>3.6013883577072844E-3</v>
      </c>
      <c r="AP116" s="37">
        <f t="shared" si="86"/>
        <v>1.4276250000000003E-3</v>
      </c>
      <c r="AQ116" s="40">
        <f t="shared" si="87"/>
        <v>8.9999999999999993E-3</v>
      </c>
      <c r="AR116" s="39">
        <f t="shared" si="67"/>
        <v>0.21509613166111746</v>
      </c>
      <c r="AS116" s="37">
        <f t="shared" si="68"/>
        <v>5.1273600000000004</v>
      </c>
      <c r="AT116" s="40">
        <f t="shared" si="69"/>
        <v>95.973834387026812</v>
      </c>
    </row>
    <row r="117" spans="17:46" x14ac:dyDescent="0.55000000000000004">
      <c r="Q117">
        <v>110</v>
      </c>
      <c r="R117" s="39">
        <f t="shared" si="45"/>
        <v>210</v>
      </c>
      <c r="S117" s="37">
        <f t="shared" si="73"/>
        <v>2.4639999999999999E-2</v>
      </c>
      <c r="T117" s="37">
        <f t="shared" si="47"/>
        <v>20</v>
      </c>
      <c r="U117" s="40">
        <f t="shared" si="74"/>
        <v>0.28746666666666665</v>
      </c>
      <c r="V117" s="39">
        <f t="shared" si="75"/>
        <v>2</v>
      </c>
      <c r="W117" s="37">
        <f t="shared" si="76"/>
        <v>0.90476190476190477</v>
      </c>
      <c r="X117" s="40">
        <f t="shared" si="77"/>
        <v>9.5238095238095233E-2</v>
      </c>
      <c r="Y117" s="39">
        <f t="shared" si="78"/>
        <v>0.4695183729952801</v>
      </c>
      <c r="Z117" s="37">
        <f t="shared" si="71"/>
        <v>0.5222258531643067</v>
      </c>
      <c r="AA117" s="37">
        <f t="shared" si="72"/>
        <v>0.31781710095502363</v>
      </c>
      <c r="AB117" s="37">
        <v>0</v>
      </c>
      <c r="AC117" s="37">
        <f t="shared" si="79"/>
        <v>7.4341674309359382E-2</v>
      </c>
      <c r="AD117" s="40">
        <f t="shared" si="62"/>
        <v>7.4341674309359382E-2</v>
      </c>
      <c r="AE117" s="39">
        <f t="shared" si="70"/>
        <v>0.26008888888888887</v>
      </c>
      <c r="AF117" s="37">
        <f t="shared" si="63"/>
        <v>0.30230436283177686</v>
      </c>
      <c r="AG117" s="37">
        <f t="shared" si="80"/>
        <v>4.478008461569204E-4</v>
      </c>
      <c r="AH117" s="37">
        <f t="shared" si="81"/>
        <v>5.8430807551206115E-3</v>
      </c>
      <c r="AI117" s="40">
        <f t="shared" si="64"/>
        <v>6.290881601277532E-3</v>
      </c>
      <c r="AJ117" s="39">
        <f t="shared" si="65"/>
        <v>2.7377777777777775E-2</v>
      </c>
      <c r="AK117" s="37">
        <f t="shared" si="82"/>
        <v>9.8080486705201017E-2</v>
      </c>
      <c r="AL117" s="37">
        <f t="shared" si="83"/>
        <v>2.2668799999999999E-2</v>
      </c>
      <c r="AM117" s="37">
        <f t="shared" si="84"/>
        <v>9.9132400000000009E-2</v>
      </c>
      <c r="AN117" s="40">
        <f t="shared" si="66"/>
        <v>0.12180120000000001</v>
      </c>
      <c r="AO117" s="39">
        <f t="shared" si="85"/>
        <v>3.6555171114850639E-3</v>
      </c>
      <c r="AP117" s="37">
        <f t="shared" si="86"/>
        <v>1.4276250000000003E-3</v>
      </c>
      <c r="AQ117" s="40">
        <f t="shared" si="87"/>
        <v>8.9999999999999993E-3</v>
      </c>
      <c r="AR117" s="39">
        <f t="shared" si="67"/>
        <v>0.21651689802212198</v>
      </c>
      <c r="AS117" s="37">
        <f t="shared" si="68"/>
        <v>5.1743999999999994</v>
      </c>
      <c r="AT117" s="40">
        <f t="shared" si="69"/>
        <v>95.983672126321224</v>
      </c>
    </row>
    <row r="118" spans="17:46" x14ac:dyDescent="0.55000000000000004">
      <c r="Q118">
        <v>111</v>
      </c>
      <c r="R118" s="39">
        <f t="shared" si="45"/>
        <v>210</v>
      </c>
      <c r="S118" s="37">
        <f t="shared" si="73"/>
        <v>2.4864000000000001E-2</v>
      </c>
      <c r="T118" s="37">
        <f t="shared" si="47"/>
        <v>20</v>
      </c>
      <c r="U118" s="40">
        <f t="shared" si="74"/>
        <v>0.29008</v>
      </c>
      <c r="V118" s="39">
        <f t="shared" si="75"/>
        <v>2</v>
      </c>
      <c r="W118" s="37">
        <f t="shared" si="76"/>
        <v>0.90476190476190477</v>
      </c>
      <c r="X118" s="40">
        <f t="shared" si="77"/>
        <v>9.5238095238095233E-2</v>
      </c>
      <c r="Y118" s="39">
        <f t="shared" si="78"/>
        <v>0.4695183729952801</v>
      </c>
      <c r="Z118" s="37">
        <f t="shared" si="71"/>
        <v>0.52483918649764005</v>
      </c>
      <c r="AA118" s="37">
        <f t="shared" si="72"/>
        <v>0.32018280968067486</v>
      </c>
      <c r="AB118" s="37">
        <v>0</v>
      </c>
      <c r="AC118" s="37">
        <f t="shared" si="79"/>
        <v>7.5452535268648285E-2</v>
      </c>
      <c r="AD118" s="40">
        <f t="shared" si="62"/>
        <v>7.5452535268648285E-2</v>
      </c>
      <c r="AE118" s="39">
        <f t="shared" si="70"/>
        <v>0.26245333333333332</v>
      </c>
      <c r="AF118" s="37">
        <f t="shared" si="63"/>
        <v>0.30455460067865336</v>
      </c>
      <c r="AG118" s="37">
        <f t="shared" si="80"/>
        <v>4.5449217349321673E-4</v>
      </c>
      <c r="AH118" s="37">
        <f t="shared" si="81"/>
        <v>5.8961996710762549E-3</v>
      </c>
      <c r="AI118" s="40">
        <f t="shared" si="64"/>
        <v>6.350691844569472E-3</v>
      </c>
      <c r="AJ118" s="39">
        <f t="shared" si="65"/>
        <v>2.7626666666666664E-2</v>
      </c>
      <c r="AK118" s="37">
        <f t="shared" si="82"/>
        <v>9.8810560268006095E-2</v>
      </c>
      <c r="AL118" s="37">
        <f t="shared" si="83"/>
        <v>2.287488E-2</v>
      </c>
      <c r="AM118" s="37">
        <f t="shared" si="84"/>
        <v>9.9132400000000009E-2</v>
      </c>
      <c r="AN118" s="40">
        <f t="shared" si="66"/>
        <v>0.12200728000000001</v>
      </c>
      <c r="AO118" s="39">
        <f t="shared" si="85"/>
        <v>3.7101401917813605E-3</v>
      </c>
      <c r="AP118" s="37">
        <f t="shared" si="86"/>
        <v>1.4276250000000003E-3</v>
      </c>
      <c r="AQ118" s="40">
        <f t="shared" si="87"/>
        <v>8.9999999999999993E-3</v>
      </c>
      <c r="AR118" s="39">
        <f t="shared" si="67"/>
        <v>0.21794827230499911</v>
      </c>
      <c r="AS118" s="37">
        <f t="shared" si="68"/>
        <v>5.2214400000000003</v>
      </c>
      <c r="AT118" s="40">
        <f t="shared" si="69"/>
        <v>95.993147365215734</v>
      </c>
    </row>
    <row r="119" spans="17:46" x14ac:dyDescent="0.55000000000000004">
      <c r="Q119">
        <v>112</v>
      </c>
      <c r="R119" s="39">
        <f t="shared" si="45"/>
        <v>210</v>
      </c>
      <c r="S119" s="37">
        <f t="shared" si="73"/>
        <v>2.5087999999999999E-2</v>
      </c>
      <c r="T119" s="37">
        <f t="shared" si="47"/>
        <v>20</v>
      </c>
      <c r="U119" s="40">
        <f t="shared" si="74"/>
        <v>0.29269333333333336</v>
      </c>
      <c r="V119" s="39">
        <f t="shared" si="75"/>
        <v>2</v>
      </c>
      <c r="W119" s="37">
        <f t="shared" si="76"/>
        <v>0.90476190476190477</v>
      </c>
      <c r="X119" s="40">
        <f t="shared" si="77"/>
        <v>9.5238095238095233E-2</v>
      </c>
      <c r="Y119" s="39">
        <f t="shared" si="78"/>
        <v>0.4695183729952801</v>
      </c>
      <c r="Z119" s="37">
        <f t="shared" si="71"/>
        <v>0.52745251983097341</v>
      </c>
      <c r="AA119" s="37">
        <f t="shared" si="72"/>
        <v>0.32255234085771112</v>
      </c>
      <c r="AB119" s="37">
        <v>0</v>
      </c>
      <c r="AC119" s="37">
        <f t="shared" si="79"/>
        <v>7.6573449268292737E-2</v>
      </c>
      <c r="AD119" s="40">
        <f t="shared" si="62"/>
        <v>7.6573449268292737E-2</v>
      </c>
      <c r="AE119" s="39">
        <f t="shared" si="70"/>
        <v>0.26481777777777782</v>
      </c>
      <c r="AF119" s="37">
        <f t="shared" si="63"/>
        <v>0.30680847440203535</v>
      </c>
      <c r="AG119" s="37">
        <f t="shared" si="80"/>
        <v>4.6124405582803152E-4</v>
      </c>
      <c r="AH119" s="37">
        <f t="shared" si="81"/>
        <v>5.9493185870318974E-3</v>
      </c>
      <c r="AI119" s="40">
        <f t="shared" si="64"/>
        <v>6.4105626428599292E-3</v>
      </c>
      <c r="AJ119" s="39">
        <f t="shared" si="65"/>
        <v>2.7875555555555556E-2</v>
      </c>
      <c r="AK119" s="37">
        <f t="shared" si="82"/>
        <v>9.9541813464918708E-2</v>
      </c>
      <c r="AL119" s="37">
        <f t="shared" si="83"/>
        <v>2.3080960000000001E-2</v>
      </c>
      <c r="AM119" s="37">
        <f t="shared" si="84"/>
        <v>9.9132400000000009E-2</v>
      </c>
      <c r="AN119" s="40">
        <f t="shared" si="66"/>
        <v>0.12221336000000001</v>
      </c>
      <c r="AO119" s="39">
        <f t="shared" si="85"/>
        <v>3.765257598596175E-3</v>
      </c>
      <c r="AP119" s="37">
        <f t="shared" si="86"/>
        <v>1.4276250000000003E-3</v>
      </c>
      <c r="AQ119" s="40">
        <f t="shared" si="87"/>
        <v>8.9999999999999993E-3</v>
      </c>
      <c r="AR119" s="39">
        <f t="shared" si="67"/>
        <v>0.21939025450974886</v>
      </c>
      <c r="AS119" s="37">
        <f t="shared" si="68"/>
        <v>5.2684800000000003</v>
      </c>
      <c r="AT119" s="40">
        <f t="shared" si="69"/>
        <v>96.002269654070972</v>
      </c>
    </row>
    <row r="120" spans="17:46" x14ac:dyDescent="0.55000000000000004">
      <c r="Q120">
        <v>113</v>
      </c>
      <c r="R120" s="39">
        <f t="shared" si="45"/>
        <v>210</v>
      </c>
      <c r="S120" s="37">
        <f t="shared" si="73"/>
        <v>2.5312000000000001E-2</v>
      </c>
      <c r="T120" s="37">
        <f t="shared" si="47"/>
        <v>20</v>
      </c>
      <c r="U120" s="40">
        <f t="shared" si="74"/>
        <v>0.29530666666666666</v>
      </c>
      <c r="V120" s="39">
        <f t="shared" si="75"/>
        <v>2</v>
      </c>
      <c r="W120" s="37">
        <f t="shared" si="76"/>
        <v>0.90476190476190477</v>
      </c>
      <c r="X120" s="40">
        <f t="shared" si="77"/>
        <v>9.5238095238095233E-2</v>
      </c>
      <c r="Y120" s="39">
        <f t="shared" si="78"/>
        <v>0.4695183729952801</v>
      </c>
      <c r="Z120" s="37">
        <f t="shared" si="71"/>
        <v>0.53006585316430677</v>
      </c>
      <c r="AA120" s="37">
        <f t="shared" si="72"/>
        <v>0.32492561086006905</v>
      </c>
      <c r="AB120" s="37">
        <v>0</v>
      </c>
      <c r="AC120" s="37">
        <f t="shared" si="79"/>
        <v>7.7704416308292723E-2</v>
      </c>
      <c r="AD120" s="40">
        <f t="shared" si="62"/>
        <v>7.7704416308292723E-2</v>
      </c>
      <c r="AE120" s="39">
        <f t="shared" si="70"/>
        <v>0.26718222222222221</v>
      </c>
      <c r="AF120" s="37">
        <f t="shared" si="63"/>
        <v>0.30906590445767013</v>
      </c>
      <c r="AG120" s="37">
        <f t="shared" si="80"/>
        <v>4.6805649316136472E-4</v>
      </c>
      <c r="AH120" s="37">
        <f t="shared" si="81"/>
        <v>6.002437502987539E-3</v>
      </c>
      <c r="AI120" s="40">
        <f t="shared" si="64"/>
        <v>6.4704939961489037E-3</v>
      </c>
      <c r="AJ120" s="39">
        <f t="shared" si="65"/>
        <v>2.8124444444444441E-2</v>
      </c>
      <c r="AK120" s="37">
        <f t="shared" si="82"/>
        <v>0.10027422048837545</v>
      </c>
      <c r="AL120" s="37">
        <f t="shared" si="83"/>
        <v>2.3287040000000002E-2</v>
      </c>
      <c r="AM120" s="37">
        <f t="shared" si="84"/>
        <v>9.9132400000000009E-2</v>
      </c>
      <c r="AN120" s="40">
        <f t="shared" si="66"/>
        <v>0.12241944000000002</v>
      </c>
      <c r="AO120" s="39">
        <f t="shared" si="85"/>
        <v>3.8208693319295075E-3</v>
      </c>
      <c r="AP120" s="37">
        <f t="shared" si="86"/>
        <v>1.4276250000000003E-3</v>
      </c>
      <c r="AQ120" s="40">
        <f t="shared" si="87"/>
        <v>8.9999999999999993E-3</v>
      </c>
      <c r="AR120" s="39">
        <f t="shared" si="67"/>
        <v>0.22084284463637116</v>
      </c>
      <c r="AS120" s="37">
        <f t="shared" si="68"/>
        <v>5.3155200000000002</v>
      </c>
      <c r="AT120" s="40">
        <f t="shared" si="69"/>
        <v>96.01104821281136</v>
      </c>
    </row>
    <row r="121" spans="17:46" x14ac:dyDescent="0.55000000000000004">
      <c r="Q121">
        <v>114</v>
      </c>
      <c r="R121" s="39">
        <f t="shared" si="45"/>
        <v>210</v>
      </c>
      <c r="S121" s="37">
        <f t="shared" si="73"/>
        <v>2.5536E-2</v>
      </c>
      <c r="T121" s="37">
        <f t="shared" si="47"/>
        <v>20</v>
      </c>
      <c r="U121" s="40">
        <f t="shared" si="74"/>
        <v>0.29792000000000002</v>
      </c>
      <c r="V121" s="39">
        <f t="shared" si="75"/>
        <v>2</v>
      </c>
      <c r="W121" s="37">
        <f t="shared" si="76"/>
        <v>0.90476190476190477</v>
      </c>
      <c r="X121" s="40">
        <f t="shared" si="77"/>
        <v>9.5238095238095233E-2</v>
      </c>
      <c r="Y121" s="39">
        <f t="shared" si="78"/>
        <v>0.4695183729952801</v>
      </c>
      <c r="Z121" s="37">
        <f t="shared" si="71"/>
        <v>0.53267918649764012</v>
      </c>
      <c r="AA121" s="37">
        <f t="shared" si="72"/>
        <v>0.32730253835711581</v>
      </c>
      <c r="AB121" s="37">
        <v>0</v>
      </c>
      <c r="AC121" s="37">
        <f t="shared" si="79"/>
        <v>7.8845436388648285E-2</v>
      </c>
      <c r="AD121" s="40">
        <f t="shared" si="62"/>
        <v>7.8845436388648285E-2</v>
      </c>
      <c r="AE121" s="39">
        <f t="shared" si="70"/>
        <v>0.26954666666666671</v>
      </c>
      <c r="AF121" s="37">
        <f t="shared" si="63"/>
        <v>0.31132681348469493</v>
      </c>
      <c r="AG121" s="37">
        <f t="shared" si="80"/>
        <v>4.7492948549321677E-4</v>
      </c>
      <c r="AH121" s="37">
        <f t="shared" si="81"/>
        <v>6.0555564189431798E-3</v>
      </c>
      <c r="AI121" s="40">
        <f t="shared" si="64"/>
        <v>6.5304859044363964E-3</v>
      </c>
      <c r="AJ121" s="39">
        <f t="shared" si="65"/>
        <v>2.8373333333333334E-2</v>
      </c>
      <c r="AK121" s="37">
        <f t="shared" si="82"/>
        <v>0.10100775623919811</v>
      </c>
      <c r="AL121" s="37">
        <f t="shared" si="83"/>
        <v>2.3493119999999999E-2</v>
      </c>
      <c r="AM121" s="37">
        <f t="shared" si="84"/>
        <v>9.9132400000000009E-2</v>
      </c>
      <c r="AN121" s="40">
        <f t="shared" si="66"/>
        <v>0.12262552000000002</v>
      </c>
      <c r="AO121" s="39">
        <f t="shared" si="85"/>
        <v>3.8769753917813612E-3</v>
      </c>
      <c r="AP121" s="37">
        <f t="shared" si="86"/>
        <v>1.4276250000000003E-3</v>
      </c>
      <c r="AQ121" s="40">
        <f t="shared" si="87"/>
        <v>8.9999999999999993E-3</v>
      </c>
      <c r="AR121" s="39">
        <f t="shared" si="67"/>
        <v>0.22230604268486603</v>
      </c>
      <c r="AS121" s="37">
        <f t="shared" si="68"/>
        <v>5.3625600000000002</v>
      </c>
      <c r="AT121" s="40">
        <f t="shared" si="69"/>
        <v>96.019491945092483</v>
      </c>
    </row>
    <row r="122" spans="17:46" x14ac:dyDescent="0.55000000000000004">
      <c r="Q122">
        <v>115</v>
      </c>
      <c r="R122" s="39">
        <f t="shared" si="45"/>
        <v>210</v>
      </c>
      <c r="S122" s="37">
        <f t="shared" si="73"/>
        <v>2.5759999999999998E-2</v>
      </c>
      <c r="T122" s="37">
        <f t="shared" si="47"/>
        <v>20</v>
      </c>
      <c r="U122" s="40">
        <f t="shared" si="74"/>
        <v>0.30053333333333332</v>
      </c>
      <c r="V122" s="39">
        <f t="shared" si="75"/>
        <v>2</v>
      </c>
      <c r="W122" s="37">
        <f t="shared" si="76"/>
        <v>0.90476190476190477</v>
      </c>
      <c r="X122" s="40">
        <f t="shared" si="77"/>
        <v>9.5238095238095233E-2</v>
      </c>
      <c r="Y122" s="39">
        <f t="shared" si="78"/>
        <v>0.4695183729952801</v>
      </c>
      <c r="Z122" s="37">
        <f t="shared" si="71"/>
        <v>0.53529251983097337</v>
      </c>
      <c r="AA122" s="37">
        <f t="shared" si="72"/>
        <v>0.32968304424015454</v>
      </c>
      <c r="AB122" s="37">
        <v>0</v>
      </c>
      <c r="AC122" s="37">
        <f t="shared" si="79"/>
        <v>7.9996509509359395E-2</v>
      </c>
      <c r="AD122" s="40">
        <f t="shared" si="62"/>
        <v>7.9996509509359395E-2</v>
      </c>
      <c r="AE122" s="39">
        <f t="shared" si="70"/>
        <v>0.2719111111111111</v>
      </c>
      <c r="AF122" s="37">
        <f t="shared" si="63"/>
        <v>0.31359112623572954</v>
      </c>
      <c r="AG122" s="37">
        <f t="shared" si="80"/>
        <v>4.8186303282358707E-4</v>
      </c>
      <c r="AH122" s="37">
        <f t="shared" si="81"/>
        <v>6.1086753348988214E-3</v>
      </c>
      <c r="AI122" s="40">
        <f t="shared" si="64"/>
        <v>6.590538367722408E-3</v>
      </c>
      <c r="AJ122" s="39">
        <f t="shared" si="65"/>
        <v>2.8622222222222219E-2</v>
      </c>
      <c r="AK122" s="37">
        <f t="shared" si="82"/>
        <v>0.1017423963039128</v>
      </c>
      <c r="AL122" s="37">
        <f t="shared" si="83"/>
        <v>2.36992E-2</v>
      </c>
      <c r="AM122" s="37">
        <f t="shared" si="84"/>
        <v>9.9132400000000009E-2</v>
      </c>
      <c r="AN122" s="40">
        <f t="shared" si="66"/>
        <v>0.12283160000000001</v>
      </c>
      <c r="AO122" s="39">
        <f t="shared" si="85"/>
        <v>3.9335757781517305E-3</v>
      </c>
      <c r="AP122" s="37">
        <f t="shared" si="86"/>
        <v>1.4276250000000003E-3</v>
      </c>
      <c r="AQ122" s="40">
        <f t="shared" si="87"/>
        <v>8.9999999999999993E-3</v>
      </c>
      <c r="AR122" s="39">
        <f t="shared" si="67"/>
        <v>0.22377984865523354</v>
      </c>
      <c r="AS122" s="37">
        <f t="shared" si="68"/>
        <v>5.4095999999999993</v>
      </c>
      <c r="AT122" s="40">
        <f t="shared" si="69"/>
        <v>96.02760945174586</v>
      </c>
    </row>
    <row r="123" spans="17:46" x14ac:dyDescent="0.55000000000000004">
      <c r="Q123">
        <v>116</v>
      </c>
      <c r="R123" s="39">
        <f t="shared" si="45"/>
        <v>210</v>
      </c>
      <c r="S123" s="37">
        <f t="shared" si="73"/>
        <v>2.5984E-2</v>
      </c>
      <c r="T123" s="37">
        <f t="shared" si="47"/>
        <v>20</v>
      </c>
      <c r="U123" s="40">
        <f t="shared" si="74"/>
        <v>0.30314666666666668</v>
      </c>
      <c r="V123" s="39">
        <f t="shared" si="75"/>
        <v>2</v>
      </c>
      <c r="W123" s="37">
        <f t="shared" si="76"/>
        <v>0.90476190476190477</v>
      </c>
      <c r="X123" s="40">
        <f t="shared" si="77"/>
        <v>9.5238095238095233E-2</v>
      </c>
      <c r="Y123" s="39">
        <f t="shared" si="78"/>
        <v>0.4695183729952801</v>
      </c>
      <c r="Z123" s="37">
        <f t="shared" si="71"/>
        <v>0.53790585316430672</v>
      </c>
      <c r="AA123" s="37">
        <f t="shared" si="72"/>
        <v>0.33206705155152377</v>
      </c>
      <c r="AB123" s="37">
        <v>0</v>
      </c>
      <c r="AC123" s="37">
        <f t="shared" si="79"/>
        <v>8.1157635670426054E-2</v>
      </c>
      <c r="AD123" s="40">
        <f t="shared" si="62"/>
        <v>8.1157635670426054E-2</v>
      </c>
      <c r="AE123" s="39">
        <f t="shared" si="70"/>
        <v>0.27427555555555555</v>
      </c>
      <c r="AF123" s="37">
        <f t="shared" si="63"/>
        <v>0.3158587695094367</v>
      </c>
      <c r="AG123" s="37">
        <f t="shared" si="80"/>
        <v>4.8885713515247578E-4</v>
      </c>
      <c r="AH123" s="37">
        <f t="shared" si="81"/>
        <v>6.1617942508544639E-3</v>
      </c>
      <c r="AI123" s="40">
        <f t="shared" si="64"/>
        <v>6.6506513860069396E-3</v>
      </c>
      <c r="AJ123" s="39">
        <f t="shared" si="65"/>
        <v>2.8871111111111111E-2</v>
      </c>
      <c r="AK123" s="37">
        <f t="shared" si="82"/>
        <v>0.10247811693286958</v>
      </c>
      <c r="AL123" s="37">
        <f t="shared" si="83"/>
        <v>2.3905280000000001E-2</v>
      </c>
      <c r="AM123" s="37">
        <f t="shared" si="84"/>
        <v>9.9132400000000009E-2</v>
      </c>
      <c r="AN123" s="40">
        <f t="shared" si="66"/>
        <v>0.12303768000000001</v>
      </c>
      <c r="AO123" s="39">
        <f t="shared" si="85"/>
        <v>3.9906704910406179E-3</v>
      </c>
      <c r="AP123" s="37">
        <f t="shared" si="86"/>
        <v>1.4276250000000003E-3</v>
      </c>
      <c r="AQ123" s="40">
        <f t="shared" si="87"/>
        <v>8.9999999999999993E-3</v>
      </c>
      <c r="AR123" s="39">
        <f t="shared" si="67"/>
        <v>0.22526426254747361</v>
      </c>
      <c r="AS123" s="37">
        <f t="shared" si="68"/>
        <v>5.4566400000000002</v>
      </c>
      <c r="AT123" s="40">
        <f t="shared" si="69"/>
        <v>96.035409043543495</v>
      </c>
    </row>
    <row r="124" spans="17:46" x14ac:dyDescent="0.55000000000000004">
      <c r="Q124">
        <v>117</v>
      </c>
      <c r="R124" s="39">
        <f t="shared" si="45"/>
        <v>210</v>
      </c>
      <c r="S124" s="37">
        <f t="shared" si="73"/>
        <v>2.6207999999999999E-2</v>
      </c>
      <c r="T124" s="37">
        <f t="shared" si="47"/>
        <v>20</v>
      </c>
      <c r="U124" s="40">
        <f t="shared" si="74"/>
        <v>0.30576000000000003</v>
      </c>
      <c r="V124" s="39">
        <f t="shared" si="75"/>
        <v>2</v>
      </c>
      <c r="W124" s="37">
        <f t="shared" si="76"/>
        <v>0.90476190476190477</v>
      </c>
      <c r="X124" s="40">
        <f t="shared" si="77"/>
        <v>9.5238095238095233E-2</v>
      </c>
      <c r="Y124" s="39">
        <f t="shared" si="78"/>
        <v>0.4695183729952801</v>
      </c>
      <c r="Z124" s="37">
        <f t="shared" si="71"/>
        <v>0.54051918649764008</v>
      </c>
      <c r="AA124" s="37">
        <f t="shared" si="72"/>
        <v>0.33445448541619421</v>
      </c>
      <c r="AB124" s="37">
        <v>0</v>
      </c>
      <c r="AC124" s="37">
        <f t="shared" si="79"/>
        <v>8.2328814871848288E-2</v>
      </c>
      <c r="AD124" s="40">
        <f t="shared" si="62"/>
        <v>8.2328814871848288E-2</v>
      </c>
      <c r="AE124" s="39">
        <f t="shared" si="70"/>
        <v>0.27664000000000005</v>
      </c>
      <c r="AF124" s="37">
        <f t="shared" si="63"/>
        <v>0.31812967208545739</v>
      </c>
      <c r="AG124" s="37">
        <f t="shared" si="80"/>
        <v>4.9591179247988329E-4</v>
      </c>
      <c r="AH124" s="37">
        <f t="shared" si="81"/>
        <v>6.2149131668101064E-3</v>
      </c>
      <c r="AI124" s="40">
        <f t="shared" si="64"/>
        <v>6.7108249592899901E-3</v>
      </c>
      <c r="AJ124" s="39">
        <f t="shared" si="65"/>
        <v>2.912E-2</v>
      </c>
      <c r="AK124" s="37">
        <f t="shared" si="82"/>
        <v>0.10321489501913274</v>
      </c>
      <c r="AL124" s="37">
        <f t="shared" si="83"/>
        <v>2.4111359999999998E-2</v>
      </c>
      <c r="AM124" s="37">
        <f t="shared" si="84"/>
        <v>9.9132400000000009E-2</v>
      </c>
      <c r="AN124" s="40">
        <f t="shared" si="66"/>
        <v>0.12324376000000001</v>
      </c>
      <c r="AO124" s="39">
        <f t="shared" si="85"/>
        <v>4.048259530448026E-3</v>
      </c>
      <c r="AP124" s="37">
        <f t="shared" si="86"/>
        <v>1.4276250000000003E-3</v>
      </c>
      <c r="AQ124" s="40">
        <f t="shared" si="87"/>
        <v>8.9999999999999993E-3</v>
      </c>
      <c r="AR124" s="39">
        <f t="shared" si="67"/>
        <v>0.22675928436158629</v>
      </c>
      <c r="AS124" s="37">
        <f t="shared" si="68"/>
        <v>5.5036800000000001</v>
      </c>
      <c r="AT124" s="40">
        <f t="shared" si="69"/>
        <v>96.04289875332222</v>
      </c>
    </row>
    <row r="125" spans="17:46" x14ac:dyDescent="0.55000000000000004">
      <c r="Q125">
        <v>118</v>
      </c>
      <c r="R125" s="39">
        <f t="shared" si="45"/>
        <v>210</v>
      </c>
      <c r="S125" s="37">
        <f t="shared" si="73"/>
        <v>2.6432000000000001E-2</v>
      </c>
      <c r="T125" s="37">
        <f t="shared" si="47"/>
        <v>20</v>
      </c>
      <c r="U125" s="40">
        <f t="shared" si="74"/>
        <v>0.30837333333333333</v>
      </c>
      <c r="V125" s="39">
        <f t="shared" si="75"/>
        <v>2</v>
      </c>
      <c r="W125" s="37">
        <f t="shared" si="76"/>
        <v>0.90476190476190477</v>
      </c>
      <c r="X125" s="40">
        <f t="shared" si="77"/>
        <v>9.5238095238095233E-2</v>
      </c>
      <c r="Y125" s="39">
        <f t="shared" si="78"/>
        <v>0.4695183729952801</v>
      </c>
      <c r="Z125" s="37">
        <f t="shared" si="71"/>
        <v>0.54313251983097333</v>
      </c>
      <c r="AA125" s="37">
        <f t="shared" si="72"/>
        <v>0.33684527297577199</v>
      </c>
      <c r="AB125" s="37">
        <v>0</v>
      </c>
      <c r="AC125" s="37">
        <f t="shared" si="79"/>
        <v>8.3510047113626057E-2</v>
      </c>
      <c r="AD125" s="40">
        <f t="shared" si="62"/>
        <v>8.3510047113626057E-2</v>
      </c>
      <c r="AE125" s="39">
        <f t="shared" si="70"/>
        <v>0.27900444444444444</v>
      </c>
      <c r="AF125" s="37">
        <f t="shared" si="63"/>
        <v>0.32040376466163561</v>
      </c>
      <c r="AG125" s="37">
        <f t="shared" si="80"/>
        <v>5.0302700480580915E-4</v>
      </c>
      <c r="AH125" s="37">
        <f t="shared" si="81"/>
        <v>6.2680320827657472E-3</v>
      </c>
      <c r="AI125" s="40">
        <f t="shared" si="64"/>
        <v>6.7710590875715562E-3</v>
      </c>
      <c r="AJ125" s="39">
        <f t="shared" si="65"/>
        <v>2.9368888888888889E-2</v>
      </c>
      <c r="AK125" s="37">
        <f t="shared" si="82"/>
        <v>0.10395270807811384</v>
      </c>
      <c r="AL125" s="37">
        <f t="shared" si="83"/>
        <v>2.4317440000000003E-2</v>
      </c>
      <c r="AM125" s="37">
        <f t="shared" si="84"/>
        <v>9.9132400000000009E-2</v>
      </c>
      <c r="AN125" s="40">
        <f t="shared" si="66"/>
        <v>0.12344984000000001</v>
      </c>
      <c r="AO125" s="39">
        <f t="shared" si="85"/>
        <v>4.1063428963739514E-3</v>
      </c>
      <c r="AP125" s="37">
        <f t="shared" si="86"/>
        <v>1.4276250000000003E-3</v>
      </c>
      <c r="AQ125" s="40">
        <f t="shared" si="87"/>
        <v>8.9999999999999993E-3</v>
      </c>
      <c r="AR125" s="39">
        <f t="shared" si="67"/>
        <v>0.22826491409757158</v>
      </c>
      <c r="AS125" s="37">
        <f t="shared" si="68"/>
        <v>5.5507200000000001</v>
      </c>
      <c r="AT125" s="40">
        <f t="shared" si="69"/>
        <v>96.050086347504916</v>
      </c>
    </row>
    <row r="126" spans="17:46" x14ac:dyDescent="0.55000000000000004">
      <c r="Q126">
        <v>119</v>
      </c>
      <c r="R126" s="39">
        <f t="shared" si="45"/>
        <v>210</v>
      </c>
      <c r="S126" s="37">
        <f t="shared" si="73"/>
        <v>2.6655999999999999E-2</v>
      </c>
      <c r="T126" s="37">
        <f t="shared" si="47"/>
        <v>20</v>
      </c>
      <c r="U126" s="40">
        <f t="shared" si="74"/>
        <v>0.31098666666666669</v>
      </c>
      <c r="V126" s="39">
        <f t="shared" si="75"/>
        <v>2</v>
      </c>
      <c r="W126" s="37">
        <f t="shared" si="76"/>
        <v>0.90476190476190477</v>
      </c>
      <c r="X126" s="40">
        <f t="shared" si="77"/>
        <v>9.5238095238095233E-2</v>
      </c>
      <c r="Y126" s="39">
        <f t="shared" si="78"/>
        <v>0.4695183729952801</v>
      </c>
      <c r="Z126" s="37">
        <f t="shared" si="71"/>
        <v>0.54574585316430668</v>
      </c>
      <c r="AA126" s="37">
        <f t="shared" si="72"/>
        <v>0.33923934332482092</v>
      </c>
      <c r="AB126" s="37">
        <v>0</v>
      </c>
      <c r="AC126" s="37">
        <f t="shared" si="79"/>
        <v>8.4701332395759402E-2</v>
      </c>
      <c r="AD126" s="40">
        <f t="shared" si="62"/>
        <v>8.4701332395759402E-2</v>
      </c>
      <c r="AE126" s="39">
        <f t="shared" si="70"/>
        <v>0.28136888888888889</v>
      </c>
      <c r="AF126" s="37">
        <f t="shared" si="63"/>
        <v>0.32268097979344851</v>
      </c>
      <c r="AG126" s="37">
        <f t="shared" si="80"/>
        <v>5.1020277213025369E-4</v>
      </c>
      <c r="AH126" s="37">
        <f t="shared" si="81"/>
        <v>6.3211509987213905E-3</v>
      </c>
      <c r="AI126" s="40">
        <f t="shared" si="64"/>
        <v>6.8313537708516439E-3</v>
      </c>
      <c r="AJ126" s="39">
        <f t="shared" si="65"/>
        <v>2.9617777777777778E-2</v>
      </c>
      <c r="AK126" s="37">
        <f t="shared" si="82"/>
        <v>0.10469153422792017</v>
      </c>
      <c r="AL126" s="37">
        <f t="shared" si="83"/>
        <v>2.452352E-2</v>
      </c>
      <c r="AM126" s="37">
        <f t="shared" si="84"/>
        <v>9.9132400000000009E-2</v>
      </c>
      <c r="AN126" s="40">
        <f t="shared" si="66"/>
        <v>0.12365592</v>
      </c>
      <c r="AO126" s="39">
        <f t="shared" si="85"/>
        <v>4.1649205888183976E-3</v>
      </c>
      <c r="AP126" s="37">
        <f t="shared" si="86"/>
        <v>1.4276250000000003E-3</v>
      </c>
      <c r="AQ126" s="40">
        <f t="shared" si="87"/>
        <v>8.9999999999999993E-3</v>
      </c>
      <c r="AR126" s="39">
        <f t="shared" si="67"/>
        <v>0.22978115175542946</v>
      </c>
      <c r="AS126" s="37">
        <f t="shared" si="68"/>
        <v>5.5977600000000001</v>
      </c>
      <c r="AT126" s="40">
        <f t="shared" si="69"/>
        <v>96.056979337053463</v>
      </c>
    </row>
    <row r="127" spans="17:46" x14ac:dyDescent="0.55000000000000004">
      <c r="Q127">
        <v>120</v>
      </c>
      <c r="R127" s="39">
        <f t="shared" si="45"/>
        <v>210</v>
      </c>
      <c r="S127" s="37">
        <f t="shared" si="73"/>
        <v>2.6880000000000001E-2</v>
      </c>
      <c r="T127" s="37">
        <f t="shared" si="47"/>
        <v>20</v>
      </c>
      <c r="U127" s="40">
        <f t="shared" si="74"/>
        <v>0.31359999999999999</v>
      </c>
      <c r="V127" s="39">
        <f t="shared" si="75"/>
        <v>2</v>
      </c>
      <c r="W127" s="37">
        <f t="shared" si="76"/>
        <v>0.90476190476190477</v>
      </c>
      <c r="X127" s="40">
        <f t="shared" si="77"/>
        <v>9.5238095238095233E-2</v>
      </c>
      <c r="Y127" s="39">
        <f t="shared" si="78"/>
        <v>0.4695183729952801</v>
      </c>
      <c r="Z127" s="37">
        <f t="shared" si="71"/>
        <v>0.54835918649764004</v>
      </c>
      <c r="AA127" s="37">
        <f t="shared" si="72"/>
        <v>0.34163662744941625</v>
      </c>
      <c r="AB127" s="37">
        <v>0</v>
      </c>
      <c r="AC127" s="37">
        <f t="shared" si="79"/>
        <v>8.5902670718248267E-2</v>
      </c>
      <c r="AD127" s="40">
        <f t="shared" si="62"/>
        <v>8.5902670718248267E-2</v>
      </c>
      <c r="AE127" s="39">
        <f t="shared" si="70"/>
        <v>0.28373333333333334</v>
      </c>
      <c r="AF127" s="37">
        <f t="shared" si="63"/>
        <v>0.32496125183555957</v>
      </c>
      <c r="AG127" s="37">
        <f t="shared" si="80"/>
        <v>5.1743909445321659E-4</v>
      </c>
      <c r="AH127" s="37">
        <f t="shared" si="81"/>
        <v>6.3742699146770313E-3</v>
      </c>
      <c r="AI127" s="40">
        <f t="shared" si="64"/>
        <v>6.891709009130248E-3</v>
      </c>
      <c r="AJ127" s="39">
        <f t="shared" si="65"/>
        <v>2.9866666666666663E-2</v>
      </c>
      <c r="AK127" s="37">
        <f t="shared" si="82"/>
        <v>0.10543135217039219</v>
      </c>
      <c r="AL127" s="37">
        <f t="shared" si="83"/>
        <v>2.4729600000000001E-2</v>
      </c>
      <c r="AM127" s="37">
        <f t="shared" si="84"/>
        <v>9.9132400000000009E-2</v>
      </c>
      <c r="AN127" s="40">
        <f t="shared" si="66"/>
        <v>0.12386200000000001</v>
      </c>
      <c r="AO127" s="39">
        <f t="shared" si="85"/>
        <v>4.2239926077813593E-3</v>
      </c>
      <c r="AP127" s="37">
        <f t="shared" si="86"/>
        <v>1.4276250000000003E-3</v>
      </c>
      <c r="AQ127" s="40">
        <f t="shared" si="87"/>
        <v>8.9999999999999993E-3</v>
      </c>
      <c r="AR127" s="39">
        <f t="shared" si="67"/>
        <v>0.23130799733515989</v>
      </c>
      <c r="AS127" s="37">
        <f t="shared" si="68"/>
        <v>5.6448</v>
      </c>
      <c r="AT127" s="40">
        <f t="shared" si="69"/>
        <v>96.063584987885548</v>
      </c>
    </row>
    <row r="128" spans="17:46" x14ac:dyDescent="0.55000000000000004">
      <c r="Q128">
        <v>121</v>
      </c>
      <c r="R128" s="39">
        <f t="shared" si="45"/>
        <v>210</v>
      </c>
      <c r="S128" s="37">
        <f t="shared" si="73"/>
        <v>2.7104E-2</v>
      </c>
      <c r="T128" s="37">
        <f t="shared" si="47"/>
        <v>20</v>
      </c>
      <c r="U128" s="40">
        <f t="shared" si="74"/>
        <v>0.31621333333333335</v>
      </c>
      <c r="V128" s="39">
        <f t="shared" si="75"/>
        <v>2</v>
      </c>
      <c r="W128" s="37">
        <f t="shared" si="76"/>
        <v>0.90476190476190477</v>
      </c>
      <c r="X128" s="40">
        <f t="shared" si="77"/>
        <v>9.5238095238095233E-2</v>
      </c>
      <c r="Y128" s="39">
        <f t="shared" si="78"/>
        <v>0.4695183729952801</v>
      </c>
      <c r="Z128" s="37">
        <f t="shared" si="71"/>
        <v>0.5509725198309734</v>
      </c>
      <c r="AA128" s="37">
        <f t="shared" si="72"/>
        <v>0.34403705816785063</v>
      </c>
      <c r="AB128" s="37">
        <v>0</v>
      </c>
      <c r="AC128" s="37">
        <f t="shared" si="79"/>
        <v>8.7114062081092722E-2</v>
      </c>
      <c r="AD128" s="40">
        <f t="shared" si="62"/>
        <v>8.7114062081092722E-2</v>
      </c>
      <c r="AE128" s="39">
        <f t="shared" si="70"/>
        <v>0.28609777777777778</v>
      </c>
      <c r="AF128" s="37">
        <f t="shared" si="63"/>
        <v>0.32724451688541861</v>
      </c>
      <c r="AG128" s="37">
        <f t="shared" si="80"/>
        <v>5.2473597177469806E-4</v>
      </c>
      <c r="AH128" s="37">
        <f t="shared" si="81"/>
        <v>6.4273888306326746E-3</v>
      </c>
      <c r="AI128" s="40">
        <f t="shared" si="64"/>
        <v>6.9521248024073728E-3</v>
      </c>
      <c r="AJ128" s="39">
        <f t="shared" si="65"/>
        <v>3.0115555555555555E-2</v>
      </c>
      <c r="AK128" s="37">
        <f t="shared" si="82"/>
        <v>0.10617214117280484</v>
      </c>
      <c r="AL128" s="37">
        <f t="shared" si="83"/>
        <v>2.4935680000000002E-2</v>
      </c>
      <c r="AM128" s="37">
        <f t="shared" si="84"/>
        <v>9.9132400000000009E-2</v>
      </c>
      <c r="AN128" s="40">
        <f t="shared" si="66"/>
        <v>0.12406808000000001</v>
      </c>
      <c r="AO128" s="39">
        <f t="shared" si="85"/>
        <v>4.2835589532628409E-3</v>
      </c>
      <c r="AP128" s="37">
        <f t="shared" si="86"/>
        <v>1.4276250000000003E-3</v>
      </c>
      <c r="AQ128" s="40">
        <f t="shared" si="87"/>
        <v>8.9999999999999993E-3</v>
      </c>
      <c r="AR128" s="39">
        <f t="shared" si="67"/>
        <v>0.23284545083676295</v>
      </c>
      <c r="AS128" s="37">
        <f t="shared" si="68"/>
        <v>5.69184</v>
      </c>
      <c r="AT128" s="40">
        <f t="shared" si="69"/>
        <v>96.069910330785959</v>
      </c>
    </row>
    <row r="129" spans="17:46" x14ac:dyDescent="0.55000000000000004">
      <c r="Q129">
        <v>122</v>
      </c>
      <c r="R129" s="39">
        <f t="shared" si="45"/>
        <v>210</v>
      </c>
      <c r="S129" s="37">
        <f t="shared" si="73"/>
        <v>2.7327999999999998E-2</v>
      </c>
      <c r="T129" s="37">
        <f t="shared" si="47"/>
        <v>20</v>
      </c>
      <c r="U129" s="40">
        <f t="shared" si="74"/>
        <v>0.31882666666666665</v>
      </c>
      <c r="V129" s="39">
        <f t="shared" si="75"/>
        <v>2</v>
      </c>
      <c r="W129" s="37">
        <f t="shared" si="76"/>
        <v>0.90476190476190477</v>
      </c>
      <c r="X129" s="40">
        <f t="shared" si="77"/>
        <v>9.5238095238095233E-2</v>
      </c>
      <c r="Y129" s="39">
        <f t="shared" si="78"/>
        <v>0.4695183729952801</v>
      </c>
      <c r="Z129" s="37">
        <f t="shared" si="71"/>
        <v>0.55358585316430675</v>
      </c>
      <c r="AA129" s="37">
        <f t="shared" si="72"/>
        <v>0.34644057007340956</v>
      </c>
      <c r="AB129" s="37">
        <v>0</v>
      </c>
      <c r="AC129" s="37">
        <f t="shared" si="79"/>
        <v>8.8335506484292697E-2</v>
      </c>
      <c r="AD129" s="40">
        <f t="shared" si="62"/>
        <v>8.8335506484292697E-2</v>
      </c>
      <c r="AE129" s="39">
        <f t="shared" si="70"/>
        <v>0.28846222222222223</v>
      </c>
      <c r="AF129" s="37">
        <f t="shared" si="63"/>
        <v>0.32953071272883055</v>
      </c>
      <c r="AG129" s="37">
        <f t="shared" si="80"/>
        <v>5.3209340409469822E-4</v>
      </c>
      <c r="AH129" s="37">
        <f t="shared" si="81"/>
        <v>6.4805077465883154E-3</v>
      </c>
      <c r="AI129" s="40">
        <f t="shared" si="64"/>
        <v>7.0126011506830132E-3</v>
      </c>
      <c r="AJ129" s="39">
        <f t="shared" si="65"/>
        <v>3.036444444444444E-2</v>
      </c>
      <c r="AK129" s="37">
        <f t="shared" si="82"/>
        <v>0.1069138810502079</v>
      </c>
      <c r="AL129" s="37">
        <f t="shared" si="83"/>
        <v>2.5141759999999999E-2</v>
      </c>
      <c r="AM129" s="37">
        <f t="shared" si="84"/>
        <v>9.9132400000000009E-2</v>
      </c>
      <c r="AN129" s="40">
        <f t="shared" si="66"/>
        <v>0.12427416000000001</v>
      </c>
      <c r="AO129" s="39">
        <f t="shared" si="85"/>
        <v>4.3436196252628415E-3</v>
      </c>
      <c r="AP129" s="37">
        <f t="shared" si="86"/>
        <v>1.4276250000000003E-3</v>
      </c>
      <c r="AQ129" s="40">
        <f t="shared" si="87"/>
        <v>8.9999999999999993E-3</v>
      </c>
      <c r="AR129" s="39">
        <f t="shared" si="67"/>
        <v>0.23439351226023855</v>
      </c>
      <c r="AS129" s="37">
        <f t="shared" si="68"/>
        <v>5.73888</v>
      </c>
      <c r="AT129" s="40">
        <f t="shared" si="69"/>
        <v>96.075962170840796</v>
      </c>
    </row>
    <row r="130" spans="17:46" x14ac:dyDescent="0.55000000000000004">
      <c r="Q130">
        <v>123</v>
      </c>
      <c r="R130" s="39">
        <f t="shared" si="45"/>
        <v>210</v>
      </c>
      <c r="S130" s="37">
        <f t="shared" si="73"/>
        <v>2.7552E-2</v>
      </c>
      <c r="T130" s="37">
        <f t="shared" si="47"/>
        <v>20</v>
      </c>
      <c r="U130" s="40">
        <f t="shared" si="74"/>
        <v>0.32144</v>
      </c>
      <c r="V130" s="39">
        <f t="shared" si="75"/>
        <v>2</v>
      </c>
      <c r="W130" s="37">
        <f t="shared" si="76"/>
        <v>0.90476190476190477</v>
      </c>
      <c r="X130" s="40">
        <f t="shared" si="77"/>
        <v>9.5238095238095233E-2</v>
      </c>
      <c r="Y130" s="39">
        <f t="shared" si="78"/>
        <v>0.4695183729952801</v>
      </c>
      <c r="Z130" s="37">
        <f t="shared" si="71"/>
        <v>0.55619918649764011</v>
      </c>
      <c r="AA130" s="37">
        <f t="shared" si="72"/>
        <v>0.34884709947914322</v>
      </c>
      <c r="AB130" s="37">
        <v>0</v>
      </c>
      <c r="AC130" s="37">
        <f t="shared" si="79"/>
        <v>8.9567003927848277E-2</v>
      </c>
      <c r="AD130" s="40">
        <f t="shared" si="62"/>
        <v>8.9567003927848277E-2</v>
      </c>
      <c r="AE130" s="39">
        <f t="shared" si="70"/>
        <v>0.29082666666666668</v>
      </c>
      <c r="AF130" s="37">
        <f t="shared" si="63"/>
        <v>0.33181977878742247</v>
      </c>
      <c r="AG130" s="37">
        <f t="shared" si="80"/>
        <v>5.3951139141321662E-4</v>
      </c>
      <c r="AH130" s="37">
        <f t="shared" si="81"/>
        <v>6.533626662543957E-3</v>
      </c>
      <c r="AI130" s="40">
        <f t="shared" si="64"/>
        <v>7.0731380539571734E-3</v>
      </c>
      <c r="AJ130" s="39">
        <f t="shared" si="65"/>
        <v>3.0613333333333333E-2</v>
      </c>
      <c r="AK130" s="37">
        <f t="shared" si="82"/>
        <v>0.10765655214838185</v>
      </c>
      <c r="AL130" s="37">
        <f t="shared" si="83"/>
        <v>2.534784E-2</v>
      </c>
      <c r="AM130" s="37">
        <f t="shared" si="84"/>
        <v>9.9132400000000009E-2</v>
      </c>
      <c r="AN130" s="40">
        <f t="shared" si="66"/>
        <v>0.12448024000000001</v>
      </c>
      <c r="AO130" s="39">
        <f t="shared" si="85"/>
        <v>4.4041746237813593E-3</v>
      </c>
      <c r="AP130" s="37">
        <f t="shared" si="86"/>
        <v>1.4276250000000003E-3</v>
      </c>
      <c r="AQ130" s="40">
        <f t="shared" si="87"/>
        <v>8.9999999999999993E-3</v>
      </c>
      <c r="AR130" s="39">
        <f t="shared" si="67"/>
        <v>0.23595218160558681</v>
      </c>
      <c r="AS130" s="37">
        <f t="shared" si="68"/>
        <v>5.78592</v>
      </c>
      <c r="AT130" s="40">
        <f t="shared" si="69"/>
        <v>96.081747096420827</v>
      </c>
    </row>
    <row r="131" spans="17:46" x14ac:dyDescent="0.55000000000000004">
      <c r="Q131">
        <v>124</v>
      </c>
      <c r="R131" s="39">
        <f t="shared" si="45"/>
        <v>210</v>
      </c>
      <c r="S131" s="37">
        <f t="shared" si="73"/>
        <v>2.7775999999999999E-2</v>
      </c>
      <c r="T131" s="37">
        <f t="shared" si="47"/>
        <v>20</v>
      </c>
      <c r="U131" s="40">
        <f t="shared" si="74"/>
        <v>0.3240533333333333</v>
      </c>
      <c r="V131" s="39">
        <f t="shared" si="75"/>
        <v>2</v>
      </c>
      <c r="W131" s="37">
        <f t="shared" si="76"/>
        <v>0.90476190476190477</v>
      </c>
      <c r="X131" s="40">
        <f t="shared" si="77"/>
        <v>9.5238095238095233E-2</v>
      </c>
      <c r="Y131" s="39">
        <f t="shared" si="78"/>
        <v>0.4695183729952801</v>
      </c>
      <c r="Z131" s="37">
        <f t="shared" si="71"/>
        <v>0.55881251983097335</v>
      </c>
      <c r="AA131" s="37">
        <f t="shared" si="72"/>
        <v>0.35125658436455776</v>
      </c>
      <c r="AB131" s="37">
        <v>0</v>
      </c>
      <c r="AC131" s="37">
        <f t="shared" si="79"/>
        <v>9.0808554411759376E-2</v>
      </c>
      <c r="AD131" s="40">
        <f t="shared" si="62"/>
        <v>9.0808554411759376E-2</v>
      </c>
      <c r="AE131" s="39">
        <f t="shared" si="70"/>
        <v>0.29319111111111107</v>
      </c>
      <c r="AF131" s="37">
        <f t="shared" si="63"/>
        <v>0.33411165606793775</v>
      </c>
      <c r="AG131" s="37">
        <f t="shared" si="80"/>
        <v>5.4698993373025371E-4</v>
      </c>
      <c r="AH131" s="37">
        <f t="shared" si="81"/>
        <v>6.5867455784995995E-3</v>
      </c>
      <c r="AI131" s="40">
        <f t="shared" si="64"/>
        <v>7.1337355122298536E-3</v>
      </c>
      <c r="AJ131" s="39">
        <f t="shared" si="65"/>
        <v>3.0862222222222218E-2</v>
      </c>
      <c r="AK131" s="37">
        <f t="shared" si="82"/>
        <v>0.10840013532738683</v>
      </c>
      <c r="AL131" s="37">
        <f t="shared" si="83"/>
        <v>2.5553920000000001E-2</v>
      </c>
      <c r="AM131" s="37">
        <f t="shared" si="84"/>
        <v>9.9132400000000009E-2</v>
      </c>
      <c r="AN131" s="40">
        <f t="shared" si="66"/>
        <v>0.12468632000000002</v>
      </c>
      <c r="AO131" s="39">
        <f t="shared" si="85"/>
        <v>4.465223948818397E-3</v>
      </c>
      <c r="AP131" s="37">
        <f t="shared" si="86"/>
        <v>1.4276250000000003E-3</v>
      </c>
      <c r="AQ131" s="40">
        <f t="shared" si="87"/>
        <v>8.9999999999999993E-3</v>
      </c>
      <c r="AR131" s="39">
        <f t="shared" si="67"/>
        <v>0.23752145887280762</v>
      </c>
      <c r="AS131" s="37">
        <f t="shared" si="68"/>
        <v>5.8329599999999999</v>
      </c>
      <c r="AT131" s="40">
        <f t="shared" si="69"/>
        <v>96.087271487739429</v>
      </c>
    </row>
    <row r="132" spans="17:46" x14ac:dyDescent="0.55000000000000004">
      <c r="Q132">
        <v>125</v>
      </c>
      <c r="R132" s="39">
        <f t="shared" si="45"/>
        <v>210</v>
      </c>
      <c r="S132" s="37">
        <f t="shared" si="73"/>
        <v>2.8000000000000001E-2</v>
      </c>
      <c r="T132" s="37">
        <f t="shared" si="47"/>
        <v>20</v>
      </c>
      <c r="U132" s="40">
        <f t="shared" si="74"/>
        <v>0.32666666666666666</v>
      </c>
      <c r="V132" s="39">
        <f t="shared" si="75"/>
        <v>2</v>
      </c>
      <c r="W132" s="37">
        <f t="shared" si="76"/>
        <v>0.90476190476190477</v>
      </c>
      <c r="X132" s="40">
        <f t="shared" si="77"/>
        <v>9.5238095238095233E-2</v>
      </c>
      <c r="Y132" s="39">
        <f t="shared" si="78"/>
        <v>0.4695183729952801</v>
      </c>
      <c r="Z132" s="37">
        <f t="shared" si="71"/>
        <v>0.56142585316430671</v>
      </c>
      <c r="AA132" s="37">
        <f t="shared" si="72"/>
        <v>0.35366896432415773</v>
      </c>
      <c r="AB132" s="37">
        <v>0</v>
      </c>
      <c r="AC132" s="37">
        <f t="shared" si="79"/>
        <v>9.2060157936026052E-2</v>
      </c>
      <c r="AD132" s="40">
        <f t="shared" si="62"/>
        <v>9.2060157936026052E-2</v>
      </c>
      <c r="AE132" s="39">
        <f t="shared" si="70"/>
        <v>0.29555555555555557</v>
      </c>
      <c r="AF132" s="37">
        <f t="shared" si="63"/>
        <v>0.33640628711328924</v>
      </c>
      <c r="AG132" s="37">
        <f t="shared" si="80"/>
        <v>5.5452903104580916E-4</v>
      </c>
      <c r="AH132" s="37">
        <f t="shared" si="81"/>
        <v>6.6398644944552403E-3</v>
      </c>
      <c r="AI132" s="40">
        <f t="shared" si="64"/>
        <v>7.1943935255010492E-3</v>
      </c>
      <c r="AJ132" s="39">
        <f t="shared" si="65"/>
        <v>3.111111111111111E-2</v>
      </c>
      <c r="AK132" s="37">
        <f t="shared" si="82"/>
        <v>0.10914461194568222</v>
      </c>
      <c r="AL132" s="37">
        <f t="shared" si="83"/>
        <v>2.5760000000000002E-2</v>
      </c>
      <c r="AM132" s="37">
        <f t="shared" si="84"/>
        <v>9.9132400000000009E-2</v>
      </c>
      <c r="AN132" s="40">
        <f t="shared" si="66"/>
        <v>0.12489240000000001</v>
      </c>
      <c r="AO132" s="39">
        <f t="shared" si="85"/>
        <v>4.5267676003739521E-3</v>
      </c>
      <c r="AP132" s="37">
        <f t="shared" si="86"/>
        <v>1.4276250000000003E-3</v>
      </c>
      <c r="AQ132" s="40">
        <f t="shared" si="87"/>
        <v>8.9999999999999993E-3</v>
      </c>
      <c r="AR132" s="39">
        <f t="shared" si="67"/>
        <v>0.23910134406190109</v>
      </c>
      <c r="AS132" s="37">
        <f t="shared" si="68"/>
        <v>5.88</v>
      </c>
      <c r="AT132" s="40">
        <f t="shared" si="69"/>
        <v>96.092541525007917</v>
      </c>
    </row>
    <row r="133" spans="17:46" x14ac:dyDescent="0.55000000000000004">
      <c r="Q133">
        <v>126</v>
      </c>
      <c r="R133" s="39">
        <f t="shared" si="45"/>
        <v>210</v>
      </c>
      <c r="S133" s="37">
        <f t="shared" si="73"/>
        <v>2.8223999999999999E-2</v>
      </c>
      <c r="T133" s="37">
        <f t="shared" si="47"/>
        <v>20</v>
      </c>
      <c r="U133" s="40">
        <f t="shared" si="74"/>
        <v>0.32928000000000002</v>
      </c>
      <c r="V133" s="39">
        <f t="shared" si="75"/>
        <v>2</v>
      </c>
      <c r="W133" s="37">
        <f t="shared" si="76"/>
        <v>0.90476190476190477</v>
      </c>
      <c r="X133" s="40">
        <f t="shared" si="77"/>
        <v>9.5238095238095233E-2</v>
      </c>
      <c r="Y133" s="39">
        <f t="shared" si="78"/>
        <v>0.4695183729952801</v>
      </c>
      <c r="Z133" s="37">
        <f t="shared" si="71"/>
        <v>0.56403918649764007</v>
      </c>
      <c r="AA133" s="37">
        <f t="shared" si="72"/>
        <v>0.35608418051776924</v>
      </c>
      <c r="AB133" s="37">
        <v>0</v>
      </c>
      <c r="AC133" s="37">
        <f t="shared" si="79"/>
        <v>9.3321814500648304E-2</v>
      </c>
      <c r="AD133" s="40">
        <f t="shared" si="62"/>
        <v>9.3321814500648304E-2</v>
      </c>
      <c r="AE133" s="39">
        <f t="shared" si="70"/>
        <v>0.29792000000000002</v>
      </c>
      <c r="AF133" s="37">
        <f t="shared" si="63"/>
        <v>0.33870361595530779</v>
      </c>
      <c r="AG133" s="37">
        <f t="shared" si="80"/>
        <v>5.6212868335988317E-4</v>
      </c>
      <c r="AH133" s="37">
        <f t="shared" si="81"/>
        <v>6.6929834104108845E-3</v>
      </c>
      <c r="AI133" s="40">
        <f t="shared" si="64"/>
        <v>7.2551120937707674E-3</v>
      </c>
      <c r="AJ133" s="39">
        <f t="shared" si="65"/>
        <v>3.1359999999999999E-2</v>
      </c>
      <c r="AK133" s="37">
        <f t="shared" si="82"/>
        <v>0.1098899638447961</v>
      </c>
      <c r="AL133" s="37">
        <f t="shared" si="83"/>
        <v>2.5966079999999999E-2</v>
      </c>
      <c r="AM133" s="37">
        <f t="shared" si="84"/>
        <v>9.9132400000000009E-2</v>
      </c>
      <c r="AN133" s="40">
        <f t="shared" si="66"/>
        <v>0.12509848000000001</v>
      </c>
      <c r="AO133" s="39">
        <f t="shared" si="85"/>
        <v>4.5888055784480252E-3</v>
      </c>
      <c r="AP133" s="37">
        <f t="shared" si="86"/>
        <v>1.4276250000000003E-3</v>
      </c>
      <c r="AQ133" s="40">
        <f t="shared" si="87"/>
        <v>8.9999999999999993E-3</v>
      </c>
      <c r="AR133" s="39">
        <f t="shared" si="67"/>
        <v>0.2406918371728671</v>
      </c>
      <c r="AS133" s="37">
        <f t="shared" si="68"/>
        <v>5.9270399999999999</v>
      </c>
      <c r="AT133" s="40">
        <f t="shared" si="69"/>
        <v>96.097563196210643</v>
      </c>
    </row>
    <row r="134" spans="17:46" x14ac:dyDescent="0.55000000000000004">
      <c r="Q134">
        <v>127</v>
      </c>
      <c r="R134" s="39">
        <f t="shared" si="45"/>
        <v>210</v>
      </c>
      <c r="S134" s="37">
        <f t="shared" si="73"/>
        <v>2.8448000000000001E-2</v>
      </c>
      <c r="T134" s="37">
        <f t="shared" si="47"/>
        <v>20</v>
      </c>
      <c r="U134" s="40">
        <f t="shared" si="74"/>
        <v>0.33189333333333332</v>
      </c>
      <c r="V134" s="39">
        <f t="shared" si="75"/>
        <v>2</v>
      </c>
      <c r="W134" s="37">
        <f t="shared" si="76"/>
        <v>0.90476190476190477</v>
      </c>
      <c r="X134" s="40">
        <f t="shared" si="77"/>
        <v>9.5238095238095233E-2</v>
      </c>
      <c r="Y134" s="39">
        <f t="shared" si="78"/>
        <v>0.4695183729952801</v>
      </c>
      <c r="Z134" s="37">
        <f t="shared" si="71"/>
        <v>0.56665251983097331</v>
      </c>
      <c r="AA134" s="37">
        <f t="shared" si="72"/>
        <v>0.3585021756225788</v>
      </c>
      <c r="AB134" s="37">
        <v>0</v>
      </c>
      <c r="AC134" s="37">
        <f t="shared" si="79"/>
        <v>9.4593524105626034E-2</v>
      </c>
      <c r="AD134" s="40">
        <f t="shared" si="62"/>
        <v>9.4593524105626034E-2</v>
      </c>
      <c r="AE134" s="39">
        <f t="shared" si="70"/>
        <v>0.30028444444444441</v>
      </c>
      <c r="AF134" s="37">
        <f t="shared" si="63"/>
        <v>0.34100358806912195</v>
      </c>
      <c r="AG134" s="37">
        <f t="shared" si="80"/>
        <v>5.6978889067247566E-4</v>
      </c>
      <c r="AH134" s="37">
        <f t="shared" si="81"/>
        <v>6.7461023263665244E-3</v>
      </c>
      <c r="AI134" s="40">
        <f t="shared" si="64"/>
        <v>7.3158912170390002E-3</v>
      </c>
      <c r="AJ134" s="39">
        <f t="shared" si="65"/>
        <v>3.1608888888888888E-2</v>
      </c>
      <c r="AK134" s="37">
        <f t="shared" si="82"/>
        <v>0.1106361733345242</v>
      </c>
      <c r="AL134" s="37">
        <f t="shared" si="83"/>
        <v>2.6172160000000003E-2</v>
      </c>
      <c r="AM134" s="37">
        <f t="shared" si="84"/>
        <v>9.9132400000000009E-2</v>
      </c>
      <c r="AN134" s="40">
        <f t="shared" si="66"/>
        <v>0.12530456000000001</v>
      </c>
      <c r="AO134" s="39">
        <f t="shared" si="85"/>
        <v>4.6513378830406165E-3</v>
      </c>
      <c r="AP134" s="37">
        <f t="shared" si="86"/>
        <v>1.4276250000000003E-3</v>
      </c>
      <c r="AQ134" s="40">
        <f t="shared" si="87"/>
        <v>8.9999999999999993E-3</v>
      </c>
      <c r="AR134" s="39">
        <f t="shared" si="67"/>
        <v>0.24229293820570563</v>
      </c>
      <c r="AS134" s="37">
        <f t="shared" si="68"/>
        <v>5.9740799999999998</v>
      </c>
      <c r="AT134" s="40">
        <f t="shared" si="69"/>
        <v>96.102342304520079</v>
      </c>
    </row>
    <row r="135" spans="17:46" x14ac:dyDescent="0.55000000000000004">
      <c r="Q135">
        <v>128</v>
      </c>
      <c r="R135" s="39">
        <f t="shared" ref="R135:R157" si="88">VOUT</f>
        <v>210</v>
      </c>
      <c r="S135" s="37">
        <f t="shared" ref="S135:S157" si="89">Q135*$O$12</f>
        <v>2.8672E-2</v>
      </c>
      <c r="T135" s="37">
        <f t="shared" ref="T135:T157" si="90">VIN_var</f>
        <v>20</v>
      </c>
      <c r="U135" s="40">
        <f t="shared" ref="U135:U157" si="91">(R135*S135)/(T135*EFF_est)</f>
        <v>0.33450666666666667</v>
      </c>
      <c r="V135" s="39">
        <f t="shared" ref="V135:V157" si="92">IF((S135*R135/T135)&lt;((T135*(1-(T135/R135)))/(2*Lm*Fsw)),1,2)</f>
        <v>2</v>
      </c>
      <c r="W135" s="37">
        <f t="shared" ref="W135:W157" si="93">CHOOSE(V135,SQRT((2*S135*Lm*Fsw*(R135-T135))/((T135)^2)),1-(T135/R135))</f>
        <v>0.90476190476190477</v>
      </c>
      <c r="X135" s="40">
        <f t="shared" ref="X135:X157" si="94">CHOOSE(V135,(Lm*W135*Fsw)/(R135-T135),1-W135)</f>
        <v>9.5238095238095233E-2</v>
      </c>
      <c r="Y135" s="39">
        <f t="shared" ref="Y135:Y157" si="95">(T135*W135)/(Lm*Fsw)</f>
        <v>0.4695183729952801</v>
      </c>
      <c r="Z135" s="37">
        <f t="shared" si="71"/>
        <v>0.56926585316430667</v>
      </c>
      <c r="AA135" s="37">
        <f t="shared" si="72"/>
        <v>0.36092289378682496</v>
      </c>
      <c r="AB135" s="37">
        <v>0</v>
      </c>
      <c r="AC135" s="37">
        <f t="shared" ref="AC135:AC157" si="96">(AA135^2)*Rdcr</f>
        <v>9.5875286750959424E-2</v>
      </c>
      <c r="AD135" s="40">
        <f t="shared" si="62"/>
        <v>9.5875286750959424E-2</v>
      </c>
      <c r="AE135" s="39">
        <f t="shared" si="70"/>
        <v>0.30264888888888891</v>
      </c>
      <c r="AF135" s="37">
        <f t="shared" si="63"/>
        <v>0.34330615032910961</v>
      </c>
      <c r="AG135" s="37">
        <f t="shared" ref="AG135:AG157" si="97">(AF135^2)*RDS_on</f>
        <v>5.7750965298358683E-4</v>
      </c>
      <c r="AH135" s="37">
        <f t="shared" ref="AH135:AH157" si="98">((R135*U135)/2)*Fsw*(tr_sw+tf_sw)</f>
        <v>6.7992212423221678E-3</v>
      </c>
      <c r="AI135" s="40">
        <f t="shared" si="64"/>
        <v>7.3767308953057546E-3</v>
      </c>
      <c r="AJ135" s="39">
        <f t="shared" si="65"/>
        <v>3.1857777777777777E-2</v>
      </c>
      <c r="AK135" s="37">
        <f t="shared" ref="AK135:AK157" si="99">CHOOSE(V135,Z135*SQRT(X135/3),SQRT(X135*((Z135^2)+((Y135^2)/3)-(Y135*Z135))))</f>
        <v>0.11138322317863872</v>
      </c>
      <c r="AL135" s="37">
        <f t="shared" ref="AL135:AL157" si="100">S135*Vd_rect</f>
        <v>2.6378240000000001E-2</v>
      </c>
      <c r="AM135" s="37">
        <f t="shared" ref="AM135:AM157" si="101">CHOOSE(V135,(R135+Vd_rect)*Qrr*Fsw,(R135+Vd_rect)*Qrr*Fsw)</f>
        <v>9.9132400000000009E-2</v>
      </c>
      <c r="AN135" s="40">
        <f t="shared" si="66"/>
        <v>0.12551064000000001</v>
      </c>
      <c r="AO135" s="39">
        <f t="shared" ref="AO135:AO157" si="102">(AF135^2)*R_cs</f>
        <v>4.7143645141517285E-3</v>
      </c>
      <c r="AP135" s="37">
        <f t="shared" ref="AP135:AP157" si="103">Qg_tot*Vcc*Fsw</f>
        <v>1.4276250000000003E-3</v>
      </c>
      <c r="AQ135" s="40">
        <f t="shared" ref="AQ135:AQ157" si="104">IQ*T135</f>
        <v>8.9999999999999993E-3</v>
      </c>
      <c r="AR135" s="39">
        <f t="shared" si="67"/>
        <v>0.24390464716041688</v>
      </c>
      <c r="AS135" s="37">
        <f t="shared" si="68"/>
        <v>6.0211199999999998</v>
      </c>
      <c r="AT135" s="40">
        <f t="shared" si="69"/>
        <v>96.106884475371302</v>
      </c>
    </row>
    <row r="136" spans="17:46" x14ac:dyDescent="0.55000000000000004">
      <c r="Q136">
        <v>129</v>
      </c>
      <c r="R136" s="39">
        <f t="shared" si="88"/>
        <v>210</v>
      </c>
      <c r="S136" s="37">
        <f t="shared" si="89"/>
        <v>2.8895999999999998E-2</v>
      </c>
      <c r="T136" s="37">
        <f t="shared" si="90"/>
        <v>20</v>
      </c>
      <c r="U136" s="40">
        <f t="shared" si="91"/>
        <v>0.33711999999999998</v>
      </c>
      <c r="V136" s="39">
        <f t="shared" si="92"/>
        <v>2</v>
      </c>
      <c r="W136" s="37">
        <f t="shared" si="93"/>
        <v>0.90476190476190477</v>
      </c>
      <c r="X136" s="40">
        <f t="shared" si="94"/>
        <v>9.5238095238095233E-2</v>
      </c>
      <c r="Y136" s="39">
        <f t="shared" si="95"/>
        <v>0.4695183729952801</v>
      </c>
      <c r="Z136" s="37">
        <f t="shared" si="71"/>
        <v>0.57187918649764002</v>
      </c>
      <c r="AA136" s="37">
        <f t="shared" si="72"/>
        <v>0.36334628058507934</v>
      </c>
      <c r="AB136" s="37">
        <v>0</v>
      </c>
      <c r="AC136" s="37">
        <f t="shared" si="96"/>
        <v>9.7167102436648251E-2</v>
      </c>
      <c r="AD136" s="40">
        <f t="shared" ref="AD136:AD157" si="105">AB136+AC136</f>
        <v>9.7167102436648251E-2</v>
      </c>
      <c r="AE136" s="39">
        <f t="shared" si="70"/>
        <v>0.3050133333333333</v>
      </c>
      <c r="AF136" s="37">
        <f t="shared" ref="AF136:AF157" si="106">CHOOSE(V136,Z136*SQRT(W136/3),SQRT(W136*((Z136^2)+((Y136^2)/3)-(Z136*Y136))))</f>
        <v>0.34561125096636242</v>
      </c>
      <c r="AG136" s="37">
        <f t="shared" si="97"/>
        <v>5.8529097029321646E-4</v>
      </c>
      <c r="AH136" s="37">
        <f t="shared" si="98"/>
        <v>6.8523401582778094E-3</v>
      </c>
      <c r="AI136" s="40">
        <f t="shared" ref="AI136:AI157" si="107">AG136+AH136</f>
        <v>7.4376311285710255E-3</v>
      </c>
      <c r="AJ136" s="39">
        <f t="shared" ref="AJ136:AJ156" si="108">X136*U136</f>
        <v>3.2106666666666665E-2</v>
      </c>
      <c r="AK136" s="37">
        <f t="shared" si="99"/>
        <v>0.11213109658108789</v>
      </c>
      <c r="AL136" s="37">
        <f t="shared" si="100"/>
        <v>2.6584319999999998E-2</v>
      </c>
      <c r="AM136" s="37">
        <f t="shared" si="101"/>
        <v>9.9132400000000009E-2</v>
      </c>
      <c r="AN136" s="40">
        <f t="shared" ref="AN136:AN157" si="109">AL136+AM136</f>
        <v>0.12571672</v>
      </c>
      <c r="AO136" s="39">
        <f t="shared" si="102"/>
        <v>4.7778854717813578E-3</v>
      </c>
      <c r="AP136" s="37">
        <f t="shared" si="103"/>
        <v>1.4276250000000003E-3</v>
      </c>
      <c r="AQ136" s="40">
        <f t="shared" si="104"/>
        <v>8.9999999999999993E-3</v>
      </c>
      <c r="AR136" s="39">
        <f t="shared" ref="AR136:AR157" si="110">AO136+AN136+AI136+AD136+AP136+AQ136</f>
        <v>0.24552696403700061</v>
      </c>
      <c r="AS136" s="37">
        <f t="shared" ref="AS136:AS157" si="111">R136*S136</f>
        <v>6.0681599999999998</v>
      </c>
      <c r="AT136" s="40">
        <f t="shared" ref="AT136:AT156" si="112">(AS136/(AS136+AR136))*100</f>
        <v>96.111195163213964</v>
      </c>
    </row>
    <row r="137" spans="17:46" x14ac:dyDescent="0.55000000000000004">
      <c r="Q137">
        <v>130</v>
      </c>
      <c r="R137" s="39">
        <f t="shared" si="88"/>
        <v>210</v>
      </c>
      <c r="S137" s="37">
        <f t="shared" si="89"/>
        <v>2.912E-2</v>
      </c>
      <c r="T137" s="37">
        <f t="shared" si="90"/>
        <v>20</v>
      </c>
      <c r="U137" s="40">
        <f t="shared" si="91"/>
        <v>0.33973333333333333</v>
      </c>
      <c r="V137" s="39">
        <f t="shared" si="92"/>
        <v>2</v>
      </c>
      <c r="W137" s="37">
        <f t="shared" si="93"/>
        <v>0.90476190476190477</v>
      </c>
      <c r="X137" s="40">
        <f t="shared" si="94"/>
        <v>9.5238095238095233E-2</v>
      </c>
      <c r="Y137" s="39">
        <f t="shared" si="95"/>
        <v>0.4695183729952801</v>
      </c>
      <c r="Z137" s="37">
        <f t="shared" si="71"/>
        <v>0.57449251983097338</v>
      </c>
      <c r="AA137" s="37">
        <f t="shared" si="72"/>
        <v>0.36577228297506231</v>
      </c>
      <c r="AB137" s="37">
        <v>0</v>
      </c>
      <c r="AC137" s="37">
        <f t="shared" si="96"/>
        <v>9.8468971162692751E-2</v>
      </c>
      <c r="AD137" s="40">
        <f t="shared" si="105"/>
        <v>9.8468971162692751E-2</v>
      </c>
      <c r="AE137" s="39">
        <f t="shared" ref="AE137:AE157" si="113">U137*W137</f>
        <v>0.30737777777777781</v>
      </c>
      <c r="AF137" s="37">
        <f t="shared" si="106"/>
        <v>0.34791883952760838</v>
      </c>
      <c r="AG137" s="37">
        <f t="shared" si="97"/>
        <v>5.9313284260136489E-4</v>
      </c>
      <c r="AH137" s="37">
        <f t="shared" si="98"/>
        <v>6.9054590742334502E-3</v>
      </c>
      <c r="AI137" s="40">
        <f t="shared" si="107"/>
        <v>7.4985919168348153E-3</v>
      </c>
      <c r="AJ137" s="39">
        <f t="shared" si="108"/>
        <v>3.2355555555555554E-2</v>
      </c>
      <c r="AK137" s="37">
        <f t="shared" si="99"/>
        <v>0.11287977717266869</v>
      </c>
      <c r="AL137" s="37">
        <f t="shared" si="100"/>
        <v>2.6790400000000002E-2</v>
      </c>
      <c r="AM137" s="37">
        <f t="shared" si="101"/>
        <v>9.9132400000000009E-2</v>
      </c>
      <c r="AN137" s="40">
        <f t="shared" si="109"/>
        <v>0.1259228</v>
      </c>
      <c r="AO137" s="39">
        <f t="shared" si="102"/>
        <v>4.8419007559295088E-3</v>
      </c>
      <c r="AP137" s="37">
        <f t="shared" si="103"/>
        <v>1.4276250000000003E-3</v>
      </c>
      <c r="AQ137" s="40">
        <f t="shared" si="104"/>
        <v>8.9999999999999993E-3</v>
      </c>
      <c r="AR137" s="39">
        <f t="shared" si="110"/>
        <v>0.24715988883545709</v>
      </c>
      <c r="AS137" s="37">
        <f t="shared" si="111"/>
        <v>6.1151999999999997</v>
      </c>
      <c r="AT137" s="40">
        <f t="shared" si="112"/>
        <v>96.115279657958865</v>
      </c>
    </row>
    <row r="138" spans="17:46" x14ac:dyDescent="0.55000000000000004">
      <c r="Q138">
        <v>131</v>
      </c>
      <c r="R138" s="39">
        <f t="shared" si="88"/>
        <v>210</v>
      </c>
      <c r="S138" s="37">
        <f t="shared" si="89"/>
        <v>2.9343999999999999E-2</v>
      </c>
      <c r="T138" s="37">
        <f t="shared" si="90"/>
        <v>20</v>
      </c>
      <c r="U138" s="40">
        <f t="shared" si="91"/>
        <v>0.34234666666666663</v>
      </c>
      <c r="V138" s="39">
        <f t="shared" si="92"/>
        <v>2</v>
      </c>
      <c r="W138" s="37">
        <f t="shared" si="93"/>
        <v>0.90476190476190477</v>
      </c>
      <c r="X138" s="40">
        <f t="shared" si="94"/>
        <v>9.5238095238095233E-2</v>
      </c>
      <c r="Y138" s="39">
        <f t="shared" si="95"/>
        <v>0.4695183729952801</v>
      </c>
      <c r="Z138" s="37">
        <f t="shared" si="71"/>
        <v>0.57710585316430674</v>
      </c>
      <c r="AA138" s="37">
        <f t="shared" si="72"/>
        <v>0.36820084925593122</v>
      </c>
      <c r="AB138" s="37">
        <v>0</v>
      </c>
      <c r="AC138" s="37">
        <f t="shared" si="96"/>
        <v>9.9780892929092688E-2</v>
      </c>
      <c r="AD138" s="40">
        <f t="shared" si="105"/>
        <v>9.9780892929092688E-2</v>
      </c>
      <c r="AE138" s="39">
        <f t="shared" si="113"/>
        <v>0.3097422222222222</v>
      </c>
      <c r="AF138" s="37">
        <f t="shared" si="106"/>
        <v>0.35022886683553706</v>
      </c>
      <c r="AG138" s="37">
        <f t="shared" si="97"/>
        <v>6.0103526990803134E-4</v>
      </c>
      <c r="AH138" s="37">
        <f t="shared" si="98"/>
        <v>6.9585779901890927E-3</v>
      </c>
      <c r="AI138" s="40">
        <f t="shared" si="107"/>
        <v>7.5596132600971241E-3</v>
      </c>
      <c r="AJ138" s="39">
        <f t="shared" si="108"/>
        <v>3.2604444444444443E-2</v>
      </c>
      <c r="AK138" s="37">
        <f t="shared" si="99"/>
        <v>0.11362924899815482</v>
      </c>
      <c r="AL138" s="37">
        <f t="shared" si="100"/>
        <v>2.699648E-2</v>
      </c>
      <c r="AM138" s="37">
        <f t="shared" si="101"/>
        <v>9.9132400000000009E-2</v>
      </c>
      <c r="AN138" s="40">
        <f t="shared" si="109"/>
        <v>0.12612888</v>
      </c>
      <c r="AO138" s="39">
        <f t="shared" si="102"/>
        <v>4.9064103665961744E-3</v>
      </c>
      <c r="AP138" s="37">
        <f t="shared" si="103"/>
        <v>1.4276250000000003E-3</v>
      </c>
      <c r="AQ138" s="40">
        <f t="shared" si="104"/>
        <v>8.9999999999999993E-3</v>
      </c>
      <c r="AR138" s="39">
        <f t="shared" si="110"/>
        <v>0.248803421555786</v>
      </c>
      <c r="AS138" s="37">
        <f t="shared" si="111"/>
        <v>6.1622399999999997</v>
      </c>
      <c r="AT138" s="40">
        <f t="shared" si="112"/>
        <v>96.119143091134944</v>
      </c>
    </row>
    <row r="139" spans="17:46" x14ac:dyDescent="0.55000000000000004">
      <c r="Q139">
        <v>132</v>
      </c>
      <c r="R139" s="39">
        <f t="shared" si="88"/>
        <v>210</v>
      </c>
      <c r="S139" s="37">
        <f t="shared" si="89"/>
        <v>2.9568000000000001E-2</v>
      </c>
      <c r="T139" s="37">
        <f t="shared" si="90"/>
        <v>20</v>
      </c>
      <c r="U139" s="40">
        <f t="shared" si="91"/>
        <v>0.34495999999999999</v>
      </c>
      <c r="V139" s="39">
        <f t="shared" si="92"/>
        <v>2</v>
      </c>
      <c r="W139" s="37">
        <f t="shared" si="93"/>
        <v>0.90476190476190477</v>
      </c>
      <c r="X139" s="40">
        <f t="shared" si="94"/>
        <v>9.5238095238095233E-2</v>
      </c>
      <c r="Y139" s="39">
        <f t="shared" si="95"/>
        <v>0.4695183729952801</v>
      </c>
      <c r="Z139" s="37">
        <f t="shared" si="71"/>
        <v>0.57971918649764009</v>
      </c>
      <c r="AA139" s="37">
        <f t="shared" si="72"/>
        <v>0.37063192902799302</v>
      </c>
      <c r="AB139" s="37">
        <v>0</v>
      </c>
      <c r="AC139" s="37">
        <f t="shared" si="96"/>
        <v>0.10110286773584828</v>
      </c>
      <c r="AD139" s="40">
        <f t="shared" si="105"/>
        <v>0.10110286773584828</v>
      </c>
      <c r="AE139" s="39">
        <f t="shared" si="113"/>
        <v>0.31210666666666664</v>
      </c>
      <c r="AF139" s="37">
        <f t="shared" si="106"/>
        <v>0.35254128495047782</v>
      </c>
      <c r="AG139" s="37">
        <f t="shared" si="97"/>
        <v>6.089982522132167E-4</v>
      </c>
      <c r="AH139" s="37">
        <f t="shared" si="98"/>
        <v>7.0116969061447343E-3</v>
      </c>
      <c r="AI139" s="40">
        <f t="shared" si="107"/>
        <v>7.6206951583579511E-3</v>
      </c>
      <c r="AJ139" s="39">
        <f t="shared" si="108"/>
        <v>3.2853333333333332E-2</v>
      </c>
      <c r="AK139" s="37">
        <f t="shared" si="99"/>
        <v>0.11437949650386323</v>
      </c>
      <c r="AL139" s="37">
        <f t="shared" si="100"/>
        <v>2.7202560000000001E-2</v>
      </c>
      <c r="AM139" s="37">
        <f t="shared" si="101"/>
        <v>9.9132400000000009E-2</v>
      </c>
      <c r="AN139" s="40">
        <f t="shared" si="109"/>
        <v>0.12633496</v>
      </c>
      <c r="AO139" s="39">
        <f t="shared" si="102"/>
        <v>4.9714143037813607E-3</v>
      </c>
      <c r="AP139" s="37">
        <f t="shared" si="103"/>
        <v>1.4276250000000003E-3</v>
      </c>
      <c r="AQ139" s="40">
        <f t="shared" si="104"/>
        <v>8.9999999999999993E-3</v>
      </c>
      <c r="AR139" s="39">
        <f t="shared" si="110"/>
        <v>0.25045756219798759</v>
      </c>
      <c r="AS139" s="37">
        <f t="shared" si="111"/>
        <v>6.2092799999999997</v>
      </c>
      <c r="AT139" s="40">
        <f t="shared" si="112"/>
        <v>96.122790441771954</v>
      </c>
    </row>
    <row r="140" spans="17:46" x14ac:dyDescent="0.55000000000000004">
      <c r="Q140">
        <v>133</v>
      </c>
      <c r="R140" s="39">
        <f t="shared" si="88"/>
        <v>210</v>
      </c>
      <c r="S140" s="37">
        <f t="shared" si="89"/>
        <v>2.9791999999999999E-2</v>
      </c>
      <c r="T140" s="37">
        <f t="shared" si="90"/>
        <v>20</v>
      </c>
      <c r="U140" s="40">
        <f t="shared" si="91"/>
        <v>0.34757333333333329</v>
      </c>
      <c r="V140" s="39">
        <f t="shared" si="92"/>
        <v>2</v>
      </c>
      <c r="W140" s="37">
        <f t="shared" si="93"/>
        <v>0.90476190476190477</v>
      </c>
      <c r="X140" s="40">
        <f t="shared" si="94"/>
        <v>9.5238095238095233E-2</v>
      </c>
      <c r="Y140" s="39">
        <f t="shared" si="95"/>
        <v>0.4695183729952801</v>
      </c>
      <c r="Z140" s="37">
        <f t="shared" si="71"/>
        <v>0.58233251983097334</v>
      </c>
      <c r="AA140" s="37">
        <f t="shared" si="72"/>
        <v>0.37306547315378252</v>
      </c>
      <c r="AB140" s="37">
        <v>0</v>
      </c>
      <c r="AC140" s="37">
        <f t="shared" si="96"/>
        <v>0.10243489558295933</v>
      </c>
      <c r="AD140" s="40">
        <f t="shared" si="105"/>
        <v>0.10243489558295933</v>
      </c>
      <c r="AE140" s="39">
        <f t="shared" si="113"/>
        <v>0.31447111111111109</v>
      </c>
      <c r="AF140" s="37">
        <f t="shared" si="106"/>
        <v>0.35485604713337848</v>
      </c>
      <c r="AG140" s="37">
        <f t="shared" si="97"/>
        <v>6.1702178951692009E-4</v>
      </c>
      <c r="AH140" s="37">
        <f t="shared" si="98"/>
        <v>7.0648158221003768E-3</v>
      </c>
      <c r="AI140" s="40">
        <f t="shared" si="107"/>
        <v>7.6818376116172971E-3</v>
      </c>
      <c r="AJ140" s="39">
        <f t="shared" si="108"/>
        <v>3.3102222222222213E-2</v>
      </c>
      <c r="AK140" s="37">
        <f t="shared" si="99"/>
        <v>0.11513050452564302</v>
      </c>
      <c r="AL140" s="37">
        <f t="shared" si="100"/>
        <v>2.7408640000000001E-2</v>
      </c>
      <c r="AM140" s="37">
        <f t="shared" si="101"/>
        <v>9.9132400000000009E-2</v>
      </c>
      <c r="AN140" s="40">
        <f t="shared" si="109"/>
        <v>0.12654104000000002</v>
      </c>
      <c r="AO140" s="39">
        <f t="shared" si="102"/>
        <v>5.0369125674850617E-3</v>
      </c>
      <c r="AP140" s="37">
        <f t="shared" si="103"/>
        <v>1.4276250000000003E-3</v>
      </c>
      <c r="AQ140" s="40">
        <f t="shared" si="104"/>
        <v>8.9999999999999993E-3</v>
      </c>
      <c r="AR140" s="39">
        <f t="shared" si="110"/>
        <v>0.25212231076206171</v>
      </c>
      <c r="AS140" s="37">
        <f t="shared" si="111"/>
        <v>6.2563199999999997</v>
      </c>
      <c r="AT140" s="40">
        <f t="shared" si="112"/>
        <v>96.126226542022764</v>
      </c>
    </row>
    <row r="141" spans="17:46" x14ac:dyDescent="0.55000000000000004">
      <c r="Q141">
        <v>134</v>
      </c>
      <c r="R141" s="39">
        <f t="shared" si="88"/>
        <v>210</v>
      </c>
      <c r="S141" s="37">
        <f t="shared" si="89"/>
        <v>3.0016000000000001E-2</v>
      </c>
      <c r="T141" s="37">
        <f t="shared" si="90"/>
        <v>20</v>
      </c>
      <c r="U141" s="40">
        <f t="shared" si="91"/>
        <v>0.3501866666666667</v>
      </c>
      <c r="V141" s="39">
        <f t="shared" si="92"/>
        <v>2</v>
      </c>
      <c r="W141" s="37">
        <f t="shared" si="93"/>
        <v>0.90476190476190477</v>
      </c>
      <c r="X141" s="40">
        <f t="shared" si="94"/>
        <v>9.5238095238095233E-2</v>
      </c>
      <c r="Y141" s="39">
        <f t="shared" si="95"/>
        <v>0.4695183729952801</v>
      </c>
      <c r="Z141" s="37">
        <f t="shared" si="71"/>
        <v>0.58494585316430681</v>
      </c>
      <c r="AA141" s="37">
        <f t="shared" si="72"/>
        <v>0.3755014337204618</v>
      </c>
      <c r="AB141" s="37">
        <v>0</v>
      </c>
      <c r="AC141" s="37">
        <f t="shared" si="96"/>
        <v>0.10377697647042607</v>
      </c>
      <c r="AD141" s="40">
        <f t="shared" si="105"/>
        <v>0.10377697647042607</v>
      </c>
      <c r="AE141" s="39">
        <f t="shared" si="113"/>
        <v>0.31683555555555559</v>
      </c>
      <c r="AF141" s="37">
        <f t="shared" si="106"/>
        <v>0.35717310781003964</v>
      </c>
      <c r="AG141" s="37">
        <f t="shared" si="97"/>
        <v>6.2510588181914292E-4</v>
      </c>
      <c r="AH141" s="37">
        <f t="shared" si="98"/>
        <v>7.1179347380560193E-3</v>
      </c>
      <c r="AI141" s="40">
        <f t="shared" si="107"/>
        <v>7.7430406198751621E-3</v>
      </c>
      <c r="AJ141" s="39">
        <f t="shared" si="108"/>
        <v>3.3351111111111109E-2</v>
      </c>
      <c r="AK141" s="37">
        <f t="shared" si="99"/>
        <v>0.11588225827727137</v>
      </c>
      <c r="AL141" s="37">
        <f t="shared" si="100"/>
        <v>2.7614720000000002E-2</v>
      </c>
      <c r="AM141" s="37">
        <f t="shared" si="101"/>
        <v>9.9132400000000009E-2</v>
      </c>
      <c r="AN141" s="40">
        <f t="shared" si="109"/>
        <v>0.12674712000000002</v>
      </c>
      <c r="AO141" s="39">
        <f t="shared" si="102"/>
        <v>5.1029051577072887E-3</v>
      </c>
      <c r="AP141" s="37">
        <f t="shared" si="103"/>
        <v>1.4276250000000003E-3</v>
      </c>
      <c r="AQ141" s="40">
        <f t="shared" si="104"/>
        <v>8.9999999999999993E-3</v>
      </c>
      <c r="AR141" s="39">
        <f t="shared" si="110"/>
        <v>0.25379766724800851</v>
      </c>
      <c r="AS141" s="37">
        <f t="shared" si="111"/>
        <v>6.3033600000000005</v>
      </c>
      <c r="AT141" s="40">
        <f t="shared" si="112"/>
        <v>96.129456082538795</v>
      </c>
    </row>
    <row r="142" spans="17:46" x14ac:dyDescent="0.55000000000000004">
      <c r="Q142">
        <v>135</v>
      </c>
      <c r="R142" s="39">
        <f t="shared" si="88"/>
        <v>210</v>
      </c>
      <c r="S142" s="37">
        <f t="shared" si="89"/>
        <v>3.024E-2</v>
      </c>
      <c r="T142" s="37">
        <f t="shared" si="90"/>
        <v>20</v>
      </c>
      <c r="U142" s="40">
        <f t="shared" si="91"/>
        <v>0.3528</v>
      </c>
      <c r="V142" s="39">
        <f t="shared" si="92"/>
        <v>2</v>
      </c>
      <c r="W142" s="37">
        <f t="shared" si="93"/>
        <v>0.90476190476190477</v>
      </c>
      <c r="X142" s="40">
        <f t="shared" si="94"/>
        <v>9.5238095238095233E-2</v>
      </c>
      <c r="Y142" s="39">
        <f t="shared" si="95"/>
        <v>0.4695183729952801</v>
      </c>
      <c r="Z142" s="37">
        <f t="shared" si="71"/>
        <v>0.58755918649764005</v>
      </c>
      <c r="AA142" s="37">
        <f t="shared" si="72"/>
        <v>0.37793976400348672</v>
      </c>
      <c r="AB142" s="37">
        <v>0</v>
      </c>
      <c r="AC142" s="37">
        <f t="shared" si="96"/>
        <v>0.10512911039824827</v>
      </c>
      <c r="AD142" s="40">
        <f t="shared" si="105"/>
        <v>0.10512911039824827</v>
      </c>
      <c r="AE142" s="39">
        <f t="shared" si="113"/>
        <v>0.31919999999999998</v>
      </c>
      <c r="AF142" s="37">
        <f t="shared" si="106"/>
        <v>0.3594924225365545</v>
      </c>
      <c r="AG142" s="37">
        <f t="shared" si="97"/>
        <v>6.3325052911988324E-4</v>
      </c>
      <c r="AH142" s="37">
        <f t="shared" si="98"/>
        <v>7.1710536540116601E-3</v>
      </c>
      <c r="AI142" s="40">
        <f t="shared" si="107"/>
        <v>7.8043041831315435E-3</v>
      </c>
      <c r="AJ142" s="39">
        <f t="shared" si="108"/>
        <v>3.3599999999999998E-2</v>
      </c>
      <c r="AK142" s="37">
        <f t="shared" si="99"/>
        <v>0.11663474333924088</v>
      </c>
      <c r="AL142" s="37">
        <f t="shared" si="100"/>
        <v>2.78208E-2</v>
      </c>
      <c r="AM142" s="37">
        <f t="shared" si="101"/>
        <v>9.9132400000000009E-2</v>
      </c>
      <c r="AN142" s="40">
        <f t="shared" si="109"/>
        <v>0.12695320000000002</v>
      </c>
      <c r="AO142" s="39">
        <f t="shared" si="102"/>
        <v>5.169392074448026E-3</v>
      </c>
      <c r="AP142" s="37">
        <f t="shared" si="103"/>
        <v>1.4276250000000003E-3</v>
      </c>
      <c r="AQ142" s="40">
        <f t="shared" si="104"/>
        <v>8.9999999999999993E-3</v>
      </c>
      <c r="AR142" s="39">
        <f t="shared" si="110"/>
        <v>0.25548363165582783</v>
      </c>
      <c r="AS142" s="37">
        <f t="shared" si="111"/>
        <v>6.3503999999999996</v>
      </c>
      <c r="AT142" s="40">
        <f t="shared" si="112"/>
        <v>96.132483617611214</v>
      </c>
    </row>
    <row r="143" spans="17:46" x14ac:dyDescent="0.55000000000000004">
      <c r="Q143">
        <v>136</v>
      </c>
      <c r="R143" s="39">
        <f t="shared" si="88"/>
        <v>210</v>
      </c>
      <c r="S143" s="37">
        <f t="shared" si="89"/>
        <v>3.0463999999999998E-2</v>
      </c>
      <c r="T143" s="37">
        <f t="shared" si="90"/>
        <v>20</v>
      </c>
      <c r="U143" s="40">
        <f t="shared" si="91"/>
        <v>0.3554133333333333</v>
      </c>
      <c r="V143" s="39">
        <f t="shared" si="92"/>
        <v>2</v>
      </c>
      <c r="W143" s="37">
        <f t="shared" si="93"/>
        <v>0.90476190476190477</v>
      </c>
      <c r="X143" s="40">
        <f t="shared" si="94"/>
        <v>9.5238095238095233E-2</v>
      </c>
      <c r="Y143" s="39">
        <f t="shared" si="95"/>
        <v>0.4695183729952801</v>
      </c>
      <c r="Z143" s="37">
        <f t="shared" si="71"/>
        <v>0.5901725198309733</v>
      </c>
      <c r="AA143" s="37">
        <f t="shared" si="72"/>
        <v>0.38038041843149906</v>
      </c>
      <c r="AB143" s="37">
        <v>0</v>
      </c>
      <c r="AC143" s="37">
        <f t="shared" si="96"/>
        <v>0.10649129736642603</v>
      </c>
      <c r="AD143" s="40">
        <f t="shared" si="105"/>
        <v>0.10649129736642603</v>
      </c>
      <c r="AE143" s="39">
        <f t="shared" si="113"/>
        <v>0.32156444444444443</v>
      </c>
      <c r="AF143" s="37">
        <f t="shared" si="106"/>
        <v>0.36181394796591532</v>
      </c>
      <c r="AG143" s="37">
        <f t="shared" si="97"/>
        <v>6.4145573141914235E-4</v>
      </c>
      <c r="AH143" s="37">
        <f t="shared" si="98"/>
        <v>7.2241725699673017E-3</v>
      </c>
      <c r="AI143" s="40">
        <f t="shared" si="107"/>
        <v>7.8656283013864448E-3</v>
      </c>
      <c r="AJ143" s="39">
        <f t="shared" si="108"/>
        <v>3.3848888888888887E-2</v>
      </c>
      <c r="AK143" s="37">
        <f t="shared" si="99"/>
        <v>0.11738794564792511</v>
      </c>
      <c r="AL143" s="37">
        <f t="shared" si="100"/>
        <v>2.8026880000000001E-2</v>
      </c>
      <c r="AM143" s="37">
        <f t="shared" si="101"/>
        <v>9.9132400000000009E-2</v>
      </c>
      <c r="AN143" s="40">
        <f t="shared" si="109"/>
        <v>0.12715928000000001</v>
      </c>
      <c r="AO143" s="39">
        <f t="shared" si="102"/>
        <v>5.236373317707284E-3</v>
      </c>
      <c r="AP143" s="37">
        <f t="shared" si="103"/>
        <v>1.4276250000000003E-3</v>
      </c>
      <c r="AQ143" s="40">
        <f t="shared" si="104"/>
        <v>8.9999999999999993E-3</v>
      </c>
      <c r="AR143" s="39">
        <f t="shared" si="110"/>
        <v>0.25718020398551977</v>
      </c>
      <c r="AS143" s="37">
        <f t="shared" si="111"/>
        <v>6.3974399999999996</v>
      </c>
      <c r="AT143" s="40">
        <f t="shared" si="112"/>
        <v>96.135313570089366</v>
      </c>
    </row>
    <row r="144" spans="17:46" x14ac:dyDescent="0.55000000000000004">
      <c r="Q144">
        <v>137</v>
      </c>
      <c r="R144" s="39">
        <f t="shared" si="88"/>
        <v>210</v>
      </c>
      <c r="S144" s="37">
        <f t="shared" si="89"/>
        <v>3.0688E-2</v>
      </c>
      <c r="T144" s="37">
        <f t="shared" si="90"/>
        <v>20</v>
      </c>
      <c r="U144" s="40">
        <f t="shared" si="91"/>
        <v>0.35802666666666672</v>
      </c>
      <c r="V144" s="39">
        <f t="shared" si="92"/>
        <v>2</v>
      </c>
      <c r="W144" s="37">
        <f t="shared" si="93"/>
        <v>0.90476190476190477</v>
      </c>
      <c r="X144" s="40">
        <f t="shared" si="94"/>
        <v>9.5238095238095233E-2</v>
      </c>
      <c r="Y144" s="39">
        <f t="shared" si="95"/>
        <v>0.4695183729952801</v>
      </c>
      <c r="Z144" s="37">
        <f t="shared" ref="Z144:Z157" si="114">CHOOSE(V144,Y144,U144+(0.5*Y144))</f>
        <v>0.59278585316430676</v>
      </c>
      <c r="AA144" s="37">
        <f t="shared" ref="AA144:AA157" si="115">CHOOSE(V144,Z144*SQRT((W144+X144)/3),SQRT((U144^2)+((Y144^2)/12)))</f>
        <v>0.38282335255239552</v>
      </c>
      <c r="AB144" s="37">
        <v>0</v>
      </c>
      <c r="AC144" s="37">
        <f t="shared" si="96"/>
        <v>0.10786353737495939</v>
      </c>
      <c r="AD144" s="40">
        <f t="shared" si="105"/>
        <v>0.10786353737495939</v>
      </c>
      <c r="AE144" s="39">
        <f t="shared" si="113"/>
        <v>0.32392888888888893</v>
      </c>
      <c r="AF144" s="37">
        <f t="shared" si="106"/>
        <v>0.36413764181573788</v>
      </c>
      <c r="AG144" s="37">
        <f t="shared" si="97"/>
        <v>6.4972148871692047E-4</v>
      </c>
      <c r="AH144" s="37">
        <f t="shared" si="98"/>
        <v>7.2772914859229451E-3</v>
      </c>
      <c r="AI144" s="40">
        <f t="shared" si="107"/>
        <v>7.927012974639866E-3</v>
      </c>
      <c r="AJ144" s="39">
        <f t="shared" si="108"/>
        <v>3.4097777777777782E-2</v>
      </c>
      <c r="AK144" s="37">
        <f t="shared" si="99"/>
        <v>0.11814185148510715</v>
      </c>
      <c r="AL144" s="37">
        <f t="shared" si="100"/>
        <v>2.8232960000000001E-2</v>
      </c>
      <c r="AM144" s="37">
        <f t="shared" si="101"/>
        <v>9.9132400000000009E-2</v>
      </c>
      <c r="AN144" s="40">
        <f t="shared" si="109"/>
        <v>0.12736536000000001</v>
      </c>
      <c r="AO144" s="39">
        <f t="shared" si="102"/>
        <v>5.3038488874850645E-3</v>
      </c>
      <c r="AP144" s="37">
        <f t="shared" si="103"/>
        <v>1.4276250000000003E-3</v>
      </c>
      <c r="AQ144" s="40">
        <f t="shared" si="104"/>
        <v>8.9999999999999993E-3</v>
      </c>
      <c r="AR144" s="39">
        <f t="shared" si="110"/>
        <v>0.25888738423708435</v>
      </c>
      <c r="AS144" s="37">
        <f t="shared" si="111"/>
        <v>6.4444800000000004</v>
      </c>
      <c r="AT144" s="40">
        <f t="shared" si="112"/>
        <v>96.13795023608796</v>
      </c>
    </row>
    <row r="145" spans="17:46" x14ac:dyDescent="0.55000000000000004">
      <c r="Q145">
        <v>138</v>
      </c>
      <c r="R145" s="39">
        <f t="shared" si="88"/>
        <v>210</v>
      </c>
      <c r="S145" s="37">
        <f t="shared" si="89"/>
        <v>3.0911999999999999E-2</v>
      </c>
      <c r="T145" s="37">
        <f t="shared" si="90"/>
        <v>20</v>
      </c>
      <c r="U145" s="40">
        <f t="shared" si="91"/>
        <v>0.36063999999999996</v>
      </c>
      <c r="V145" s="39">
        <f t="shared" si="92"/>
        <v>2</v>
      </c>
      <c r="W145" s="37">
        <f t="shared" si="93"/>
        <v>0.90476190476190477</v>
      </c>
      <c r="X145" s="40">
        <f t="shared" si="94"/>
        <v>9.5238095238095233E-2</v>
      </c>
      <c r="Y145" s="39">
        <f t="shared" si="95"/>
        <v>0.4695183729952801</v>
      </c>
      <c r="Z145" s="37">
        <f t="shared" si="114"/>
        <v>0.59539918649764001</v>
      </c>
      <c r="AA145" s="37">
        <f t="shared" si="115"/>
        <v>0.38526852300053166</v>
      </c>
      <c r="AB145" s="37">
        <v>0</v>
      </c>
      <c r="AC145" s="37">
        <f t="shared" si="96"/>
        <v>0.10924583042384822</v>
      </c>
      <c r="AD145" s="40">
        <f t="shared" si="105"/>
        <v>0.10924583042384822</v>
      </c>
      <c r="AE145" s="39">
        <f t="shared" si="113"/>
        <v>0.32629333333333332</v>
      </c>
      <c r="AF145" s="37">
        <f t="shared" si="106"/>
        <v>0.36646346283706638</v>
      </c>
      <c r="AG145" s="37">
        <f t="shared" si="97"/>
        <v>6.580478010132163E-4</v>
      </c>
      <c r="AH145" s="37">
        <f t="shared" si="98"/>
        <v>7.3304104018785858E-3</v>
      </c>
      <c r="AI145" s="40">
        <f t="shared" si="107"/>
        <v>7.9884582028918027E-3</v>
      </c>
      <c r="AJ145" s="39">
        <f t="shared" si="108"/>
        <v>3.4346666666666664E-2</v>
      </c>
      <c r="AK145" s="37">
        <f t="shared" si="99"/>
        <v>0.11889644746785859</v>
      </c>
      <c r="AL145" s="37">
        <f t="shared" si="100"/>
        <v>2.8439039999999999E-2</v>
      </c>
      <c r="AM145" s="37">
        <f t="shared" si="101"/>
        <v>9.9132400000000009E-2</v>
      </c>
      <c r="AN145" s="40">
        <f t="shared" si="109"/>
        <v>0.12757144000000001</v>
      </c>
      <c r="AO145" s="39">
        <f t="shared" si="102"/>
        <v>5.3718187837813571E-3</v>
      </c>
      <c r="AP145" s="37">
        <f t="shared" si="103"/>
        <v>1.4276250000000003E-3</v>
      </c>
      <c r="AQ145" s="40">
        <f t="shared" si="104"/>
        <v>8.9999999999999993E-3</v>
      </c>
      <c r="AR145" s="39">
        <f t="shared" si="110"/>
        <v>0.26060517241052134</v>
      </c>
      <c r="AS145" s="37">
        <f t="shared" si="111"/>
        <v>6.4915199999999995</v>
      </c>
      <c r="AT145" s="40">
        <f t="shared" si="112"/>
        <v>96.14039778949352</v>
      </c>
    </row>
    <row r="146" spans="17:46" x14ac:dyDescent="0.55000000000000004">
      <c r="Q146">
        <v>139</v>
      </c>
      <c r="R146" s="39">
        <f t="shared" si="88"/>
        <v>210</v>
      </c>
      <c r="S146" s="37">
        <f t="shared" si="89"/>
        <v>3.1136E-2</v>
      </c>
      <c r="T146" s="37">
        <f t="shared" si="90"/>
        <v>20</v>
      </c>
      <c r="U146" s="40">
        <f t="shared" si="91"/>
        <v>0.36325333333333337</v>
      </c>
      <c r="V146" s="39">
        <f t="shared" si="92"/>
        <v>2</v>
      </c>
      <c r="W146" s="37">
        <f t="shared" si="93"/>
        <v>0.90476190476190477</v>
      </c>
      <c r="X146" s="40">
        <f t="shared" si="94"/>
        <v>9.5238095238095233E-2</v>
      </c>
      <c r="Y146" s="39">
        <f t="shared" si="95"/>
        <v>0.4695183729952801</v>
      </c>
      <c r="Z146" s="37">
        <f t="shared" si="114"/>
        <v>0.59801251983097337</v>
      </c>
      <c r="AA146" s="37">
        <f t="shared" si="115"/>
        <v>0.38771588746502128</v>
      </c>
      <c r="AB146" s="37">
        <v>0</v>
      </c>
      <c r="AC146" s="37">
        <f t="shared" si="96"/>
        <v>0.11063817651309274</v>
      </c>
      <c r="AD146" s="40">
        <f t="shared" si="105"/>
        <v>0.11063817651309274</v>
      </c>
      <c r="AE146" s="39">
        <f t="shared" si="113"/>
        <v>0.32865777777777783</v>
      </c>
      <c r="AF146" s="37">
        <f t="shared" si="106"/>
        <v>0.36879137078422036</v>
      </c>
      <c r="AG146" s="37">
        <f t="shared" si="97"/>
        <v>6.6643466830803124E-4</v>
      </c>
      <c r="AH146" s="37">
        <f t="shared" si="98"/>
        <v>7.3835293178342292E-3</v>
      </c>
      <c r="AI146" s="40">
        <f t="shared" si="107"/>
        <v>8.0499639861422601E-3</v>
      </c>
      <c r="AJ146" s="39">
        <f t="shared" si="108"/>
        <v>3.459555555555556E-2</v>
      </c>
      <c r="AK146" s="37">
        <f t="shared" si="99"/>
        <v>0.11965172053875642</v>
      </c>
      <c r="AL146" s="37">
        <f t="shared" si="100"/>
        <v>2.8645120000000003E-2</v>
      </c>
      <c r="AM146" s="37">
        <f t="shared" si="101"/>
        <v>9.9132400000000009E-2</v>
      </c>
      <c r="AN146" s="40">
        <f t="shared" si="109"/>
        <v>0.12777752000000001</v>
      </c>
      <c r="AO146" s="39">
        <f t="shared" si="102"/>
        <v>5.440283006596173E-3</v>
      </c>
      <c r="AP146" s="37">
        <f t="shared" si="103"/>
        <v>1.4276250000000003E-3</v>
      </c>
      <c r="AQ146" s="40">
        <f t="shared" si="104"/>
        <v>8.9999999999999993E-3</v>
      </c>
      <c r="AR146" s="39">
        <f t="shared" si="110"/>
        <v>0.26233356850583117</v>
      </c>
      <c r="AS146" s="37">
        <f t="shared" si="111"/>
        <v>6.5385600000000004</v>
      </c>
      <c r="AT146" s="40">
        <f t="shared" si="112"/>
        <v>96.142660286279607</v>
      </c>
    </row>
    <row r="147" spans="17:46" x14ac:dyDescent="0.55000000000000004">
      <c r="Q147">
        <v>140</v>
      </c>
      <c r="R147" s="39">
        <f t="shared" si="88"/>
        <v>210</v>
      </c>
      <c r="S147" s="37">
        <f t="shared" si="89"/>
        <v>3.1359999999999999E-2</v>
      </c>
      <c r="T147" s="37">
        <f t="shared" si="90"/>
        <v>20</v>
      </c>
      <c r="U147" s="40">
        <f t="shared" si="91"/>
        <v>0.36586666666666662</v>
      </c>
      <c r="V147" s="39">
        <f t="shared" si="92"/>
        <v>2</v>
      </c>
      <c r="W147" s="37">
        <f t="shared" si="93"/>
        <v>0.90476190476190477</v>
      </c>
      <c r="X147" s="40">
        <f t="shared" si="94"/>
        <v>9.5238095238095233E-2</v>
      </c>
      <c r="Y147" s="39">
        <f t="shared" si="95"/>
        <v>0.4695183729952801</v>
      </c>
      <c r="Z147" s="37">
        <f t="shared" si="114"/>
        <v>0.60062585316430672</v>
      </c>
      <c r="AA147" s="37">
        <f t="shared" si="115"/>
        <v>0.39016540465908683</v>
      </c>
      <c r="AB147" s="37">
        <v>0</v>
      </c>
      <c r="AC147" s="37">
        <f t="shared" si="96"/>
        <v>0.11204057564269268</v>
      </c>
      <c r="AD147" s="40">
        <f t="shared" si="105"/>
        <v>0.11204057564269268</v>
      </c>
      <c r="AE147" s="39">
        <f t="shared" si="113"/>
        <v>0.33102222222222216</v>
      </c>
      <c r="AF147" s="37">
        <f t="shared" si="106"/>
        <v>0.37112132638564133</v>
      </c>
      <c r="AG147" s="37">
        <f t="shared" si="97"/>
        <v>6.7488209060136486E-4</v>
      </c>
      <c r="AH147" s="37">
        <f t="shared" si="98"/>
        <v>7.4366482337898691E-3</v>
      </c>
      <c r="AI147" s="40">
        <f t="shared" si="107"/>
        <v>8.1115303243912348E-3</v>
      </c>
      <c r="AJ147" s="39">
        <f t="shared" si="108"/>
        <v>3.4844444444444435E-2</v>
      </c>
      <c r="AK147" s="37">
        <f t="shared" si="99"/>
        <v>0.12040765795642459</v>
      </c>
      <c r="AL147" s="37">
        <f t="shared" si="100"/>
        <v>2.88512E-2</v>
      </c>
      <c r="AM147" s="37">
        <f t="shared" si="101"/>
        <v>9.9132400000000009E-2</v>
      </c>
      <c r="AN147" s="40">
        <f t="shared" si="109"/>
        <v>0.1279836</v>
      </c>
      <c r="AO147" s="39">
        <f t="shared" si="102"/>
        <v>5.5092415559295079E-3</v>
      </c>
      <c r="AP147" s="37">
        <f t="shared" si="103"/>
        <v>1.4276250000000003E-3</v>
      </c>
      <c r="AQ147" s="40">
        <f t="shared" si="104"/>
        <v>8.9999999999999993E-3</v>
      </c>
      <c r="AR147" s="39">
        <f t="shared" si="110"/>
        <v>0.26407257252301342</v>
      </c>
      <c r="AS147" s="37">
        <f t="shared" si="111"/>
        <v>6.5855999999999995</v>
      </c>
      <c r="AT147" s="40">
        <f t="shared" si="112"/>
        <v>96.14474166864089</v>
      </c>
    </row>
    <row r="148" spans="17:46" x14ac:dyDescent="0.55000000000000004">
      <c r="Q148">
        <v>141</v>
      </c>
      <c r="R148" s="39">
        <f t="shared" si="88"/>
        <v>210</v>
      </c>
      <c r="S148" s="37">
        <f t="shared" si="89"/>
        <v>3.1584000000000001E-2</v>
      </c>
      <c r="T148" s="37">
        <f t="shared" si="90"/>
        <v>20</v>
      </c>
      <c r="U148" s="40">
        <f t="shared" si="91"/>
        <v>0.36848000000000003</v>
      </c>
      <c r="V148" s="39">
        <f t="shared" si="92"/>
        <v>2</v>
      </c>
      <c r="W148" s="37">
        <f t="shared" si="93"/>
        <v>0.90476190476190477</v>
      </c>
      <c r="X148" s="40">
        <f t="shared" si="94"/>
        <v>9.5238095238095233E-2</v>
      </c>
      <c r="Y148" s="39">
        <f t="shared" si="95"/>
        <v>0.4695183729952801</v>
      </c>
      <c r="Z148" s="37">
        <f t="shared" si="114"/>
        <v>0.60323918649764008</v>
      </c>
      <c r="AA148" s="37">
        <f t="shared" si="115"/>
        <v>0.39261703429042821</v>
      </c>
      <c r="AB148" s="37">
        <v>0</v>
      </c>
      <c r="AC148" s="37">
        <f t="shared" si="96"/>
        <v>0.11345302781264831</v>
      </c>
      <c r="AD148" s="40">
        <f t="shared" si="105"/>
        <v>0.11345302781264831</v>
      </c>
      <c r="AE148" s="39">
        <f t="shared" si="113"/>
        <v>0.33338666666666672</v>
      </c>
      <c r="AF148" s="37">
        <f t="shared" si="106"/>
        <v>0.37345329131570659</v>
      </c>
      <c r="AG148" s="37">
        <f t="shared" si="97"/>
        <v>6.8339006789321674E-4</v>
      </c>
      <c r="AH148" s="37">
        <f t="shared" si="98"/>
        <v>7.4897671497455133E-3</v>
      </c>
      <c r="AI148" s="40">
        <f t="shared" si="107"/>
        <v>8.1731572176387303E-3</v>
      </c>
      <c r="AJ148" s="39">
        <f t="shared" si="108"/>
        <v>3.5093333333333337E-2</v>
      </c>
      <c r="AK148" s="37">
        <f t="shared" si="99"/>
        <v>0.12116424728638917</v>
      </c>
      <c r="AL148" s="37">
        <f t="shared" si="100"/>
        <v>2.9057280000000001E-2</v>
      </c>
      <c r="AM148" s="37">
        <f t="shared" si="101"/>
        <v>9.9132400000000009E-2</v>
      </c>
      <c r="AN148" s="40">
        <f t="shared" si="109"/>
        <v>0.12818968</v>
      </c>
      <c r="AO148" s="39">
        <f t="shared" si="102"/>
        <v>5.5786944317813602E-3</v>
      </c>
      <c r="AP148" s="37">
        <f t="shared" si="103"/>
        <v>1.4276250000000003E-3</v>
      </c>
      <c r="AQ148" s="40">
        <f t="shared" si="104"/>
        <v>8.9999999999999993E-3</v>
      </c>
      <c r="AR148" s="39">
        <f t="shared" si="110"/>
        <v>0.2658221844620684</v>
      </c>
      <c r="AS148" s="37">
        <f t="shared" si="111"/>
        <v>6.6326400000000003</v>
      </c>
      <c r="AT148" s="40">
        <f t="shared" si="112"/>
        <v>96.14664576895413</v>
      </c>
    </row>
    <row r="149" spans="17:46" x14ac:dyDescent="0.55000000000000004">
      <c r="Q149">
        <v>142</v>
      </c>
      <c r="R149" s="39">
        <f t="shared" si="88"/>
        <v>210</v>
      </c>
      <c r="S149" s="37">
        <f t="shared" si="89"/>
        <v>3.1808000000000003E-2</v>
      </c>
      <c r="T149" s="37">
        <f t="shared" si="90"/>
        <v>20</v>
      </c>
      <c r="U149" s="40">
        <f t="shared" si="91"/>
        <v>0.37109333333333333</v>
      </c>
      <c r="V149" s="39">
        <f t="shared" si="92"/>
        <v>2</v>
      </c>
      <c r="W149" s="37">
        <f t="shared" si="93"/>
        <v>0.90476190476190477</v>
      </c>
      <c r="X149" s="40">
        <f t="shared" si="94"/>
        <v>9.5238095238095233E-2</v>
      </c>
      <c r="Y149" s="39">
        <f t="shared" si="95"/>
        <v>0.4695183729952801</v>
      </c>
      <c r="Z149" s="37">
        <f t="shared" si="114"/>
        <v>0.60585251983097343</v>
      </c>
      <c r="AA149" s="37">
        <f t="shared" si="115"/>
        <v>0.39507073703256695</v>
      </c>
      <c r="AB149" s="37">
        <v>0</v>
      </c>
      <c r="AC149" s="37">
        <f t="shared" si="96"/>
        <v>0.11487553302295937</v>
      </c>
      <c r="AD149" s="40">
        <f t="shared" si="105"/>
        <v>0.11487553302295937</v>
      </c>
      <c r="AE149" s="39">
        <f t="shared" si="113"/>
        <v>0.33575111111111111</v>
      </c>
      <c r="AF149" s="37">
        <f t="shared" si="106"/>
        <v>0.37578722816747412</v>
      </c>
      <c r="AG149" s="37">
        <f t="shared" si="97"/>
        <v>6.9195860018358697E-4</v>
      </c>
      <c r="AH149" s="37">
        <f t="shared" si="98"/>
        <v>7.5428860657011541E-3</v>
      </c>
      <c r="AI149" s="40">
        <f t="shared" si="107"/>
        <v>8.2348446658847413E-3</v>
      </c>
      <c r="AJ149" s="39">
        <f t="shared" si="108"/>
        <v>3.5342222222222219E-2</v>
      </c>
      <c r="AK149" s="37">
        <f t="shared" si="99"/>
        <v>0.12192147639223554</v>
      </c>
      <c r="AL149" s="37">
        <f t="shared" si="100"/>
        <v>2.9263360000000006E-2</v>
      </c>
      <c r="AM149" s="37">
        <f t="shared" si="101"/>
        <v>9.9132400000000009E-2</v>
      </c>
      <c r="AN149" s="40">
        <f t="shared" si="109"/>
        <v>0.12839576000000003</v>
      </c>
      <c r="AO149" s="39">
        <f t="shared" si="102"/>
        <v>5.6486416341517296E-3</v>
      </c>
      <c r="AP149" s="37">
        <f t="shared" si="103"/>
        <v>1.4276250000000003E-3</v>
      </c>
      <c r="AQ149" s="40">
        <f t="shared" si="104"/>
        <v>8.9999999999999993E-3</v>
      </c>
      <c r="AR149" s="39">
        <f t="shared" si="110"/>
        <v>0.2675824043229959</v>
      </c>
      <c r="AS149" s="37">
        <f t="shared" si="111"/>
        <v>6.6796800000000003</v>
      </c>
      <c r="AT149" s="40">
        <f t="shared" si="112"/>
        <v>96.148376313575113</v>
      </c>
    </row>
    <row r="150" spans="17:46" x14ac:dyDescent="0.55000000000000004">
      <c r="Q150">
        <v>143</v>
      </c>
      <c r="R150" s="39">
        <f t="shared" si="88"/>
        <v>210</v>
      </c>
      <c r="S150" s="37">
        <f t="shared" si="89"/>
        <v>3.2031999999999998E-2</v>
      </c>
      <c r="T150" s="37">
        <f t="shared" si="90"/>
        <v>20</v>
      </c>
      <c r="U150" s="40">
        <f t="shared" si="91"/>
        <v>0.37370666666666663</v>
      </c>
      <c r="V150" s="39">
        <f t="shared" si="92"/>
        <v>2</v>
      </c>
      <c r="W150" s="37">
        <f t="shared" si="93"/>
        <v>0.90476190476190477</v>
      </c>
      <c r="X150" s="40">
        <f t="shared" si="94"/>
        <v>9.5238095238095233E-2</v>
      </c>
      <c r="Y150" s="39">
        <f t="shared" si="95"/>
        <v>0.4695183729952801</v>
      </c>
      <c r="Z150" s="37">
        <f t="shared" si="114"/>
        <v>0.60846585316430668</v>
      </c>
      <c r="AA150" s="37">
        <f t="shared" si="115"/>
        <v>0.3975264744971363</v>
      </c>
      <c r="AB150" s="37">
        <v>0</v>
      </c>
      <c r="AC150" s="37">
        <f t="shared" si="96"/>
        <v>0.11630809127362605</v>
      </c>
      <c r="AD150" s="40">
        <f t="shared" si="105"/>
        <v>0.11630809127362605</v>
      </c>
      <c r="AE150" s="39">
        <f t="shared" si="113"/>
        <v>0.3381155555555555</v>
      </c>
      <c r="AF150" s="37">
        <f t="shared" si="106"/>
        <v>0.37812310042632336</v>
      </c>
      <c r="AG150" s="37">
        <f t="shared" si="97"/>
        <v>7.0058768747247567E-4</v>
      </c>
      <c r="AH150" s="37">
        <f t="shared" si="98"/>
        <v>7.5960049816567957E-3</v>
      </c>
      <c r="AI150" s="40">
        <f t="shared" si="107"/>
        <v>8.2965926691292713E-3</v>
      </c>
      <c r="AJ150" s="39">
        <f t="shared" si="108"/>
        <v>3.5591111111111108E-2</v>
      </c>
      <c r="AK150" s="37">
        <f t="shared" si="99"/>
        <v>0.12267933342705643</v>
      </c>
      <c r="AL150" s="37">
        <f t="shared" si="100"/>
        <v>2.946944E-2</v>
      </c>
      <c r="AM150" s="37">
        <f t="shared" si="101"/>
        <v>9.9132400000000009E-2</v>
      </c>
      <c r="AN150" s="40">
        <f t="shared" si="109"/>
        <v>0.12860184000000002</v>
      </c>
      <c r="AO150" s="39">
        <f t="shared" si="102"/>
        <v>5.7190831630406173E-3</v>
      </c>
      <c r="AP150" s="37">
        <f t="shared" si="103"/>
        <v>1.4276250000000003E-3</v>
      </c>
      <c r="AQ150" s="40">
        <f t="shared" si="104"/>
        <v>8.9999999999999993E-3</v>
      </c>
      <c r="AR150" s="39">
        <f t="shared" si="110"/>
        <v>0.26935323210579598</v>
      </c>
      <c r="AS150" s="37">
        <f t="shared" si="111"/>
        <v>6.7267199999999994</v>
      </c>
      <c r="AT150" s="40">
        <f t="shared" si="112"/>
        <v>96.149936926478958</v>
      </c>
    </row>
    <row r="151" spans="17:46" x14ac:dyDescent="0.55000000000000004">
      <c r="Q151">
        <v>144</v>
      </c>
      <c r="R151" s="39">
        <f t="shared" si="88"/>
        <v>210</v>
      </c>
      <c r="S151" s="37">
        <f t="shared" si="89"/>
        <v>3.2256E-2</v>
      </c>
      <c r="T151" s="37">
        <f t="shared" si="90"/>
        <v>20</v>
      </c>
      <c r="U151" s="40">
        <f t="shared" si="91"/>
        <v>0.37631999999999999</v>
      </c>
      <c r="V151" s="39">
        <f t="shared" si="92"/>
        <v>2</v>
      </c>
      <c r="W151" s="37">
        <f t="shared" si="93"/>
        <v>0.90476190476190477</v>
      </c>
      <c r="X151" s="40">
        <f t="shared" si="94"/>
        <v>9.5238095238095233E-2</v>
      </c>
      <c r="Y151" s="39">
        <f t="shared" si="95"/>
        <v>0.4695183729952801</v>
      </c>
      <c r="Z151" s="37">
        <f t="shared" si="114"/>
        <v>0.61107918649764004</v>
      </c>
      <c r="AA151" s="37">
        <f t="shared" si="115"/>
        <v>0.39998420920707767</v>
      </c>
      <c r="AB151" s="37">
        <v>0</v>
      </c>
      <c r="AC151" s="37">
        <f t="shared" si="96"/>
        <v>0.1177507025646483</v>
      </c>
      <c r="AD151" s="40">
        <f t="shared" si="105"/>
        <v>0.1177507025646483</v>
      </c>
      <c r="AE151" s="39">
        <f t="shared" si="113"/>
        <v>0.34048</v>
      </c>
      <c r="AF151" s="37">
        <f t="shared" si="106"/>
        <v>0.38046087244446131</v>
      </c>
      <c r="AG151" s="37">
        <f t="shared" si="97"/>
        <v>7.0927732975988326E-4</v>
      </c>
      <c r="AH151" s="37">
        <f t="shared" si="98"/>
        <v>7.6491238976124382E-3</v>
      </c>
      <c r="AI151" s="40">
        <f t="shared" si="107"/>
        <v>8.358401227372322E-3</v>
      </c>
      <c r="AJ151" s="39">
        <f t="shared" si="108"/>
        <v>3.5839999999999997E-2</v>
      </c>
      <c r="AK151" s="37">
        <f t="shared" si="99"/>
        <v>0.12343780682518057</v>
      </c>
      <c r="AL151" s="37">
        <f t="shared" si="100"/>
        <v>2.967552E-2</v>
      </c>
      <c r="AM151" s="37">
        <f t="shared" si="101"/>
        <v>9.9132400000000009E-2</v>
      </c>
      <c r="AN151" s="40">
        <f t="shared" si="109"/>
        <v>0.12880792000000002</v>
      </c>
      <c r="AO151" s="39">
        <f t="shared" si="102"/>
        <v>5.7900190184480265E-3</v>
      </c>
      <c r="AP151" s="37">
        <f t="shared" si="103"/>
        <v>1.4276250000000003E-3</v>
      </c>
      <c r="AQ151" s="40">
        <f t="shared" si="104"/>
        <v>8.9999999999999993E-3</v>
      </c>
      <c r="AR151" s="39">
        <f t="shared" si="110"/>
        <v>0.27113466781046869</v>
      </c>
      <c r="AS151" s="37">
        <f t="shared" si="111"/>
        <v>6.7737600000000002</v>
      </c>
      <c r="AT151" s="40">
        <f t="shared" si="112"/>
        <v>96.151331132751523</v>
      </c>
    </row>
    <row r="152" spans="17:46" x14ac:dyDescent="0.55000000000000004">
      <c r="Q152">
        <v>145</v>
      </c>
      <c r="R152" s="39">
        <f t="shared" si="88"/>
        <v>210</v>
      </c>
      <c r="S152" s="37">
        <f t="shared" si="89"/>
        <v>3.2480000000000002E-2</v>
      </c>
      <c r="T152" s="37">
        <f t="shared" si="90"/>
        <v>20</v>
      </c>
      <c r="U152" s="40">
        <f t="shared" si="91"/>
        <v>0.37893333333333334</v>
      </c>
      <c r="V152" s="39">
        <f t="shared" si="92"/>
        <v>2</v>
      </c>
      <c r="W152" s="37">
        <f t="shared" si="93"/>
        <v>0.90476190476190477</v>
      </c>
      <c r="X152" s="40">
        <f t="shared" si="94"/>
        <v>9.5238095238095233E-2</v>
      </c>
      <c r="Y152" s="39">
        <f t="shared" si="95"/>
        <v>0.4695183729952801</v>
      </c>
      <c r="Z152" s="37">
        <f t="shared" si="114"/>
        <v>0.61369251983097339</v>
      </c>
      <c r="AA152" s="37">
        <f t="shared" si="115"/>
        <v>0.40244390457071455</v>
      </c>
      <c r="AB152" s="37">
        <v>0</v>
      </c>
      <c r="AC152" s="37">
        <f t="shared" si="96"/>
        <v>0.11920336689602609</v>
      </c>
      <c r="AD152" s="40">
        <f t="shared" si="105"/>
        <v>0.11920336689602609</v>
      </c>
      <c r="AE152" s="39">
        <f t="shared" si="113"/>
        <v>0.34284444444444445</v>
      </c>
      <c r="AF152" s="37">
        <f t="shared" si="106"/>
        <v>0.38280050941626087</v>
      </c>
      <c r="AG152" s="37">
        <f t="shared" si="97"/>
        <v>7.1802752704580933E-4</v>
      </c>
      <c r="AH152" s="37">
        <f t="shared" si="98"/>
        <v>7.7022428135680807E-3</v>
      </c>
      <c r="AI152" s="40">
        <f t="shared" si="107"/>
        <v>8.4202703406138901E-3</v>
      </c>
      <c r="AJ152" s="39">
        <f t="shared" si="108"/>
        <v>3.6088888888888886E-2</v>
      </c>
      <c r="AK152" s="37">
        <f t="shared" si="99"/>
        <v>0.12419688529417136</v>
      </c>
      <c r="AL152" s="37">
        <f t="shared" si="100"/>
        <v>2.9881600000000005E-2</v>
      </c>
      <c r="AM152" s="37">
        <f t="shared" si="101"/>
        <v>9.9132400000000009E-2</v>
      </c>
      <c r="AN152" s="40">
        <f t="shared" si="109"/>
        <v>0.12901400000000002</v>
      </c>
      <c r="AO152" s="39">
        <f t="shared" si="102"/>
        <v>5.861449200373953E-3</v>
      </c>
      <c r="AP152" s="37">
        <f t="shared" si="103"/>
        <v>1.4276250000000003E-3</v>
      </c>
      <c r="AQ152" s="40">
        <f t="shared" si="104"/>
        <v>8.9999999999999993E-3</v>
      </c>
      <c r="AR152" s="39">
        <f t="shared" si="110"/>
        <v>0.27292671143701391</v>
      </c>
      <c r="AS152" s="37">
        <f t="shared" si="111"/>
        <v>6.8208000000000002</v>
      </c>
      <c r="AT152" s="40">
        <f t="shared" si="112"/>
        <v>96.152562361939005</v>
      </c>
    </row>
    <row r="153" spans="17:46" x14ac:dyDescent="0.55000000000000004">
      <c r="Q153">
        <v>146</v>
      </c>
      <c r="R153" s="39">
        <f t="shared" si="88"/>
        <v>210</v>
      </c>
      <c r="S153" s="37">
        <f t="shared" si="89"/>
        <v>3.2703999999999997E-2</v>
      </c>
      <c r="T153" s="37">
        <f t="shared" si="90"/>
        <v>20</v>
      </c>
      <c r="U153" s="40">
        <f t="shared" si="91"/>
        <v>0.38154666666666665</v>
      </c>
      <c r="V153" s="39">
        <f t="shared" si="92"/>
        <v>2</v>
      </c>
      <c r="W153" s="37">
        <f t="shared" si="93"/>
        <v>0.90476190476190477</v>
      </c>
      <c r="X153" s="40">
        <f t="shared" si="94"/>
        <v>9.5238095238095233E-2</v>
      </c>
      <c r="Y153" s="39">
        <f t="shared" si="95"/>
        <v>0.4695183729952801</v>
      </c>
      <c r="Z153" s="37">
        <f t="shared" si="114"/>
        <v>0.61630585316430664</v>
      </c>
      <c r="AA153" s="37">
        <f t="shared" si="115"/>
        <v>0.40490552485667031</v>
      </c>
      <c r="AB153" s="37">
        <v>0</v>
      </c>
      <c r="AC153" s="37">
        <f t="shared" si="96"/>
        <v>0.12066608426775936</v>
      </c>
      <c r="AD153" s="40">
        <f t="shared" si="105"/>
        <v>0.12066608426775936</v>
      </c>
      <c r="AE153" s="39">
        <f t="shared" si="113"/>
        <v>0.3452088888888889</v>
      </c>
      <c r="AF153" s="37">
        <f t="shared" si="106"/>
        <v>0.38514197735440353</v>
      </c>
      <c r="AG153" s="37">
        <f t="shared" si="97"/>
        <v>7.2683827933025364E-4</v>
      </c>
      <c r="AH153" s="37">
        <f t="shared" si="98"/>
        <v>7.7553617295237215E-3</v>
      </c>
      <c r="AI153" s="40">
        <f t="shared" si="107"/>
        <v>8.4822000088539753E-3</v>
      </c>
      <c r="AJ153" s="39">
        <f t="shared" si="108"/>
        <v>3.6337777777777774E-2</v>
      </c>
      <c r="AK153" s="37">
        <f t="shared" si="99"/>
        <v>0.12495655780708662</v>
      </c>
      <c r="AL153" s="37">
        <f t="shared" si="100"/>
        <v>3.0087679999999999E-2</v>
      </c>
      <c r="AM153" s="37">
        <f t="shared" si="101"/>
        <v>9.9132400000000009E-2</v>
      </c>
      <c r="AN153" s="40">
        <f t="shared" si="109"/>
        <v>0.12922008000000001</v>
      </c>
      <c r="AO153" s="39">
        <f t="shared" si="102"/>
        <v>5.9333737088183959E-3</v>
      </c>
      <c r="AP153" s="37">
        <f t="shared" si="103"/>
        <v>1.4276250000000003E-3</v>
      </c>
      <c r="AQ153" s="40">
        <f t="shared" si="104"/>
        <v>8.9999999999999993E-3</v>
      </c>
      <c r="AR153" s="39">
        <f t="shared" si="110"/>
        <v>0.27472936298543171</v>
      </c>
      <c r="AS153" s="37">
        <f t="shared" si="111"/>
        <v>6.8678399999999993</v>
      </c>
      <c r="AT153" s="40">
        <f t="shared" si="112"/>
        <v>96.153633951262023</v>
      </c>
    </row>
    <row r="154" spans="17:46" x14ac:dyDescent="0.55000000000000004">
      <c r="Q154">
        <v>147</v>
      </c>
      <c r="R154" s="39">
        <f t="shared" si="88"/>
        <v>210</v>
      </c>
      <c r="S154" s="37">
        <f t="shared" si="89"/>
        <v>3.2927999999999999E-2</v>
      </c>
      <c r="T154" s="37">
        <f t="shared" si="90"/>
        <v>20</v>
      </c>
      <c r="U154" s="40">
        <f t="shared" si="91"/>
        <v>0.38416</v>
      </c>
      <c r="V154" s="39">
        <f t="shared" si="92"/>
        <v>2</v>
      </c>
      <c r="W154" s="37">
        <f t="shared" si="93"/>
        <v>0.90476190476190477</v>
      </c>
      <c r="X154" s="40">
        <f t="shared" si="94"/>
        <v>9.5238095238095233E-2</v>
      </c>
      <c r="Y154" s="39">
        <f t="shared" si="95"/>
        <v>0.4695183729952801</v>
      </c>
      <c r="Z154" s="37">
        <f t="shared" si="114"/>
        <v>0.61891918649763999</v>
      </c>
      <c r="AA154" s="37">
        <f t="shared" si="115"/>
        <v>0.40736903516960055</v>
      </c>
      <c r="AB154" s="37">
        <v>0</v>
      </c>
      <c r="AC154" s="37">
        <f t="shared" si="96"/>
        <v>0.12213885467984827</v>
      </c>
      <c r="AD154" s="40">
        <f t="shared" si="105"/>
        <v>0.12213885467984827</v>
      </c>
      <c r="AE154" s="39">
        <f t="shared" si="113"/>
        <v>0.34757333333333335</v>
      </c>
      <c r="AF154" s="37">
        <f t="shared" si="106"/>
        <v>0.38748524306679594</v>
      </c>
      <c r="AG154" s="37">
        <f t="shared" si="97"/>
        <v>7.3570958661321642E-4</v>
      </c>
      <c r="AH154" s="37">
        <f t="shared" si="98"/>
        <v>7.8084806454793631E-3</v>
      </c>
      <c r="AI154" s="40">
        <f t="shared" si="107"/>
        <v>8.5441902320925796E-3</v>
      </c>
      <c r="AJ154" s="39">
        <f t="shared" si="108"/>
        <v>3.6586666666666663E-2</v>
      </c>
      <c r="AK154" s="37">
        <f t="shared" si="99"/>
        <v>0.12571681359498918</v>
      </c>
      <c r="AL154" s="37">
        <f t="shared" si="100"/>
        <v>3.0293759999999999E-2</v>
      </c>
      <c r="AM154" s="37">
        <f t="shared" si="101"/>
        <v>9.9132400000000009E-2</v>
      </c>
      <c r="AN154" s="40">
        <f t="shared" si="109"/>
        <v>0.12942616000000001</v>
      </c>
      <c r="AO154" s="39">
        <f t="shared" si="102"/>
        <v>6.0057925437813579E-3</v>
      </c>
      <c r="AP154" s="37">
        <f t="shared" si="103"/>
        <v>1.4276250000000003E-3</v>
      </c>
      <c r="AQ154" s="40">
        <f t="shared" si="104"/>
        <v>8.9999999999999993E-3</v>
      </c>
      <c r="AR154" s="39">
        <f t="shared" si="110"/>
        <v>0.2765426224557222</v>
      </c>
      <c r="AS154" s="37">
        <f t="shared" si="111"/>
        <v>6.9148800000000001</v>
      </c>
      <c r="AT154" s="40">
        <f t="shared" si="112"/>
        <v>96.154549148701136</v>
      </c>
    </row>
    <row r="155" spans="17:46" x14ac:dyDescent="0.55000000000000004">
      <c r="Q155">
        <v>148</v>
      </c>
      <c r="R155" s="39">
        <f t="shared" si="88"/>
        <v>210</v>
      </c>
      <c r="S155" s="37">
        <f t="shared" si="89"/>
        <v>3.3152000000000001E-2</v>
      </c>
      <c r="T155" s="37">
        <f t="shared" si="90"/>
        <v>20</v>
      </c>
      <c r="U155" s="40">
        <f t="shared" si="91"/>
        <v>0.38677333333333336</v>
      </c>
      <c r="V155" s="39">
        <f t="shared" si="92"/>
        <v>2</v>
      </c>
      <c r="W155" s="37">
        <f t="shared" si="93"/>
        <v>0.90476190476190477</v>
      </c>
      <c r="X155" s="40">
        <f t="shared" si="94"/>
        <v>9.5238095238095233E-2</v>
      </c>
      <c r="Y155" s="39">
        <f t="shared" si="95"/>
        <v>0.4695183729952801</v>
      </c>
      <c r="Z155" s="37">
        <f t="shared" si="114"/>
        <v>0.62153251983097335</v>
      </c>
      <c r="AA155" s="37">
        <f t="shared" si="115"/>
        <v>0.40983440142670924</v>
      </c>
      <c r="AB155" s="37">
        <v>0</v>
      </c>
      <c r="AC155" s="37">
        <f t="shared" si="96"/>
        <v>0.12362167813229274</v>
      </c>
      <c r="AD155" s="40">
        <f t="shared" si="105"/>
        <v>0.12362167813229274</v>
      </c>
      <c r="AE155" s="39">
        <f t="shared" si="113"/>
        <v>0.34993777777777779</v>
      </c>
      <c r="AF155" s="37">
        <f t="shared" si="106"/>
        <v>0.38983027413423266</v>
      </c>
      <c r="AG155" s="37">
        <f t="shared" si="97"/>
        <v>7.4464144889469788E-4</v>
      </c>
      <c r="AH155" s="37">
        <f t="shared" si="98"/>
        <v>7.8615995614350065E-3</v>
      </c>
      <c r="AI155" s="40">
        <f t="shared" si="107"/>
        <v>8.6062410103297047E-3</v>
      </c>
      <c r="AJ155" s="39">
        <f t="shared" si="108"/>
        <v>3.6835555555555559E-2</v>
      </c>
      <c r="AK155" s="37">
        <f t="shared" si="99"/>
        <v>0.12647764213969992</v>
      </c>
      <c r="AL155" s="37">
        <f t="shared" si="100"/>
        <v>3.0499840000000004E-2</v>
      </c>
      <c r="AM155" s="37">
        <f t="shared" si="101"/>
        <v>9.9132400000000009E-2</v>
      </c>
      <c r="AN155" s="40">
        <f t="shared" si="109"/>
        <v>0.12963224000000001</v>
      </c>
      <c r="AO155" s="39">
        <f t="shared" si="102"/>
        <v>6.0787057052628388E-3</v>
      </c>
      <c r="AP155" s="37">
        <f t="shared" si="103"/>
        <v>1.4276250000000003E-3</v>
      </c>
      <c r="AQ155" s="40">
        <f t="shared" si="104"/>
        <v>8.9999999999999993E-3</v>
      </c>
      <c r="AR155" s="39">
        <f t="shared" si="110"/>
        <v>0.27836648984788531</v>
      </c>
      <c r="AS155" s="37">
        <f t="shared" si="111"/>
        <v>6.9619200000000001</v>
      </c>
      <c r="AT155" s="40">
        <f t="shared" si="112"/>
        <v>96.155311115959265</v>
      </c>
    </row>
    <row r="156" spans="17:46" x14ac:dyDescent="0.55000000000000004">
      <c r="Q156">
        <v>149</v>
      </c>
      <c r="R156" s="39">
        <f t="shared" si="88"/>
        <v>210</v>
      </c>
      <c r="S156" s="37">
        <f t="shared" si="89"/>
        <v>3.3376000000000003E-2</v>
      </c>
      <c r="T156" s="37">
        <f t="shared" si="90"/>
        <v>20</v>
      </c>
      <c r="U156" s="40">
        <f t="shared" si="91"/>
        <v>0.38938666666666671</v>
      </c>
      <c r="V156" s="39">
        <f t="shared" si="92"/>
        <v>2</v>
      </c>
      <c r="W156" s="37">
        <f t="shared" si="93"/>
        <v>0.90476190476190477</v>
      </c>
      <c r="X156" s="40">
        <f t="shared" si="94"/>
        <v>9.5238095238095233E-2</v>
      </c>
      <c r="Y156" s="39">
        <f t="shared" si="95"/>
        <v>0.4695183729952801</v>
      </c>
      <c r="Z156" s="37">
        <f t="shared" si="114"/>
        <v>0.62414585316430671</v>
      </c>
      <c r="AA156" s="37">
        <f t="shared" si="115"/>
        <v>0.41230159033502289</v>
      </c>
      <c r="AB156" s="37">
        <v>0</v>
      </c>
      <c r="AC156" s="37">
        <f t="shared" si="96"/>
        <v>0.12511455462509274</v>
      </c>
      <c r="AD156" s="40">
        <f t="shared" si="105"/>
        <v>0.12511455462509274</v>
      </c>
      <c r="AE156" s="39">
        <f t="shared" si="113"/>
        <v>0.35230222222222229</v>
      </c>
      <c r="AF156" s="37">
        <f t="shared" si="106"/>
        <v>0.39217703888877914</v>
      </c>
      <c r="AG156" s="37">
        <f t="shared" si="97"/>
        <v>7.5363386617469791E-4</v>
      </c>
      <c r="AH156" s="37">
        <f t="shared" si="98"/>
        <v>7.914718477390649E-3</v>
      </c>
      <c r="AI156" s="40">
        <f t="shared" si="107"/>
        <v>8.668352343565347E-3</v>
      </c>
      <c r="AJ156" s="39">
        <f t="shared" si="108"/>
        <v>3.7084444444444448E-2</v>
      </c>
      <c r="AK156" s="37">
        <f t="shared" si="99"/>
        <v>0.12723903316678414</v>
      </c>
      <c r="AL156" s="37">
        <f t="shared" si="100"/>
        <v>3.0705920000000005E-2</v>
      </c>
      <c r="AM156" s="37">
        <f t="shared" si="101"/>
        <v>9.9132400000000009E-2</v>
      </c>
      <c r="AN156" s="40">
        <f t="shared" si="109"/>
        <v>0.12983832000000001</v>
      </c>
      <c r="AO156" s="39">
        <f t="shared" si="102"/>
        <v>6.1521131932628396E-3</v>
      </c>
      <c r="AP156" s="37">
        <f t="shared" si="103"/>
        <v>1.4276250000000003E-3</v>
      </c>
      <c r="AQ156" s="40">
        <f t="shared" si="104"/>
        <v>8.9999999999999993E-3</v>
      </c>
      <c r="AR156" s="39">
        <f t="shared" si="110"/>
        <v>0.28020096516192095</v>
      </c>
      <c r="AS156" s="37">
        <f t="shared" si="111"/>
        <v>7.008960000000001</v>
      </c>
      <c r="AT156" s="40">
        <f t="shared" si="112"/>
        <v>96.155922931306861</v>
      </c>
    </row>
    <row r="157" spans="17:46" ht="14.7" thickBot="1" x14ac:dyDescent="0.6">
      <c r="Q157">
        <v>150</v>
      </c>
      <c r="R157" s="41">
        <f t="shared" si="88"/>
        <v>210</v>
      </c>
      <c r="S157" s="42">
        <f t="shared" si="89"/>
        <v>3.3599999999999998E-2</v>
      </c>
      <c r="T157" s="42">
        <f t="shared" si="90"/>
        <v>20</v>
      </c>
      <c r="U157" s="43">
        <f t="shared" si="91"/>
        <v>0.39199999999999996</v>
      </c>
      <c r="V157" s="41">
        <f t="shared" si="92"/>
        <v>2</v>
      </c>
      <c r="W157" s="42">
        <f t="shared" si="93"/>
        <v>0.90476190476190477</v>
      </c>
      <c r="X157" s="43">
        <f t="shared" si="94"/>
        <v>9.5238095238095233E-2</v>
      </c>
      <c r="Y157" s="41">
        <f t="shared" si="95"/>
        <v>0.4695183729952801</v>
      </c>
      <c r="Z157" s="42">
        <f t="shared" si="114"/>
        <v>0.62675918649764006</v>
      </c>
      <c r="AA157" s="42">
        <f t="shared" si="115"/>
        <v>0.41477056936939394</v>
      </c>
      <c r="AB157" s="42">
        <v>0</v>
      </c>
      <c r="AC157" s="42">
        <f t="shared" si="96"/>
        <v>0.12661748415824825</v>
      </c>
      <c r="AD157" s="43">
        <f t="shared" si="105"/>
        <v>0.12661748415824825</v>
      </c>
      <c r="AE157" s="41">
        <f t="shared" si="113"/>
        <v>0.35466666666666663</v>
      </c>
      <c r="AF157" s="37">
        <f t="shared" si="106"/>
        <v>0.39452550639284911</v>
      </c>
      <c r="AG157" s="42">
        <f t="shared" si="97"/>
        <v>7.6268683845321684E-4</v>
      </c>
      <c r="AH157" s="42">
        <f t="shared" si="98"/>
        <v>7.967837393346288E-3</v>
      </c>
      <c r="AI157" s="43">
        <f t="shared" si="107"/>
        <v>8.7305242317995049E-3</v>
      </c>
      <c r="AJ157" s="41">
        <f>X157*U157</f>
        <v>3.7333333333333329E-2</v>
      </c>
      <c r="AK157" s="42">
        <f t="shared" si="99"/>
        <v>0.12800097663876345</v>
      </c>
      <c r="AL157" s="42">
        <f t="shared" si="100"/>
        <v>3.0911999999999999E-2</v>
      </c>
      <c r="AM157" s="42">
        <f t="shared" si="101"/>
        <v>9.9132400000000009E-2</v>
      </c>
      <c r="AN157" s="43">
        <f t="shared" si="109"/>
        <v>0.1300444</v>
      </c>
      <c r="AO157" s="41">
        <f t="shared" si="102"/>
        <v>6.2260150077813612E-3</v>
      </c>
      <c r="AP157" s="42">
        <f t="shared" si="103"/>
        <v>1.4276250000000003E-3</v>
      </c>
      <c r="AQ157" s="43">
        <f t="shared" si="104"/>
        <v>8.9999999999999993E-3</v>
      </c>
      <c r="AR157" s="41">
        <f t="shared" si="110"/>
        <v>0.28204604839782915</v>
      </c>
      <c r="AS157" s="42">
        <f t="shared" si="111"/>
        <v>7.0559999999999992</v>
      </c>
      <c r="AT157" s="43">
        <f>(AS157/(AS157+AR157))*100</f>
        <v>96.156387592315397</v>
      </c>
    </row>
  </sheetData>
  <mergeCells count="7">
    <mergeCell ref="AO5:AQ5"/>
    <mergeCell ref="A1:M1"/>
    <mergeCell ref="R5:U5"/>
    <mergeCell ref="V5:X5"/>
    <mergeCell ref="Y5:AD5"/>
    <mergeCell ref="AE5:AI5"/>
    <mergeCell ref="AJ5:AN5"/>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Y708"/>
  <sheetViews>
    <sheetView topLeftCell="R1" zoomScale="80" zoomScaleNormal="80" workbookViewId="0">
      <selection activeCell="AY19" sqref="AY19:AY559"/>
    </sheetView>
  </sheetViews>
  <sheetFormatPr defaultColWidth="9.1015625" defaultRowHeight="14.4" x14ac:dyDescent="0.55000000000000004"/>
  <cols>
    <col min="1" max="1" width="13.1015625" style="98" customWidth="1"/>
    <col min="2" max="2" width="25" style="98" customWidth="1"/>
    <col min="3" max="7" width="9.1015625" style="98"/>
    <col min="8" max="10" width="8.89453125" style="98"/>
    <col min="11" max="11" width="12" style="98" bestFit="1" customWidth="1"/>
    <col min="12" max="14" width="9.1015625" style="98"/>
    <col min="15" max="15" width="16.68359375" style="199" bestFit="1" customWidth="1"/>
    <col min="16" max="16" width="16.68359375" style="98" customWidth="1"/>
    <col min="17" max="25" width="9.1015625" style="98"/>
    <col min="26" max="26" width="8.41796875" style="98" customWidth="1"/>
    <col min="27" max="28" width="9.1015625" style="98"/>
    <col min="29" max="29" width="8.89453125" style="98"/>
    <col min="30" max="32" width="9.1015625" style="98"/>
    <col min="33" max="33" width="10.1015625" style="98" customWidth="1"/>
    <col min="34" max="34" width="12" style="98" bestFit="1" customWidth="1"/>
    <col min="35" max="41" width="9.1015625" style="98"/>
    <col min="42" max="42" width="8.89453125" style="98"/>
    <col min="43" max="44" width="9.1015625" style="98"/>
    <col min="45" max="45" width="8.89453125" style="98" customWidth="1"/>
    <col min="46" max="47" width="9.1015625" style="98"/>
    <col min="48" max="48" width="11.89453125" style="98" bestFit="1" customWidth="1"/>
    <col min="49" max="16384" width="9.1015625" style="98"/>
  </cols>
  <sheetData>
    <row r="1" spans="1:51" ht="27.6" x14ac:dyDescent="0.95">
      <c r="A1" s="244" t="s">
        <v>15</v>
      </c>
      <c r="B1" s="244"/>
      <c r="C1" s="244"/>
      <c r="D1" s="244"/>
      <c r="E1" s="244"/>
      <c r="F1" s="244"/>
      <c r="G1" s="244"/>
      <c r="H1" s="244"/>
      <c r="I1" s="244"/>
      <c r="J1" s="244"/>
      <c r="K1" s="244"/>
      <c r="L1" s="244"/>
      <c r="M1" s="244"/>
      <c r="N1" s="244" t="s">
        <v>229</v>
      </c>
      <c r="O1" s="244"/>
      <c r="P1" s="244"/>
      <c r="Q1" s="244"/>
      <c r="R1" s="244"/>
      <c r="S1" s="244"/>
      <c r="T1" s="244"/>
      <c r="U1" s="244"/>
      <c r="V1" s="244"/>
      <c r="W1" s="244"/>
      <c r="X1" s="244"/>
    </row>
    <row r="2" spans="1:51" x14ac:dyDescent="0.55000000000000004">
      <c r="A2" s="158"/>
      <c r="B2" s="158" t="s">
        <v>16</v>
      </c>
      <c r="C2" s="159"/>
      <c r="D2" s="160"/>
      <c r="E2" s="158"/>
      <c r="F2" s="158"/>
      <c r="G2" s="158"/>
      <c r="H2" s="158"/>
      <c r="I2" s="158"/>
      <c r="J2" s="158"/>
      <c r="K2" s="158"/>
      <c r="L2" s="158"/>
      <c r="M2" s="158"/>
      <c r="O2" s="98"/>
    </row>
    <row r="3" spans="1:51" ht="14.7" thickBot="1" x14ac:dyDescent="0.6">
      <c r="A3" s="158"/>
      <c r="B3" s="158" t="s">
        <v>17</v>
      </c>
      <c r="C3" s="161"/>
      <c r="D3" s="160"/>
      <c r="E3" s="158"/>
      <c r="F3" s="162"/>
      <c r="G3" s="163"/>
      <c r="H3" s="163"/>
      <c r="I3" s="163"/>
      <c r="J3" s="163"/>
      <c r="K3" s="164"/>
      <c r="L3" s="158"/>
      <c r="M3" s="158"/>
      <c r="O3" s="98"/>
    </row>
    <row r="4" spans="1:51" ht="14.7" thickBot="1" x14ac:dyDescent="0.6">
      <c r="A4" s="158"/>
      <c r="B4" s="158" t="s">
        <v>18</v>
      </c>
      <c r="C4" s="165"/>
      <c r="D4" s="160"/>
      <c r="E4" s="158"/>
      <c r="F4" s="162"/>
      <c r="G4" s="163"/>
      <c r="H4" s="163"/>
      <c r="I4" s="163"/>
      <c r="J4" s="163"/>
      <c r="K4" s="164"/>
      <c r="L4" s="158"/>
      <c r="M4" s="158"/>
      <c r="N4" s="166"/>
      <c r="O4" s="167"/>
      <c r="P4" s="241" t="s">
        <v>260</v>
      </c>
      <c r="Q4" s="241"/>
      <c r="R4" s="241"/>
      <c r="S4" s="241"/>
      <c r="T4" s="241"/>
      <c r="U4" s="241"/>
      <c r="V4" s="241"/>
      <c r="W4" s="241"/>
      <c r="X4" s="241"/>
      <c r="Y4" s="241"/>
      <c r="Z4" s="241"/>
      <c r="AA4" s="241"/>
      <c r="AB4" s="241"/>
      <c r="AC4" s="241"/>
      <c r="AD4" s="241"/>
      <c r="AE4" s="242"/>
      <c r="AF4" s="240" t="s">
        <v>261</v>
      </c>
      <c r="AG4" s="241"/>
      <c r="AH4" s="241"/>
      <c r="AI4" s="241"/>
      <c r="AJ4" s="241"/>
      <c r="AK4" s="241"/>
      <c r="AL4" s="241"/>
      <c r="AM4" s="241"/>
      <c r="AN4" s="241"/>
      <c r="AO4" s="241"/>
      <c r="AP4" s="241"/>
      <c r="AQ4" s="241"/>
      <c r="AR4" s="242"/>
      <c r="AS4" s="240" t="s">
        <v>272</v>
      </c>
      <c r="AT4" s="241"/>
      <c r="AU4" s="242"/>
    </row>
    <row r="5" spans="1:51" x14ac:dyDescent="0.55000000000000004">
      <c r="A5" s="158"/>
      <c r="D5" s="160"/>
      <c r="E5" s="158"/>
      <c r="F5" s="158"/>
      <c r="G5" s="158"/>
      <c r="H5" s="158"/>
      <c r="I5" s="158"/>
      <c r="J5" s="158"/>
      <c r="K5" s="158"/>
      <c r="L5" s="158"/>
      <c r="M5" s="158"/>
      <c r="N5" s="168"/>
      <c r="O5" s="169"/>
      <c r="Q5" s="243" t="s">
        <v>252</v>
      </c>
      <c r="R5" s="243"/>
      <c r="S5" s="243"/>
      <c r="T5" s="238" t="s">
        <v>254</v>
      </c>
      <c r="U5" s="238"/>
      <c r="V5" s="238"/>
      <c r="W5" s="238" t="s">
        <v>253</v>
      </c>
      <c r="X5" s="238"/>
      <c r="Y5" s="238"/>
      <c r="Z5" s="238" t="s">
        <v>257</v>
      </c>
      <c r="AA5" s="238"/>
      <c r="AB5" s="238"/>
      <c r="AC5" s="237" t="s">
        <v>259</v>
      </c>
      <c r="AD5" s="238"/>
      <c r="AE5" s="239"/>
      <c r="AG5" s="238" t="s">
        <v>268</v>
      </c>
      <c r="AH5" s="238"/>
      <c r="AI5" s="238"/>
      <c r="AJ5" s="238" t="s">
        <v>269</v>
      </c>
      <c r="AK5" s="238"/>
      <c r="AL5" s="238"/>
      <c r="AM5" s="238" t="s">
        <v>263</v>
      </c>
      <c r="AN5" s="238"/>
      <c r="AO5" s="238"/>
      <c r="AP5" s="237" t="s">
        <v>259</v>
      </c>
      <c r="AQ5" s="238"/>
      <c r="AR5" s="239"/>
      <c r="AS5" s="237" t="s">
        <v>259</v>
      </c>
      <c r="AT5" s="238"/>
      <c r="AU5" s="239"/>
      <c r="AV5" s="223"/>
    </row>
    <row r="6" spans="1:51" ht="14.7" thickBot="1" x14ac:dyDescent="0.6">
      <c r="A6" s="170" t="s">
        <v>19</v>
      </c>
      <c r="B6" s="170" t="s">
        <v>20</v>
      </c>
      <c r="C6" s="170" t="s">
        <v>21</v>
      </c>
      <c r="D6" s="160"/>
      <c r="E6" s="245" t="s">
        <v>22</v>
      </c>
      <c r="F6" s="245"/>
      <c r="G6" s="245"/>
      <c r="H6" s="245"/>
      <c r="I6" s="245"/>
      <c r="J6" s="245"/>
      <c r="K6" s="245"/>
      <c r="L6" s="158"/>
      <c r="M6" s="170"/>
      <c r="N6" s="168"/>
      <c r="O6" s="169"/>
      <c r="P6" s="160" t="s">
        <v>235</v>
      </c>
      <c r="Q6" s="98" t="s">
        <v>258</v>
      </c>
      <c r="R6" s="160" t="s">
        <v>255</v>
      </c>
      <c r="S6" s="160" t="s">
        <v>256</v>
      </c>
      <c r="T6" s="160" t="s">
        <v>258</v>
      </c>
      <c r="U6" s="160" t="s">
        <v>255</v>
      </c>
      <c r="V6" s="160" t="s">
        <v>256</v>
      </c>
      <c r="W6" s="160" t="s">
        <v>258</v>
      </c>
      <c r="X6" s="160" t="s">
        <v>255</v>
      </c>
      <c r="Y6" s="160" t="s">
        <v>256</v>
      </c>
      <c r="Z6" s="160" t="s">
        <v>258</v>
      </c>
      <c r="AA6" s="160" t="s">
        <v>255</v>
      </c>
      <c r="AB6" s="160" t="s">
        <v>256</v>
      </c>
      <c r="AC6" s="171" t="s">
        <v>273</v>
      </c>
      <c r="AD6" s="160" t="s">
        <v>255</v>
      </c>
      <c r="AE6" s="172" t="s">
        <v>256</v>
      </c>
      <c r="AF6" s="160" t="s">
        <v>270</v>
      </c>
      <c r="AG6" s="160" t="s">
        <v>258</v>
      </c>
      <c r="AH6" s="160" t="s">
        <v>271</v>
      </c>
      <c r="AI6" s="160" t="s">
        <v>256</v>
      </c>
      <c r="AJ6" s="160" t="s">
        <v>258</v>
      </c>
      <c r="AK6" s="160" t="s">
        <v>271</v>
      </c>
      <c r="AL6" s="160" t="s">
        <v>256</v>
      </c>
      <c r="AM6" s="160" t="s">
        <v>258</v>
      </c>
      <c r="AN6" s="160" t="s">
        <v>271</v>
      </c>
      <c r="AO6" s="160" t="s">
        <v>256</v>
      </c>
      <c r="AP6" s="171" t="s">
        <v>273</v>
      </c>
      <c r="AQ6" s="160" t="s">
        <v>255</v>
      </c>
      <c r="AR6" s="172" t="s">
        <v>256</v>
      </c>
      <c r="AS6" s="171" t="s">
        <v>273</v>
      </c>
      <c r="AT6" s="160" t="s">
        <v>255</v>
      </c>
      <c r="AU6" s="172" t="s">
        <v>256</v>
      </c>
      <c r="AV6" s="224"/>
    </row>
    <row r="7" spans="1:51" ht="14.7" thickBot="1" x14ac:dyDescent="0.6">
      <c r="A7" s="170"/>
      <c r="B7" s="170"/>
      <c r="C7" s="170"/>
      <c r="D7" s="160"/>
      <c r="E7" s="158"/>
      <c r="F7" s="158"/>
      <c r="G7" s="158"/>
      <c r="H7" s="158"/>
      <c r="I7" s="158"/>
      <c r="J7" s="158"/>
      <c r="K7" s="158"/>
      <c r="L7" s="158"/>
      <c r="M7" s="170"/>
      <c r="N7" s="98" t="s">
        <v>469</v>
      </c>
      <c r="O7" s="167">
        <f>fcross</f>
        <v>550</v>
      </c>
      <c r="P7" s="173" t="str">
        <f>COMPLEX(ADC_VINmin,0)</f>
        <v>1062.68601190476</v>
      </c>
      <c r="Q7" s="174" t="str">
        <f>IMSUM(COMPLEX(1,0),IMDIV(COMPLEX(0,2*PI()*O7),COMPLEX(wp_lf_VINmin,0)))</f>
        <v>1+107.992247467149i</v>
      </c>
      <c r="R7" s="174">
        <f t="shared" ref="R7:R13" si="0">IMABS(Q7)</f>
        <v>107.99687732988372</v>
      </c>
      <c r="S7" s="174">
        <f t="shared" ref="S7:S13" si="1">IMARGUMENT(Q7)</f>
        <v>1.5615366674873092</v>
      </c>
      <c r="T7" s="174" t="str">
        <f>IMSUM(COMPLEX(1,0),IMDIV(COMPLEX(0,2*PI()*O7),COMPLEX(wz_esr_VINmin,0)))</f>
        <v>1+0.0000691150383789754i</v>
      </c>
      <c r="U7" s="174">
        <f t="shared" ref="U7:U13" si="2">IMABS(T7)</f>
        <v>1.0000000023884441</v>
      </c>
      <c r="V7" s="174">
        <f t="shared" ref="V7:V13" si="3">IMARGUMENT(T7)</f>
        <v>6.9115038268923788E-5</v>
      </c>
      <c r="W7" s="175" t="str">
        <f>IMSUB(COMPLEX(1,0),IMDIV(COMPLEX(0,2*PI()*O7),COMPLEX(wz_RHP_VINmin,0)))</f>
        <v>1-0.0515207919371385i</v>
      </c>
      <c r="X7" s="174">
        <f t="shared" ref="X7:X13" si="4">IMABS(W7)</f>
        <v>1.0013263164432611</v>
      </c>
      <c r="Y7" s="174">
        <f t="shared" ref="Y7:Y13" si="5">IMARGUMENT(W7)</f>
        <v>-5.1475278941429566E-2</v>
      </c>
      <c r="Z7" s="175" t="str">
        <f t="shared" ref="Z7:Z13" si="6">IF(Dc_Mode_Loop="CCM",IMSUM(COMPLEX(1,0),IMDIV(COMPLEX(0,2*PI()*O7),COMPLEX(Q*(wsl/2),0)),IMDIV(IMPOWER(COMPLEX(0,2*PI()*O7),2),IMPOWER(COMPLEX(wsl/2,0),2))),COMPLEX(1,0))</f>
        <v>0.999452240832956+0.00397056617125931i</v>
      </c>
      <c r="AA7" s="174">
        <f t="shared" ref="AA7:AA13" si="7">IMABS(Z7)</f>
        <v>0.99946012781988325</v>
      </c>
      <c r="AB7" s="174">
        <f t="shared" ref="AB7:AB13" si="8">IMARGUMENT(Z7)</f>
        <v>3.9727213772829438E-3</v>
      </c>
      <c r="AC7" s="176" t="str">
        <f t="shared" ref="AC7:AC13" si="9">(IMDIV(IMPRODUCT(P7,T7,W7),IMPRODUCT(Q7,Z7)))</f>
        <v>-0.454497989690335-9.84786058108948i</v>
      </c>
      <c r="AD7" s="177">
        <f t="shared" ref="AD7:AD13" si="10">20*LOG(IMABS(AC7))</f>
        <v>19.87607847707087</v>
      </c>
      <c r="AE7" s="167">
        <f t="shared" ref="AE7:AE13" si="11">(180/PI())*IMARGUMENT(AC7)</f>
        <v>-92.642437002654773</v>
      </c>
      <c r="AF7" s="175" t="str">
        <f t="shared" ref="AF7:AF13" si="12">COMPLEX(Adc_ea,0)</f>
        <v>-9.95024875621891E-06</v>
      </c>
      <c r="AG7" s="175" t="str">
        <f t="shared" ref="AG7:AG13" si="13">COMPLEX(0,2*PI()*O7*wp0_ea)</f>
        <v>0.00345920767086772i</v>
      </c>
      <c r="AH7" s="175">
        <f t="shared" ref="AH7:AH13" si="14">IMABS(AG7)</f>
        <v>3.4592076708677201E-3</v>
      </c>
      <c r="AI7" s="175">
        <f t="shared" ref="AI7:AI13" si="15">IMARGUMENT(AG7)</f>
        <v>1.5707963267948966</v>
      </c>
      <c r="AJ7" s="175" t="str">
        <f t="shared" ref="AJ7:AJ13" si="16">IMSUM(COMPLEX(1,0),IMDIV(COMPLEX(0,2*PI()*O7),COMPLEX(wp1_ea,0)))</f>
        <v>1+0.0345229961932944i</v>
      </c>
      <c r="AK7" s="175">
        <f t="shared" ref="AK7:AK13" si="17">IMABS(AJ7)</f>
        <v>1.0005957411793047</v>
      </c>
      <c r="AL7" s="175">
        <f t="shared" ref="AL7:AL13" si="18">IMARGUMENT(AJ7)</f>
        <v>3.450929072830302E-2</v>
      </c>
      <c r="AM7" s="175" t="str">
        <f t="shared" ref="AM7:AM13" si="19">IMSUM(COMPLEX(1,0),IMDIV(COMPLEX(0,2*PI()*O7),COMPLEX(wz_ea,0)))</f>
        <v>1+34.5575191894877i</v>
      </c>
      <c r="AN7" s="175">
        <f t="shared" ref="AN7:AN13" si="20">IMABS(AM7)</f>
        <v>34.571984793063457</v>
      </c>
      <c r="AO7" s="175">
        <f t="shared" ref="AO7:AO13" si="21">IMARGUMENT(AM7)</f>
        <v>1.5418671373773198</v>
      </c>
      <c r="AP7" s="166" t="str">
        <f t="shared" ref="AP7:AP13" si="22">IMPRODUCT(AF7,IMDIV(AM7,IMPRODUCT(AG7,AJ7)))</f>
        <v>-0.0991855676412341+0.00630063611105516i</v>
      </c>
      <c r="AQ7" s="175">
        <f t="shared" ref="AQ7:AQ13" si="23">20*LOG(IMABS(AP7))</f>
        <v>-20.053540677207735</v>
      </c>
      <c r="AR7" s="167">
        <f t="shared" ref="AR7:AR13" si="24">(180/PI())*IMARGUMENT(AP7)</f>
        <v>176.36524282891662</v>
      </c>
      <c r="AS7" s="166" t="str">
        <f t="shared" ref="AS7:AS13" si="25">IMPRODUCT(AC7,AP7)</f>
        <v>0.107127427093085+0.973902015340849i</v>
      </c>
      <c r="AT7" s="177">
        <f t="shared" ref="AT7:AT13" si="26">20*LOG(IMABS(AS7))</f>
        <v>-0.17746220013686062</v>
      </c>
      <c r="AU7" s="167">
        <f t="shared" ref="AU7:AU13" si="27">(180/PI())*IMARGUMENT(AS7)</f>
        <v>83.722805826261833</v>
      </c>
      <c r="AV7" s="225"/>
    </row>
    <row r="8" spans="1:51" ht="14.7" thickBot="1" x14ac:dyDescent="0.6">
      <c r="A8" s="170"/>
      <c r="B8" s="170"/>
      <c r="C8" s="170"/>
      <c r="D8" s="160"/>
      <c r="E8" s="158"/>
      <c r="F8" s="158"/>
      <c r="G8" s="158"/>
      <c r="H8" s="158"/>
      <c r="I8" s="158"/>
      <c r="J8" s="158"/>
      <c r="K8" s="158"/>
      <c r="L8" s="158"/>
      <c r="M8" s="170"/>
      <c r="N8" s="166" t="s">
        <v>302</v>
      </c>
      <c r="O8" s="167">
        <f>fcross</f>
        <v>550</v>
      </c>
      <c r="P8" s="173" t="str">
        <f t="shared" ref="P8:P13" si="28">COMPLEX(Adc,0)</f>
        <v>1078.86904761905</v>
      </c>
      <c r="Q8" s="174" t="str">
        <f t="shared" ref="Q8:Q13" si="29">IMSUM(COMPLEX(1,0),IMDIV(COMPLEX(0,2*PI()*O8),COMPLEX(wp_lf,0)))</f>
        <v>1+107.992247467149i</v>
      </c>
      <c r="R8" s="174">
        <f t="shared" si="0"/>
        <v>107.99687732988372</v>
      </c>
      <c r="S8" s="174">
        <f t="shared" si="1"/>
        <v>1.5615366674873092</v>
      </c>
      <c r="T8" s="174" t="str">
        <f t="shared" ref="T8:T13" si="30">IMSUM(COMPLEX(1,0),IMDIV(COMPLEX(0,2*PI()*O8),COMPLEX(wz_esr,0)))</f>
        <v>1+0.0000691150383789754i</v>
      </c>
      <c r="U8" s="174">
        <f t="shared" si="2"/>
        <v>1.0000000023884441</v>
      </c>
      <c r="V8" s="174">
        <f t="shared" si="3"/>
        <v>6.9115038268923788E-5</v>
      </c>
      <c r="W8" s="175" t="str">
        <f t="shared" ref="W8:W13" si="31">IMSUB(COMPLEX(1,0),IMDIV(COMPLEX(0,2*PI()*O8),COMPLEX(wz_rhp,0)))</f>
        <v>1-0.0499867603572102i</v>
      </c>
      <c r="X8" s="174">
        <f t="shared" si="4"/>
        <v>1.0012485586561457</v>
      </c>
      <c r="Y8" s="174">
        <f t="shared" si="5"/>
        <v>-4.9945189086998534E-2</v>
      </c>
      <c r="Z8" s="175" t="str">
        <f t="shared" si="6"/>
        <v>0.999452240832956+0.00397056617125931i</v>
      </c>
      <c r="AA8" s="174">
        <f t="shared" si="7"/>
        <v>0.99946012781988325</v>
      </c>
      <c r="AB8" s="174">
        <f t="shared" si="8"/>
        <v>3.9727213772829438E-3</v>
      </c>
      <c r="AC8" s="176" t="str">
        <f t="shared" si="9"/>
        <v>-0.446086526073369-9.99774587728462i</v>
      </c>
      <c r="AD8" s="177">
        <f t="shared" si="10"/>
        <v>20.006679339972493</v>
      </c>
      <c r="AE8" s="167">
        <f t="shared" si="11"/>
        <v>-92.554769311720108</v>
      </c>
      <c r="AF8" s="175" t="str">
        <f t="shared" si="12"/>
        <v>-9.95024875621891E-06</v>
      </c>
      <c r="AG8" s="175" t="str">
        <f t="shared" si="13"/>
        <v>0.00345920767086772i</v>
      </c>
      <c r="AH8" s="175">
        <f t="shared" si="14"/>
        <v>3.4592076708677201E-3</v>
      </c>
      <c r="AI8" s="175">
        <f t="shared" si="15"/>
        <v>1.5707963267948966</v>
      </c>
      <c r="AJ8" s="175" t="str">
        <f t="shared" si="16"/>
        <v>1+0.0345229961932944i</v>
      </c>
      <c r="AK8" s="175">
        <f t="shared" si="17"/>
        <v>1.0005957411793047</v>
      </c>
      <c r="AL8" s="175">
        <f t="shared" si="18"/>
        <v>3.450929072830302E-2</v>
      </c>
      <c r="AM8" s="175" t="str">
        <f t="shared" si="19"/>
        <v>1+34.5575191894877i</v>
      </c>
      <c r="AN8" s="175">
        <f t="shared" si="20"/>
        <v>34.571984793063457</v>
      </c>
      <c r="AO8" s="175">
        <f t="shared" si="21"/>
        <v>1.5418671373773198</v>
      </c>
      <c r="AP8" s="166" t="str">
        <f t="shared" si="22"/>
        <v>-0.0991855676412341+0.00630063611105516i</v>
      </c>
      <c r="AQ8" s="175">
        <f t="shared" si="23"/>
        <v>-20.053540677207735</v>
      </c>
      <c r="AR8" s="167">
        <f t="shared" si="24"/>
        <v>176.36524282891662</v>
      </c>
      <c r="AS8" s="166" t="str">
        <f t="shared" si="25"/>
        <v>0.107237504009266+0.98882147109645i</v>
      </c>
      <c r="AT8" s="177">
        <f t="shared" si="26"/>
        <v>-4.6861337235242856E-2</v>
      </c>
      <c r="AU8" s="167">
        <f t="shared" si="27"/>
        <v>83.810473517196485</v>
      </c>
      <c r="AV8" s="225"/>
    </row>
    <row r="9" spans="1:51" x14ac:dyDescent="0.55000000000000004">
      <c r="A9" s="178" t="s">
        <v>205</v>
      </c>
      <c r="B9" s="170"/>
      <c r="C9" s="170"/>
      <c r="D9" s="160"/>
      <c r="E9" s="158"/>
      <c r="F9" s="158"/>
      <c r="G9" s="158"/>
      <c r="H9" s="158"/>
      <c r="I9" s="158"/>
      <c r="J9" s="158"/>
      <c r="K9" s="158"/>
      <c r="L9" s="158"/>
      <c r="M9" s="170"/>
      <c r="N9" s="179" t="s">
        <v>303</v>
      </c>
      <c r="O9" s="180">
        <f>wz_rhp/(2*PI())</f>
        <v>11002.913492885855</v>
      </c>
      <c r="P9" s="181" t="str">
        <f t="shared" si="28"/>
        <v>1078.86904761905</v>
      </c>
      <c r="Q9" s="182" t="str">
        <f t="shared" si="29"/>
        <v>1+2160.41701233339i</v>
      </c>
      <c r="R9" s="182">
        <f t="shared" si="0"/>
        <v>2160.4172437701777</v>
      </c>
      <c r="S9" s="182">
        <f t="shared" si="1"/>
        <v>1.5703334532279538</v>
      </c>
      <c r="T9" s="182" t="str">
        <f t="shared" si="30"/>
        <v>1+0.00138266688789337i</v>
      </c>
      <c r="U9" s="182">
        <f t="shared" si="2"/>
        <v>1.0000009558834047</v>
      </c>
      <c r="V9" s="182">
        <f t="shared" si="3"/>
        <v>1.382666006781738E-3</v>
      </c>
      <c r="W9" s="183" t="str">
        <f t="shared" si="31"/>
        <v>1-i</v>
      </c>
      <c r="X9" s="182">
        <f t="shared" si="4"/>
        <v>1.4142135623730951</v>
      </c>
      <c r="Y9" s="182">
        <f t="shared" si="5"/>
        <v>-0.78539816339744828</v>
      </c>
      <c r="Z9" s="183" t="str">
        <f t="shared" si="6"/>
        <v>0.780780252907325+0.0794323565457185i</v>
      </c>
      <c r="AA9" s="182">
        <f t="shared" si="7"/>
        <v>0.78481036091302492</v>
      </c>
      <c r="AB9" s="182">
        <f t="shared" si="8"/>
        <v>0.10138576874742888</v>
      </c>
      <c r="AC9" s="184" t="str">
        <f t="shared" si="9"/>
        <v>-0.69639099259442-0.569923765283751i</v>
      </c>
      <c r="AD9" s="185">
        <f t="shared" si="10"/>
        <v>-0.9163643284313987</v>
      </c>
      <c r="AE9" s="186">
        <f t="shared" si="11"/>
        <v>-140.70323502341805</v>
      </c>
      <c r="AF9" s="183" t="str">
        <f t="shared" si="12"/>
        <v>-9.95024875621891E-06</v>
      </c>
      <c r="AG9" s="183" t="str">
        <f t="shared" si="13"/>
        <v>0.0692024777390631i</v>
      </c>
      <c r="AH9" s="183">
        <f t="shared" si="14"/>
        <v>6.9202477739063101E-2</v>
      </c>
      <c r="AI9" s="183">
        <f t="shared" si="15"/>
        <v>1.5707963267948966</v>
      </c>
      <c r="AJ9" s="183" t="str">
        <f t="shared" si="16"/>
        <v>1+0.690642801145538i</v>
      </c>
      <c r="AK9" s="183">
        <f t="shared" si="17"/>
        <v>1.2153137367668299</v>
      </c>
      <c r="AL9" s="183">
        <f t="shared" si="18"/>
        <v>0.60441832004323603</v>
      </c>
      <c r="AM9" s="183" t="str">
        <f t="shared" si="19"/>
        <v>1+691.333443946684i</v>
      </c>
      <c r="AN9" s="183">
        <f t="shared" si="20"/>
        <v>691.33416718630576</v>
      </c>
      <c r="AO9" s="183">
        <f t="shared" si="21"/>
        <v>1.5693498478037209</v>
      </c>
      <c r="AP9" s="179" t="str">
        <f t="shared" si="22"/>
        <v>-0.0672340030799942+0.0465784647930302i</v>
      </c>
      <c r="AQ9" s="183">
        <f t="shared" si="23"/>
        <v>-21.745761833734729</v>
      </c>
      <c r="AR9" s="186">
        <f t="shared" si="24"/>
        <v>145.28650405978644</v>
      </c>
      <c r="AS9" s="179" t="str">
        <f t="shared" si="25"/>
        <v>0.0733673281769539+0.00588143285970706i</v>
      </c>
      <c r="AT9" s="185">
        <f t="shared" si="26"/>
        <v>-22.662126162166125</v>
      </c>
      <c r="AU9" s="186">
        <f t="shared" si="27"/>
        <v>4.5832690363683923</v>
      </c>
      <c r="AV9" s="225"/>
    </row>
    <row r="10" spans="1:51" x14ac:dyDescent="0.55000000000000004">
      <c r="A10" s="98" t="s">
        <v>25</v>
      </c>
      <c r="B10" s="187">
        <f>VIN_min</f>
        <v>19.7</v>
      </c>
      <c r="C10" s="98" t="s">
        <v>10</v>
      </c>
      <c r="E10" s="98" t="s">
        <v>28</v>
      </c>
      <c r="N10" s="168" t="s">
        <v>254</v>
      </c>
      <c r="O10" s="188">
        <f>wz_esr/(2*PI())</f>
        <v>7957747.1545947678</v>
      </c>
      <c r="P10" s="189" t="str">
        <f t="shared" si="28"/>
        <v>1078.86904761905</v>
      </c>
      <c r="Q10" s="160" t="str">
        <f t="shared" si="29"/>
        <v>1+1562500i</v>
      </c>
      <c r="R10" s="160">
        <f t="shared" si="0"/>
        <v>1562500.0000003199</v>
      </c>
      <c r="S10" s="160">
        <f t="shared" si="1"/>
        <v>1.5707956867948967</v>
      </c>
      <c r="T10" s="160" t="str">
        <f t="shared" si="30"/>
        <v>1+i</v>
      </c>
      <c r="U10" s="160">
        <f t="shared" si="2"/>
        <v>1.4142135623730951</v>
      </c>
      <c r="V10" s="160">
        <f t="shared" si="3"/>
        <v>0.78539816339744828</v>
      </c>
      <c r="W10" s="98" t="str">
        <f t="shared" si="31"/>
        <v>1-723.24i</v>
      </c>
      <c r="X10" s="160">
        <f t="shared" si="4"/>
        <v>723.24069133311355</v>
      </c>
      <c r="Y10" s="160">
        <f t="shared" si="5"/>
        <v>-1.5694136607881148</v>
      </c>
      <c r="Z10" s="98" t="str">
        <f t="shared" si="6"/>
        <v>-114667.609826096+57.4486575481396i</v>
      </c>
      <c r="AA10" s="160">
        <f t="shared" si="7"/>
        <v>114667.62421703018</v>
      </c>
      <c r="AB10" s="160">
        <f t="shared" si="8"/>
        <v>3.1410916520181313</v>
      </c>
      <c r="AC10" s="171" t="str">
        <f t="shared" si="9"/>
        <v>4.34681199979132E-06+4.36322440682555E-06i</v>
      </c>
      <c r="AD10" s="190">
        <f t="shared" si="10"/>
        <v>-104.20988513058923</v>
      </c>
      <c r="AE10" s="169">
        <f t="shared" si="11"/>
        <v>45.107962871549375</v>
      </c>
      <c r="AF10" s="98" t="str">
        <f t="shared" si="12"/>
        <v>-9.95024875621891E-06</v>
      </c>
      <c r="AG10" s="98" t="str">
        <f t="shared" si="13"/>
        <v>50.05i</v>
      </c>
      <c r="AH10" s="98">
        <f t="shared" si="14"/>
        <v>50.05</v>
      </c>
      <c r="AI10" s="98">
        <f t="shared" si="15"/>
        <v>1.5707963267948966</v>
      </c>
      <c r="AJ10" s="98" t="str">
        <f t="shared" si="16"/>
        <v>1+499.500499500499i</v>
      </c>
      <c r="AK10" s="98">
        <f t="shared" si="17"/>
        <v>499.50150049949599</v>
      </c>
      <c r="AL10" s="98">
        <f t="shared" si="18"/>
        <v>1.5687943294695648</v>
      </c>
      <c r="AM10" s="98" t="str">
        <f t="shared" si="19"/>
        <v>1+500000i</v>
      </c>
      <c r="AN10" s="98">
        <f t="shared" si="20"/>
        <v>500000.00000099995</v>
      </c>
      <c r="AO10" s="98">
        <f t="shared" si="21"/>
        <v>1.5707943267948967</v>
      </c>
      <c r="AP10" s="168" t="str">
        <f t="shared" si="22"/>
        <v>-3.98008355029678E-07+0.000199004178311652i</v>
      </c>
      <c r="AQ10" s="98">
        <f t="shared" si="23"/>
        <v>-74.022738728338453</v>
      </c>
      <c r="AR10" s="169">
        <f t="shared" si="24"/>
        <v>90.114591405778967</v>
      </c>
      <c r="AS10" s="168" t="str">
        <f t="shared" si="25"/>
        <v>-8.70029955363324E-10+8.63297150524914E-10i</v>
      </c>
      <c r="AT10" s="190">
        <f t="shared" si="26"/>
        <v>-178.2326238589277</v>
      </c>
      <c r="AU10" s="169">
        <f t="shared" si="27"/>
        <v>135.22255427732836</v>
      </c>
      <c r="AV10" s="225"/>
    </row>
    <row r="11" spans="1:51" ht="14.7" thickBot="1" x14ac:dyDescent="0.6">
      <c r="A11" s="98" t="s">
        <v>26</v>
      </c>
      <c r="B11" s="187">
        <f>VIN_nom</f>
        <v>20</v>
      </c>
      <c r="C11" s="98" t="s">
        <v>10</v>
      </c>
      <c r="E11" s="98" t="s">
        <v>29</v>
      </c>
      <c r="N11" s="191" t="s">
        <v>252</v>
      </c>
      <c r="O11" s="192">
        <f>wp_lf/(2*PI())</f>
        <v>5.0929581789406511</v>
      </c>
      <c r="P11" s="193" t="str">
        <f t="shared" si="28"/>
        <v>1078.86904761905</v>
      </c>
      <c r="Q11" s="194" t="str">
        <f t="shared" si="29"/>
        <v>1+i</v>
      </c>
      <c r="R11" s="194">
        <f t="shared" si="0"/>
        <v>1.4142135623730951</v>
      </c>
      <c r="S11" s="194">
        <f t="shared" si="1"/>
        <v>0.78539816339744828</v>
      </c>
      <c r="T11" s="194" t="str">
        <f t="shared" si="30"/>
        <v>1+0.00000064i</v>
      </c>
      <c r="U11" s="194">
        <f t="shared" si="2"/>
        <v>1.0000000000002047</v>
      </c>
      <c r="V11" s="194">
        <f t="shared" si="3"/>
        <v>6.3999999999991266E-7</v>
      </c>
      <c r="W11" s="195" t="str">
        <f t="shared" si="31"/>
        <v>1-0.0004628736i</v>
      </c>
      <c r="X11" s="194">
        <f t="shared" si="4"/>
        <v>1.000000107125979</v>
      </c>
      <c r="Y11" s="194">
        <f t="shared" si="5"/>
        <v>-4.6287356694281077E-4</v>
      </c>
      <c r="Z11" s="195" t="str">
        <f t="shared" si="6"/>
        <v>0.999999953031737+0.0000367671408308003i</v>
      </c>
      <c r="AA11" s="194">
        <f t="shared" si="7"/>
        <v>0.99999995370764838</v>
      </c>
      <c r="AB11" s="194">
        <f t="shared" si="8"/>
        <v>3.6767142541121568E-5</v>
      </c>
      <c r="AC11" s="196" t="str">
        <f t="shared" si="9"/>
        <v>539.165361168486-539.703717648941i</v>
      </c>
      <c r="AD11" s="197">
        <f t="shared" si="10"/>
        <v>57.649076046279966</v>
      </c>
      <c r="AE11" s="198">
        <f t="shared" si="11"/>
        <v>-45.02859063462752</v>
      </c>
      <c r="AF11" s="195" t="str">
        <f t="shared" si="12"/>
        <v>-9.95024875621891E-06</v>
      </c>
      <c r="AG11" s="195" t="str">
        <f t="shared" si="13"/>
        <v>0.000032032i</v>
      </c>
      <c r="AH11" s="195">
        <f t="shared" si="14"/>
        <v>3.2032000000000001E-5</v>
      </c>
      <c r="AI11" s="195">
        <f t="shared" si="15"/>
        <v>1.5707963267948966</v>
      </c>
      <c r="AJ11" s="195" t="str">
        <f t="shared" si="16"/>
        <v>1+0.00031968031968032i</v>
      </c>
      <c r="AK11" s="195">
        <f t="shared" si="17"/>
        <v>1.000000051097752</v>
      </c>
      <c r="AL11" s="195">
        <f t="shared" si="18"/>
        <v>3.196803087903566E-4</v>
      </c>
      <c r="AM11" s="195" t="str">
        <f t="shared" si="19"/>
        <v>1+0.32i</v>
      </c>
      <c r="AN11" s="195">
        <f t="shared" si="20"/>
        <v>1.049952379872535</v>
      </c>
      <c r="AO11" s="195">
        <f t="shared" si="21"/>
        <v>0.30970294454245623</v>
      </c>
      <c r="AP11" s="191" t="str">
        <f t="shared" si="22"/>
        <v>-0.0993037705486152+0.310666384453962i</v>
      </c>
      <c r="AQ11" s="195">
        <f t="shared" si="23"/>
        <v>-9.7316107493085742</v>
      </c>
      <c r="AR11" s="198">
        <f t="shared" si="24"/>
        <v>107.72635529256983</v>
      </c>
      <c r="AS11" s="191" t="str">
        <f t="shared" si="25"/>
        <v>114.126649325122+221.095167518673i</v>
      </c>
      <c r="AT11" s="197">
        <f t="shared" si="26"/>
        <v>47.917465296971393</v>
      </c>
      <c r="AU11" s="198">
        <f t="shared" si="27"/>
        <v>62.69776465794228</v>
      </c>
      <c r="AV11" s="225"/>
      <c r="AX11" s="213" t="s">
        <v>537</v>
      </c>
      <c r="AY11" s="213"/>
    </row>
    <row r="12" spans="1:51" x14ac:dyDescent="0.55000000000000004">
      <c r="A12" s="98" t="s">
        <v>27</v>
      </c>
      <c r="B12" s="187">
        <f>VIN_max</f>
        <v>20.3</v>
      </c>
      <c r="C12" s="98" t="s">
        <v>10</v>
      </c>
      <c r="E12" s="98" t="s">
        <v>30</v>
      </c>
      <c r="N12" s="179" t="s">
        <v>263</v>
      </c>
      <c r="O12" s="186">
        <f>wz_ea/(2*PI())</f>
        <v>15.915494309189532</v>
      </c>
      <c r="P12" s="181" t="str">
        <f t="shared" si="28"/>
        <v>1078.86904761905</v>
      </c>
      <c r="Q12" s="182" t="str">
        <f t="shared" si="29"/>
        <v>1+3.125i</v>
      </c>
      <c r="R12" s="182">
        <f t="shared" si="0"/>
        <v>3.281101187101672</v>
      </c>
      <c r="S12" s="182">
        <f t="shared" si="1"/>
        <v>1.2610933822524404</v>
      </c>
      <c r="T12" s="182" t="str">
        <f t="shared" si="30"/>
        <v>1+0.000002i</v>
      </c>
      <c r="U12" s="182">
        <f t="shared" si="2"/>
        <v>1.000000000002</v>
      </c>
      <c r="V12" s="182">
        <f t="shared" si="3"/>
        <v>1.9999999999973334E-6</v>
      </c>
      <c r="W12" s="183" t="str">
        <f t="shared" si="31"/>
        <v>1-0.00144648i</v>
      </c>
      <c r="X12" s="182">
        <f t="shared" si="4"/>
        <v>1.000001046151648</v>
      </c>
      <c r="Y12" s="182">
        <f t="shared" si="5"/>
        <v>-1.4464789911757816E-3</v>
      </c>
      <c r="Z12" s="183" t="str">
        <f t="shared" si="6"/>
        <v>0.999999541325561+0.000114897315096251i</v>
      </c>
      <c r="AA12" s="182">
        <f t="shared" si="7"/>
        <v>0.99999954792626045</v>
      </c>
      <c r="AB12" s="182">
        <f t="shared" si="8"/>
        <v>1.1489736729113449E-4</v>
      </c>
      <c r="AC12" s="184" t="str">
        <f t="shared" si="9"/>
        <v>99.7259297554625-313.3258952113i</v>
      </c>
      <c r="AD12" s="185">
        <f t="shared" si="10"/>
        <v>50.338995204539842</v>
      </c>
      <c r="AE12" s="186">
        <f t="shared" si="11"/>
        <v>-72.344674058955675</v>
      </c>
      <c r="AF12" s="183" t="str">
        <f t="shared" si="12"/>
        <v>-9.95024875621891E-06</v>
      </c>
      <c r="AG12" s="183" t="str">
        <f t="shared" si="13"/>
        <v>0.0001001i</v>
      </c>
      <c r="AH12" s="183">
        <f t="shared" si="14"/>
        <v>1.0009999999999999E-4</v>
      </c>
      <c r="AI12" s="183">
        <f t="shared" si="15"/>
        <v>1.5707963267948966</v>
      </c>
      <c r="AJ12" s="183" t="str">
        <f t="shared" si="16"/>
        <v>1+0.000999000999000999i</v>
      </c>
      <c r="AK12" s="183">
        <f t="shared" si="17"/>
        <v>1.0000004990013736</v>
      </c>
      <c r="AL12" s="183">
        <f t="shared" si="18"/>
        <v>9.9900066666586801E-4</v>
      </c>
      <c r="AM12" s="183" t="str">
        <f t="shared" si="19"/>
        <v>1+i</v>
      </c>
      <c r="AN12" s="183">
        <f t="shared" si="20"/>
        <v>1.4142135623730951</v>
      </c>
      <c r="AO12" s="183">
        <f t="shared" si="21"/>
        <v>0.78539816339744828</v>
      </c>
      <c r="AP12" s="179" t="str">
        <f t="shared" si="22"/>
        <v>-0.0993036815916426+0.0995022889548259i</v>
      </c>
      <c r="AQ12" s="183">
        <f t="shared" si="23"/>
        <v>-17.041707162346491</v>
      </c>
      <c r="AR12" s="186">
        <f t="shared" si="24"/>
        <v>134.94276147806929</v>
      </c>
      <c r="AS12" s="179" t="str">
        <f t="shared" si="25"/>
        <v>21.2734917874773+41.037373211296i</v>
      </c>
      <c r="AT12" s="185">
        <f t="shared" si="26"/>
        <v>33.297288042193344</v>
      </c>
      <c r="AU12" s="186">
        <f t="shared" si="27"/>
        <v>62.598087419113618</v>
      </c>
      <c r="AV12" s="225"/>
      <c r="AX12" t="s">
        <v>538</v>
      </c>
      <c r="AY12">
        <f>SUM(AX19:AX559)/1000</f>
        <v>0.537031796370253</v>
      </c>
    </row>
    <row r="13" spans="1:51" ht="14.7" thickBot="1" x14ac:dyDescent="0.6">
      <c r="A13" s="98" t="s">
        <v>68</v>
      </c>
      <c r="B13" s="187">
        <f>Fsw</f>
        <v>47000</v>
      </c>
      <c r="C13" s="98" t="s">
        <v>69</v>
      </c>
      <c r="E13" s="98" t="s">
        <v>70</v>
      </c>
      <c r="N13" s="191" t="s">
        <v>269</v>
      </c>
      <c r="O13" s="198">
        <f>wp1_ea/(2*PI())</f>
        <v>15931.409803498724</v>
      </c>
      <c r="P13" s="193" t="str">
        <f t="shared" si="28"/>
        <v>1078.86904761905</v>
      </c>
      <c r="Q13" s="194" t="str">
        <f t="shared" si="29"/>
        <v>1+3128.125i</v>
      </c>
      <c r="R13" s="194">
        <f t="shared" si="0"/>
        <v>3128.1251598401554</v>
      </c>
      <c r="S13" s="194">
        <f t="shared" si="1"/>
        <v>1.5704766464861062</v>
      </c>
      <c r="T13" s="194" t="str">
        <f t="shared" si="30"/>
        <v>1+0.002002i</v>
      </c>
      <c r="U13" s="194">
        <f t="shared" si="2"/>
        <v>1.000002003999992</v>
      </c>
      <c r="V13" s="194">
        <f t="shared" si="3"/>
        <v>2.0019973253317625E-3</v>
      </c>
      <c r="W13" s="195" t="str">
        <f t="shared" si="31"/>
        <v>1-1.44792648i</v>
      </c>
      <c r="X13" s="194">
        <f t="shared" si="4"/>
        <v>1.7596849409724429</v>
      </c>
      <c r="Y13" s="194">
        <f t="shared" si="5"/>
        <v>-0.96637800675165997</v>
      </c>
      <c r="Z13" s="195" t="str">
        <f t="shared" si="6"/>
        <v>0.540407753142569+0.115012212411347i</v>
      </c>
      <c r="AA13" s="194">
        <f t="shared" si="7"/>
        <v>0.55251094890540631</v>
      </c>
      <c r="AB13" s="194">
        <f t="shared" si="8"/>
        <v>0.2096962109258611</v>
      </c>
      <c r="AC13" s="196" t="str">
        <f t="shared" si="9"/>
        <v>-1.01299774188307-0.424763030990837i</v>
      </c>
      <c r="AD13" s="197">
        <f t="shared" si="10"/>
        <v>0.8155902248636635</v>
      </c>
      <c r="AE13" s="198">
        <f t="shared" si="11"/>
        <v>-157.25106673724707</v>
      </c>
      <c r="AF13" s="195" t="str">
        <f t="shared" si="12"/>
        <v>-9.95024875621891E-06</v>
      </c>
      <c r="AG13" s="195" t="str">
        <f t="shared" si="13"/>
        <v>0.1002001i</v>
      </c>
      <c r="AH13" s="195">
        <f t="shared" si="14"/>
        <v>0.1002001</v>
      </c>
      <c r="AI13" s="195">
        <f t="shared" si="15"/>
        <v>1.5707963267948966</v>
      </c>
      <c r="AJ13" s="195" t="str">
        <f t="shared" si="16"/>
        <v>1+i</v>
      </c>
      <c r="AK13" s="195">
        <f t="shared" si="17"/>
        <v>1.4142135623730951</v>
      </c>
      <c r="AL13" s="195">
        <f t="shared" si="18"/>
        <v>0.78539816339744828</v>
      </c>
      <c r="AM13" s="195" t="str">
        <f t="shared" si="19"/>
        <v>1+1001i</v>
      </c>
      <c r="AN13" s="195">
        <f t="shared" si="20"/>
        <v>1001.0004995003749</v>
      </c>
      <c r="AO13" s="195">
        <f t="shared" si="21"/>
        <v>1.5697973261282308</v>
      </c>
      <c r="AP13" s="191" t="str">
        <f t="shared" si="22"/>
        <v>-0.0496518903485072+0.0497511941292042i</v>
      </c>
      <c r="AQ13" s="195">
        <f t="shared" si="23"/>
        <v>-23.062298407086558</v>
      </c>
      <c r="AR13" s="198">
        <f t="shared" si="24"/>
        <v>134.94276147806929</v>
      </c>
      <c r="AS13" s="191" t="str">
        <f t="shared" si="25"/>
        <v>0.0714297208169979-0.0293075598700135i</v>
      </c>
      <c r="AT13" s="197">
        <f t="shared" si="26"/>
        <v>-22.246708182222893</v>
      </c>
      <c r="AU13" s="198">
        <f t="shared" si="27"/>
        <v>-22.308305259177779</v>
      </c>
      <c r="AV13" s="225"/>
      <c r="AX13"/>
      <c r="AY13"/>
    </row>
    <row r="14" spans="1:51" x14ac:dyDescent="0.55000000000000004">
      <c r="A14" s="98" t="s">
        <v>563</v>
      </c>
      <c r="B14" s="98" t="s">
        <v>495</v>
      </c>
      <c r="E14" s="98" t="s">
        <v>564</v>
      </c>
      <c r="AX14" t="s">
        <v>539</v>
      </c>
      <c r="AY14" s="23">
        <f>SUM(AY19:AY559)</f>
        <v>83.902510826215092</v>
      </c>
    </row>
    <row r="15" spans="1:51" ht="14.7" thickBot="1" x14ac:dyDescent="0.6">
      <c r="O15" s="199" t="s">
        <v>231</v>
      </c>
      <c r="P15" s="98">
        <f>B17</f>
        <v>20</v>
      </c>
      <c r="Q15" s="98" t="s">
        <v>10</v>
      </c>
    </row>
    <row r="16" spans="1:51" ht="14.7" thickBot="1" x14ac:dyDescent="0.6">
      <c r="A16" s="200" t="s">
        <v>262</v>
      </c>
      <c r="O16" s="201"/>
      <c r="P16" s="241" t="s">
        <v>260</v>
      </c>
      <c r="Q16" s="241"/>
      <c r="R16" s="241"/>
      <c r="S16" s="241"/>
      <c r="T16" s="241"/>
      <c r="U16" s="241"/>
      <c r="V16" s="241"/>
      <c r="W16" s="241"/>
      <c r="X16" s="241"/>
      <c r="Y16" s="241"/>
      <c r="Z16" s="241"/>
      <c r="AA16" s="241"/>
      <c r="AB16" s="241"/>
      <c r="AC16" s="241"/>
      <c r="AD16" s="241"/>
      <c r="AE16" s="242"/>
      <c r="AF16" s="240" t="s">
        <v>261</v>
      </c>
      <c r="AG16" s="241"/>
      <c r="AH16" s="241"/>
      <c r="AI16" s="241"/>
      <c r="AJ16" s="241"/>
      <c r="AK16" s="241"/>
      <c r="AL16" s="241"/>
      <c r="AM16" s="241"/>
      <c r="AN16" s="241"/>
      <c r="AO16" s="241"/>
      <c r="AP16" s="241"/>
      <c r="AQ16" s="241"/>
      <c r="AR16" s="242"/>
      <c r="AS16" s="240" t="s">
        <v>272</v>
      </c>
      <c r="AT16" s="241"/>
      <c r="AU16" s="242"/>
    </row>
    <row r="17" spans="1:51" x14ac:dyDescent="0.55000000000000004">
      <c r="A17" s="98" t="s">
        <v>233</v>
      </c>
      <c r="B17" s="98">
        <f>VIN_var</f>
        <v>20</v>
      </c>
      <c r="C17" s="98" t="s">
        <v>10</v>
      </c>
      <c r="E17" s="98" t="s">
        <v>234</v>
      </c>
      <c r="O17" s="202"/>
      <c r="Q17" s="243" t="s">
        <v>252</v>
      </c>
      <c r="R17" s="243"/>
      <c r="S17" s="243"/>
      <c r="T17" s="238" t="s">
        <v>254</v>
      </c>
      <c r="U17" s="238"/>
      <c r="V17" s="238"/>
      <c r="W17" s="238" t="s">
        <v>253</v>
      </c>
      <c r="X17" s="238"/>
      <c r="Y17" s="238"/>
      <c r="Z17" s="238" t="s">
        <v>257</v>
      </c>
      <c r="AA17" s="238"/>
      <c r="AB17" s="238"/>
      <c r="AC17" s="237" t="s">
        <v>259</v>
      </c>
      <c r="AD17" s="238"/>
      <c r="AE17" s="239"/>
      <c r="AG17" s="238" t="s">
        <v>268</v>
      </c>
      <c r="AH17" s="238"/>
      <c r="AI17" s="238"/>
      <c r="AJ17" s="238" t="s">
        <v>269</v>
      </c>
      <c r="AK17" s="238"/>
      <c r="AL17" s="238"/>
      <c r="AM17" s="238" t="s">
        <v>263</v>
      </c>
      <c r="AN17" s="238"/>
      <c r="AO17" s="238"/>
      <c r="AP17" s="237" t="s">
        <v>259</v>
      </c>
      <c r="AQ17" s="238"/>
      <c r="AR17" s="239"/>
      <c r="AS17" s="237" t="s">
        <v>259</v>
      </c>
      <c r="AT17" s="238"/>
      <c r="AU17" s="239"/>
      <c r="AV17" s="223"/>
    </row>
    <row r="18" spans="1:51" ht="14.7" thickBot="1" x14ac:dyDescent="0.6">
      <c r="A18" s="98" t="s">
        <v>450</v>
      </c>
      <c r="C18" s="98" t="s">
        <v>11</v>
      </c>
      <c r="E18" s="98" t="s">
        <v>451</v>
      </c>
      <c r="N18" s="170"/>
      <c r="O18" s="203" t="s">
        <v>230</v>
      </c>
      <c r="P18" s="194" t="s">
        <v>235</v>
      </c>
      <c r="Q18" s="195" t="s">
        <v>258</v>
      </c>
      <c r="R18" s="194" t="s">
        <v>255</v>
      </c>
      <c r="S18" s="194" t="s">
        <v>256</v>
      </c>
      <c r="T18" s="194" t="s">
        <v>258</v>
      </c>
      <c r="U18" s="194" t="s">
        <v>255</v>
      </c>
      <c r="V18" s="194" t="s">
        <v>256</v>
      </c>
      <c r="W18" s="194" t="s">
        <v>258</v>
      </c>
      <c r="X18" s="194" t="s">
        <v>255</v>
      </c>
      <c r="Y18" s="194" t="s">
        <v>256</v>
      </c>
      <c r="Z18" s="194" t="s">
        <v>258</v>
      </c>
      <c r="AA18" s="194" t="s">
        <v>255</v>
      </c>
      <c r="AB18" s="194" t="s">
        <v>256</v>
      </c>
      <c r="AC18" s="196" t="s">
        <v>273</v>
      </c>
      <c r="AD18" s="194" t="s">
        <v>255</v>
      </c>
      <c r="AE18" s="204" t="s">
        <v>256</v>
      </c>
      <c r="AF18" s="194" t="s">
        <v>270</v>
      </c>
      <c r="AG18" s="194" t="s">
        <v>258</v>
      </c>
      <c r="AH18" s="194" t="s">
        <v>271</v>
      </c>
      <c r="AI18" s="194" t="s">
        <v>256</v>
      </c>
      <c r="AJ18" s="194" t="s">
        <v>258</v>
      </c>
      <c r="AK18" s="194" t="s">
        <v>271</v>
      </c>
      <c r="AL18" s="194" t="s">
        <v>256</v>
      </c>
      <c r="AM18" s="194" t="s">
        <v>258</v>
      </c>
      <c r="AN18" s="194" t="s">
        <v>271</v>
      </c>
      <c r="AO18" s="194" t="s">
        <v>256</v>
      </c>
      <c r="AP18" s="196" t="s">
        <v>273</v>
      </c>
      <c r="AQ18" s="194" t="s">
        <v>255</v>
      </c>
      <c r="AR18" s="204" t="s">
        <v>256</v>
      </c>
      <c r="AS18" s="196" t="s">
        <v>273</v>
      </c>
      <c r="AT18" s="194" t="s">
        <v>255</v>
      </c>
      <c r="AU18" s="204" t="s">
        <v>256</v>
      </c>
      <c r="AV18" s="225"/>
      <c r="AX18" s="98" t="s">
        <v>535</v>
      </c>
      <c r="AY18" s="98" t="s">
        <v>536</v>
      </c>
    </row>
    <row r="19" spans="1:51" x14ac:dyDescent="0.55000000000000004">
      <c r="N19" s="170">
        <v>1</v>
      </c>
      <c r="O19" s="199">
        <f>10^(1+(N19/100))</f>
        <v>10.232929922807543</v>
      </c>
      <c r="P19" s="189" t="str">
        <f t="shared" ref="P19:P82" si="32">COMPLEX(Adc,0)</f>
        <v>1078.86904761905</v>
      </c>
      <c r="Q19" s="160" t="str">
        <f t="shared" ref="Q19:Q82" si="33">IMSUM(COMPLEX(1,0),IMDIV(COMPLEX(0,2*PI()*O19),COMPLEX(wp_lf,0)))</f>
        <v>1+2.00923109188696i</v>
      </c>
      <c r="R19" s="160">
        <f>IMABS(Q19)</f>
        <v>2.2443283139071402</v>
      </c>
      <c r="S19" s="160">
        <f>IMARGUMENT(Q19)</f>
        <v>1.1089881421312364</v>
      </c>
      <c r="T19" s="160" t="str">
        <f t="shared" ref="T19:T82" si="34">IMSUM(COMPLEX(1,0),IMDIV(COMPLEX(0,2*PI()*O19),COMPLEX(wz_esr,0)))</f>
        <v>1+1.28590789880765E-06i</v>
      </c>
      <c r="U19" s="160">
        <f>IMABS(T19)</f>
        <v>1.0000000000008269</v>
      </c>
      <c r="V19" s="160">
        <f>IMARGUMENT(T19)</f>
        <v>1.2859078988069413E-6</v>
      </c>
      <c r="W19" s="98" t="str">
        <f t="shared" ref="W19:W82" si="35">IMSUB(COMPLEX(1,0),IMDIV(COMPLEX(0,2*PI()*O19),COMPLEX(wz_rhp,0)))</f>
        <v>1-0.000930020028733648i</v>
      </c>
      <c r="X19" s="160">
        <f>IMABS(W19)</f>
        <v>1.0000004324685334</v>
      </c>
      <c r="Y19" s="160">
        <f>IMARGUMENT(W19)</f>
        <v>-9.3001976059746395E-4</v>
      </c>
      <c r="Z19" s="98" t="str">
        <f t="shared" ref="Z19:Z82" si="36">IF(Dc_Mode_Loop="CCM",IMSUM(COMPLEX(1,0),IMDIV(COMPLEX(0,2*PI()*O19),COMPLEX(Q*(wsl/2),0)),IMDIV(IMPOWER(COMPLEX(0,2*PI()*O19),2),IMPOWER(COMPLEX(wsl/2,0),2))),COMPLEX(1,0))</f>
        <v>0.999999810388674+0.0000738736825170305i</v>
      </c>
      <c r="AA19" s="160">
        <f>IMABS(Z19)</f>
        <v>0.99999981311733499</v>
      </c>
      <c r="AB19" s="160">
        <f>IMARGUMENT(Z19)</f>
        <v>7.3873696389935845E-5</v>
      </c>
      <c r="AC19" s="171" t="str">
        <f>(IMDIV(IMPRODUCT(P19,T19,W19),IMPRODUCT(Q19,Z19)))</f>
        <v>213.756953554252-430.568799928582i</v>
      </c>
      <c r="AD19" s="190">
        <f>20*LOG(IMABS(AC19))</f>
        <v>53.637652280916335</v>
      </c>
      <c r="AE19" s="169">
        <f>(180/PI())*IMARGUMENT(AC19)</f>
        <v>-63.597785255244901</v>
      </c>
      <c r="AF19" s="98" t="str">
        <f t="shared" ref="AF19:AF82" si="37">COMPLEX(Adc_ea,0)</f>
        <v>-9.95024875621891E-06</v>
      </c>
      <c r="AG19" s="98" t="str">
        <f t="shared" ref="AG19:AG82" si="38">COMPLEX(0,2*PI()*O19*wp0_ea)</f>
        <v>0.0000643596903353231i</v>
      </c>
      <c r="AH19" s="98">
        <f>IMABS(AG19)</f>
        <v>6.4359690335323097E-5</v>
      </c>
      <c r="AI19" s="98">
        <f>IMARGUMENT(AG19)</f>
        <v>1.5707963267948966</v>
      </c>
      <c r="AJ19" s="98" t="str">
        <f t="shared" ref="AJ19:AJ82" si="39">IMSUM(COMPLEX(1,0),IMDIV(COMPLEX(0,2*PI()*O19),COMPLEX(wp1_ea,0)))</f>
        <v>1+0.000642311637766061i</v>
      </c>
      <c r="AK19" s="98">
        <f>IMABS(AJ19)</f>
        <v>1.0000002062820987</v>
      </c>
      <c r="AL19" s="98">
        <f>IMARGUMENT(AJ19)</f>
        <v>6.4231154943447861E-4</v>
      </c>
      <c r="AM19" s="98" t="str">
        <f t="shared" ref="AM19:AM82" si="40">IMSUM(COMPLEX(1,0),IMDIV(COMPLEX(0,2*PI()*O19),COMPLEX(wz_ea,0)))</f>
        <v>1+0.642953949403827i</v>
      </c>
      <c r="AN19" s="98">
        <f>IMABS(AM19)</f>
        <v>1.1888607071705157</v>
      </c>
      <c r="AO19" s="98">
        <f>IMARGUMENT(AM19)</f>
        <v>0.57140597531246529</v>
      </c>
      <c r="AP19" s="168" t="str">
        <f>IMPRODUCT(AF19,IMDIV(AM19,IMPRODUCT(AG19,AJ19)))</f>
        <v>-0.0993037397278424+0.15466752278449i</v>
      </c>
      <c r="AQ19" s="98">
        <f>20*LOG(IMABS(AP19))</f>
        <v>-14.712982473636417</v>
      </c>
      <c r="AR19" s="169">
        <f>(180/PI())*IMARGUMENT(AP19)</f>
        <v>122.70234903304566</v>
      </c>
      <c r="AS19" s="168" t="str">
        <f>IMPRODUCT(AC19,AP19)</f>
        <v>45.3681447924765+75.8183505272328i</v>
      </c>
      <c r="AT19" s="190">
        <f>20*LOG(IMABS(AS19))</f>
        <v>38.924669807279912</v>
      </c>
      <c r="AU19" s="169">
        <f>(180/PI())*IMARGUMENT(AS19)</f>
        <v>59.10456377780077</v>
      </c>
      <c r="AV19" s="225"/>
      <c r="AX19">
        <f>SUM((AT20&lt;0)*(AT19&gt;0))*O19</f>
        <v>0</v>
      </c>
      <c r="AY19">
        <f>IF(AX19&gt;0,AU19,0)</f>
        <v>0</v>
      </c>
    </row>
    <row r="20" spans="1:51" x14ac:dyDescent="0.55000000000000004">
      <c r="A20" s="98" t="s">
        <v>31</v>
      </c>
      <c r="B20" s="205">
        <f>VOUT</f>
        <v>210</v>
      </c>
      <c r="C20" s="98" t="s">
        <v>10</v>
      </c>
      <c r="E20" s="98" t="s">
        <v>206</v>
      </c>
      <c r="N20" s="170">
        <v>2</v>
      </c>
      <c r="O20" s="199">
        <f t="shared" ref="O20:O83" si="41">10^(1+(N20/100))</f>
        <v>10.471285480509</v>
      </c>
      <c r="P20" s="189" t="str">
        <f t="shared" si="32"/>
        <v>1078.86904761905</v>
      </c>
      <c r="Q20" s="160" t="str">
        <f t="shared" si="33"/>
        <v>1+2.05603209620053i</v>
      </c>
      <c r="R20" s="160">
        <f t="shared" ref="R20:R83" si="42">IMABS(Q20)</f>
        <v>2.2863219328447046</v>
      </c>
      <c r="S20" s="160">
        <f t="shared" ref="S20:S83" si="43">IMARGUMENT(Q20)</f>
        <v>1.1181090364419615</v>
      </c>
      <c r="T20" s="160" t="str">
        <f t="shared" si="34"/>
        <v>1+1.31586054156834E-06i</v>
      </c>
      <c r="U20" s="160">
        <f t="shared" ref="U20:U83" si="44">IMABS(T20)</f>
        <v>1.0000000000008658</v>
      </c>
      <c r="V20" s="160">
        <f t="shared" ref="V20:V83" si="45">IMARGUMENT(T20)</f>
        <v>1.3158605415675806E-6</v>
      </c>
      <c r="W20" s="98" t="str">
        <f t="shared" si="35"/>
        <v>1-0.000951682978083888i</v>
      </c>
      <c r="X20" s="160">
        <f t="shared" ref="X20:X83" si="46">IMABS(W20)</f>
        <v>1.0000004528501429</v>
      </c>
      <c r="Y20" s="160">
        <f t="shared" ref="Y20:Y83" si="47">IMARGUMENT(W20)</f>
        <v>-9.5168269077079736E-4</v>
      </c>
      <c r="Z20" s="98" t="str">
        <f t="shared" si="36"/>
        <v>0.999999801452568+0.0000755944216336506i</v>
      </c>
      <c r="AA20" s="160">
        <f t="shared" ref="AA20:AA83" si="48">IMABS(Z20)</f>
        <v>0.99999980430982671</v>
      </c>
      <c r="AB20" s="160">
        <f t="shared" ref="AB20:AB83" si="49">IMARGUMENT(Z20)</f>
        <v>7.5594436498736592E-5</v>
      </c>
      <c r="AC20" s="171" t="str">
        <f t="shared" ref="AC20:AC83" si="50">(IMDIV(IMPRODUCT(P20,T20,W20),IMPRODUCT(Q20,Z20)))</f>
        <v>205.957185670329-424.561462559731i</v>
      </c>
      <c r="AD20" s="190">
        <f t="shared" ref="AD20:AD83" si="51">20*LOG(IMABS(AC20))</f>
        <v>53.476632651832645</v>
      </c>
      <c r="AE20" s="169">
        <f t="shared" ref="AE20:AE83" si="52">(180/PI())*IMARGUMENT(AC20)</f>
        <v>-64.121712074090993</v>
      </c>
      <c r="AF20" s="98" t="str">
        <f t="shared" si="37"/>
        <v>-9.95024875621891E-06</v>
      </c>
      <c r="AG20" s="98" t="str">
        <f t="shared" si="38"/>
        <v>0.0000658588201054955i</v>
      </c>
      <c r="AH20" s="98">
        <f t="shared" ref="AH20:AH83" si="53">IMABS(AG20)</f>
        <v>6.5858820105495496E-5</v>
      </c>
      <c r="AI20" s="98">
        <f t="shared" ref="AI20:AI83" si="54">IMARGUMENT(AG20)</f>
        <v>1.5707963267948966</v>
      </c>
      <c r="AJ20" s="98" t="str">
        <f t="shared" si="39"/>
        <v>1+0.000657272997786385i</v>
      </c>
      <c r="AK20" s="98">
        <f t="shared" ref="AK20:AK83" si="55">IMABS(AJ20)</f>
        <v>1.0000002160038735</v>
      </c>
      <c r="AL20" s="98">
        <f t="shared" ref="AL20:AL83" si="56">IMARGUMENT(AJ20)</f>
        <v>6.5727290313739026E-4</v>
      </c>
      <c r="AM20" s="98" t="str">
        <f t="shared" si="40"/>
        <v>1+0.657930270784171i</v>
      </c>
      <c r="AN20" s="98">
        <f t="shared" ref="AN20:AN83" si="57">IMABS(AM20)</f>
        <v>1.1970264162557702</v>
      </c>
      <c r="AO20" s="98">
        <f t="shared" ref="AO20:AO83" si="58">IMARGUMENT(AM20)</f>
        <v>0.58192991764455904</v>
      </c>
      <c r="AP20" s="168" t="str">
        <f t="shared" ref="AP20:AP83" si="59">IMPRODUCT(AF20,IMDIV(AM20,IMPRODUCT(AG20,AJ20)))</f>
        <v>-0.0993037377970257+0.151149797755675i</v>
      </c>
      <c r="AQ20" s="98">
        <f t="shared" ref="AQ20:AQ83" si="60">20*LOG(IMABS(AP20))</f>
        <v>-14.853527335599971</v>
      </c>
      <c r="AR20" s="169">
        <f t="shared" ref="AR20:AR83" si="61">(180/PI())*IMARGUMENT(AP20)</f>
        <v>123.30446929009071</v>
      </c>
      <c r="AS20" s="168" t="str">
        <f t="shared" ref="AS20:AS83" si="62">IMPRODUCT(AC20,AP20)</f>
        <v>43.7200608375372+73.2909271171515i</v>
      </c>
      <c r="AT20" s="190">
        <f t="shared" ref="AT20:AT83" si="63">20*LOG(IMABS(AS20))</f>
        <v>38.623105316232675</v>
      </c>
      <c r="AU20" s="169">
        <f t="shared" ref="AU20:AU83" si="64">(180/PI())*IMARGUMENT(AS20)</f>
        <v>59.182757215999743</v>
      </c>
      <c r="AV20" s="225"/>
      <c r="AX20">
        <f t="shared" ref="AX20:AX83" si="65">SUM((AT21&lt;0)*(AT20&gt;0))*O20</f>
        <v>0</v>
      </c>
      <c r="AY20">
        <f t="shared" ref="AY20:AY83" si="66">IF(AX20&gt;0,AU20,0)</f>
        <v>0</v>
      </c>
    </row>
    <row r="21" spans="1:51" x14ac:dyDescent="0.55000000000000004">
      <c r="A21" s="98" t="s">
        <v>33</v>
      </c>
      <c r="B21" s="205">
        <f>IOUT</f>
        <v>3.3599999999999998E-2</v>
      </c>
      <c r="C21" s="98" t="s">
        <v>11</v>
      </c>
      <c r="E21" s="98" t="s">
        <v>34</v>
      </c>
      <c r="N21" s="170">
        <v>3</v>
      </c>
      <c r="O21" s="199">
        <f t="shared" si="41"/>
        <v>10.715193052376069</v>
      </c>
      <c r="P21" s="189" t="str">
        <f t="shared" si="32"/>
        <v>1078.86904761905</v>
      </c>
      <c r="Q21" s="160" t="str">
        <f t="shared" si="33"/>
        <v>1+2.10392323594632i</v>
      </c>
      <c r="R21" s="160">
        <f t="shared" si="42"/>
        <v>2.3294834154281574</v>
      </c>
      <c r="S21" s="160">
        <f t="shared" si="43"/>
        <v>1.1271011963241744</v>
      </c>
      <c r="T21" s="160" t="str">
        <f t="shared" si="34"/>
        <v>1+1.34651087100564E-06i</v>
      </c>
      <c r="U21" s="160">
        <f t="shared" si="44"/>
        <v>1.0000000000009064</v>
      </c>
      <c r="V21" s="160">
        <f t="shared" si="45"/>
        <v>1.3465108710048263E-6</v>
      </c>
      <c r="W21" s="98" t="str">
        <f t="shared" si="35"/>
        <v>1-0.000973850522346121i</v>
      </c>
      <c r="X21" s="160">
        <f t="shared" si="46"/>
        <v>1.0000004741923074</v>
      </c>
      <c r="Y21" s="160">
        <f t="shared" si="47"/>
        <v>-9.7385021448460559E-4</v>
      </c>
      <c r="Z21" s="98" t="str">
        <f t="shared" si="36"/>
        <v>0.999999792095315+0.0000773552419132313i</v>
      </c>
      <c r="AA21" s="160">
        <f t="shared" si="48"/>
        <v>0.99999979508723214</v>
      </c>
      <c r="AB21" s="160">
        <f t="shared" si="49"/>
        <v>7.7355257841458126E-5</v>
      </c>
      <c r="AC21" s="171" t="str">
        <f t="shared" si="50"/>
        <v>198.376033573733-418.500607389651i</v>
      </c>
      <c r="AD21" s="190">
        <f t="shared" si="51"/>
        <v>53.314188111577479</v>
      </c>
      <c r="AE21" s="169">
        <f t="shared" si="52"/>
        <v>-64.638294121096635</v>
      </c>
      <c r="AF21" s="98" t="str">
        <f t="shared" si="37"/>
        <v>-9.95024875621891E-06</v>
      </c>
      <c r="AG21" s="98" t="str">
        <f t="shared" si="38"/>
        <v>0.0000673928690938324i</v>
      </c>
      <c r="AH21" s="98">
        <f t="shared" si="53"/>
        <v>6.7392869093832404E-5</v>
      </c>
      <c r="AI21" s="98">
        <f t="shared" si="54"/>
        <v>1.5707963267948966</v>
      </c>
      <c r="AJ21" s="98" t="str">
        <f t="shared" si="39"/>
        <v>1+0.000672582852650171i</v>
      </c>
      <c r="AK21" s="98">
        <f t="shared" si="55"/>
        <v>1.0000002261838212</v>
      </c>
      <c r="AL21" s="98">
        <f t="shared" si="56"/>
        <v>6.7258275123194722E-4</v>
      </c>
      <c r="AM21" s="98" t="str">
        <f t="shared" si="40"/>
        <v>1+0.673255435502821i</v>
      </c>
      <c r="AN21" s="98">
        <f t="shared" si="57"/>
        <v>1.205517681925111</v>
      </c>
      <c r="AO21" s="98">
        <f t="shared" si="58"/>
        <v>0.59255019835063472</v>
      </c>
      <c r="AP21" s="168" t="str">
        <f t="shared" si="59"/>
        <v>-0.0993037357752124+0.147712214350214i</v>
      </c>
      <c r="AQ21" s="98">
        <f t="shared" si="60"/>
        <v>-14.992130421035831</v>
      </c>
      <c r="AR21" s="169">
        <f t="shared" si="61"/>
        <v>123.91208936211233</v>
      </c>
      <c r="AS21" s="168" t="str">
        <f t="shared" si="62"/>
        <v>42.1181702022942+70.8612369311763i</v>
      </c>
      <c r="AT21" s="190">
        <f t="shared" si="63"/>
        <v>38.322057690541641</v>
      </c>
      <c r="AU21" s="169">
        <f t="shared" si="64"/>
        <v>59.273795241015712</v>
      </c>
      <c r="AV21" s="225"/>
      <c r="AX21">
        <f t="shared" si="65"/>
        <v>0</v>
      </c>
      <c r="AY21">
        <f t="shared" si="66"/>
        <v>0</v>
      </c>
    </row>
    <row r="22" spans="1:51" x14ac:dyDescent="0.55000000000000004">
      <c r="N22" s="170">
        <v>4</v>
      </c>
      <c r="O22" s="199">
        <f t="shared" si="41"/>
        <v>10.964781961431854</v>
      </c>
      <c r="P22" s="189" t="str">
        <f t="shared" si="32"/>
        <v>1078.86904761905</v>
      </c>
      <c r="Q22" s="160" t="str">
        <f t="shared" si="33"/>
        <v>1+2.15292990364051i</v>
      </c>
      <c r="R22" s="160">
        <f t="shared" si="42"/>
        <v>2.3738380673477995</v>
      </c>
      <c r="S22" s="160">
        <f t="shared" si="43"/>
        <v>1.1359635717790348</v>
      </c>
      <c r="T22" s="160" t="str">
        <f t="shared" si="34"/>
        <v>1+1.37787513832993E-06i</v>
      </c>
      <c r="U22" s="160">
        <f t="shared" si="44"/>
        <v>1.0000000000009492</v>
      </c>
      <c r="V22" s="160">
        <f t="shared" si="45"/>
        <v>1.3778751383290579E-6</v>
      </c>
      <c r="W22" s="98" t="str">
        <f t="shared" si="35"/>
        <v>1-0.000996534415045738i</v>
      </c>
      <c r="X22" s="160">
        <f t="shared" si="46"/>
        <v>1.0000004965402969</v>
      </c>
      <c r="Y22" s="160">
        <f t="shared" si="47"/>
        <v>-9.9653408516618995E-4</v>
      </c>
      <c r="Z22" s="98" t="str">
        <f t="shared" si="36"/>
        <v>0.999999782297069+0.0000791570769659921i</v>
      </c>
      <c r="AA22" s="160">
        <f t="shared" si="48"/>
        <v>0.99999978542999113</v>
      </c>
      <c r="AB22" s="160">
        <f t="shared" si="49"/>
        <v>7.9157094033394814E-5</v>
      </c>
      <c r="AC22" s="171" t="str">
        <f t="shared" si="50"/>
        <v>191.012135054204-412.394781488872i</v>
      </c>
      <c r="AD22" s="190">
        <f t="shared" si="51"/>
        <v>53.150359047072584</v>
      </c>
      <c r="AE22" s="169">
        <f t="shared" si="52"/>
        <v>-65.147471961742625</v>
      </c>
      <c r="AF22" s="98" t="str">
        <f t="shared" si="37"/>
        <v>-9.95024875621891E-06</v>
      </c>
      <c r="AG22" s="98" t="str">
        <f t="shared" si="38"/>
        <v>0.0000689626506734129i</v>
      </c>
      <c r="AH22" s="98">
        <f t="shared" si="53"/>
        <v>6.8962650673412904E-5</v>
      </c>
      <c r="AI22" s="98">
        <f t="shared" si="54"/>
        <v>1.5707963267948966</v>
      </c>
      <c r="AJ22" s="98" t="str">
        <f t="shared" si="39"/>
        <v>1+0.000688249319845119i</v>
      </c>
      <c r="AK22" s="98">
        <f t="shared" si="55"/>
        <v>1.000000236843535</v>
      </c>
      <c r="AL22" s="98">
        <f t="shared" si="56"/>
        <v>6.8824921117353573E-4</v>
      </c>
      <c r="AM22" s="98" t="str">
        <f t="shared" si="40"/>
        <v>1+0.688937569164964i</v>
      </c>
      <c r="AN22" s="98">
        <f t="shared" si="57"/>
        <v>1.2143454921096095</v>
      </c>
      <c r="AO22" s="98">
        <f t="shared" si="58"/>
        <v>0.60326286542206298</v>
      </c>
      <c r="AP22" s="168" t="str">
        <f t="shared" si="59"/>
        <v>-0.0993037336581142+0.144352949915877i</v>
      </c>
      <c r="AQ22" s="98">
        <f t="shared" si="60"/>
        <v>-15.128756909708956</v>
      </c>
      <c r="AR22" s="169">
        <f t="shared" si="61"/>
        <v>124.52498235059923</v>
      </c>
      <c r="AS22" s="168" t="str">
        <f t="shared" si="62"/>
        <v>40.5621850529418+68.5255067077714i</v>
      </c>
      <c r="AT22" s="190">
        <f t="shared" si="63"/>
        <v>38.021602137363629</v>
      </c>
      <c r="AU22" s="169">
        <f t="shared" si="64"/>
        <v>59.377510388856599</v>
      </c>
      <c r="AV22" s="225"/>
      <c r="AX22">
        <f t="shared" si="65"/>
        <v>0</v>
      </c>
      <c r="AY22">
        <f t="shared" si="66"/>
        <v>0</v>
      </c>
    </row>
    <row r="23" spans="1:51" x14ac:dyDescent="0.55000000000000004">
      <c r="A23" s="98" t="s">
        <v>207</v>
      </c>
      <c r="N23" s="170">
        <v>5</v>
      </c>
      <c r="O23" s="199">
        <f t="shared" si="41"/>
        <v>11.220184543019636</v>
      </c>
      <c r="P23" s="189" t="str">
        <f t="shared" si="32"/>
        <v>1078.86904761905</v>
      </c>
      <c r="Q23" s="160" t="str">
        <f t="shared" si="33"/>
        <v>1+2.20307808326702i</v>
      </c>
      <c r="R23" s="160">
        <f t="shared" si="42"/>
        <v>2.4194117138204252</v>
      </c>
      <c r="S23" s="160">
        <f t="shared" si="43"/>
        <v>1.1446952922158808</v>
      </c>
      <c r="T23" s="160" t="str">
        <f t="shared" si="34"/>
        <v>1+1.40996997329089E-06i</v>
      </c>
      <c r="U23" s="160">
        <f t="shared" si="44"/>
        <v>1.0000000000009939</v>
      </c>
      <c r="V23" s="160">
        <f t="shared" si="45"/>
        <v>1.4099699732899558E-6</v>
      </c>
      <c r="W23" s="98" t="str">
        <f t="shared" si="35"/>
        <v>1-0.0010197466834829i</v>
      </c>
      <c r="X23" s="160">
        <f t="shared" si="46"/>
        <v>1.0000005199415141</v>
      </c>
      <c r="Y23" s="160">
        <f t="shared" si="47"/>
        <v>-1.0197463300106056E-3</v>
      </c>
      <c r="Z23" s="98" t="str">
        <f t="shared" si="36"/>
        <v>0.999999772037046+0.000081000882148728i</v>
      </c>
      <c r="AA23" s="160">
        <f t="shared" si="48"/>
        <v>0.99999977531761819</v>
      </c>
      <c r="AB23" s="160">
        <f t="shared" si="49"/>
        <v>8.1000900436779667E-5</v>
      </c>
      <c r="AC23" s="171" t="str">
        <f t="shared" si="50"/>
        <v>183.863757495946-406.252256033919i</v>
      </c>
      <c r="AD23" s="190">
        <f t="shared" si="51"/>
        <v>52.985185558137047</v>
      </c>
      <c r="AE23" s="169">
        <f t="shared" si="52"/>
        <v>-65.649196457751074</v>
      </c>
      <c r="AF23" s="98" t="str">
        <f t="shared" si="37"/>
        <v>-9.95024875621891E-06</v>
      </c>
      <c r="AG23" s="98" t="str">
        <f t="shared" si="38"/>
        <v>0.000070568997163209i</v>
      </c>
      <c r="AH23" s="98">
        <f t="shared" si="53"/>
        <v>7.0568997163208998E-5</v>
      </c>
      <c r="AI23" s="98">
        <f t="shared" si="54"/>
        <v>1.5707963267948966</v>
      </c>
      <c r="AJ23" s="98" t="str">
        <f t="shared" si="39"/>
        <v>1+0.000704280705939505i</v>
      </c>
      <c r="AK23" s="98">
        <f t="shared" si="55"/>
        <v>1.0000002480056256</v>
      </c>
      <c r="AL23" s="98">
        <f t="shared" si="56"/>
        <v>7.0428058949580715E-4</v>
      </c>
      <c r="AM23" s="98" t="str">
        <f t="shared" si="40"/>
        <v>1+0.704984986645445i</v>
      </c>
      <c r="AN23" s="98">
        <f t="shared" si="57"/>
        <v>1.2235210792607858</v>
      </c>
      <c r="AO23" s="98">
        <f t="shared" si="58"/>
        <v>0.61406376366012039</v>
      </c>
      <c r="AP23" s="168" t="str">
        <f t="shared" si="59"/>
        <v>-0.0993037314412402+0.141070223326184i</v>
      </c>
      <c r="AQ23" s="98">
        <f t="shared" si="60"/>
        <v>-15.263373187355135</v>
      </c>
      <c r="AR23" s="169">
        <f t="shared" si="61"/>
        <v>125.14290970427261</v>
      </c>
      <c r="AS23" s="168" t="str">
        <f t="shared" si="62"/>
        <v>39.0517392893163+66.2800662621347i</v>
      </c>
      <c r="AT23" s="190">
        <f t="shared" si="63"/>
        <v>37.721812370781919</v>
      </c>
      <c r="AU23" s="169">
        <f t="shared" si="64"/>
        <v>59.493713246521565</v>
      </c>
      <c r="AV23" s="225"/>
      <c r="AX23">
        <f t="shared" si="65"/>
        <v>0</v>
      </c>
      <c r="AY23">
        <f t="shared" si="66"/>
        <v>0</v>
      </c>
    </row>
    <row r="24" spans="1:51" x14ac:dyDescent="0.55000000000000004">
      <c r="A24" s="98" t="s">
        <v>208</v>
      </c>
      <c r="B24" s="205">
        <f>Lm</f>
        <v>8.1999999999999998E-4</v>
      </c>
      <c r="C24" s="98" t="s">
        <v>98</v>
      </c>
      <c r="E24" s="98" t="s">
        <v>209</v>
      </c>
      <c r="N24" s="170">
        <v>6</v>
      </c>
      <c r="O24" s="199">
        <f t="shared" si="41"/>
        <v>11.481536214968834</v>
      </c>
      <c r="P24" s="189" t="str">
        <f t="shared" si="32"/>
        <v>1078.86904761905</v>
      </c>
      <c r="Q24" s="160" t="str">
        <f t="shared" si="33"/>
        <v>1+2.25439436405445i</v>
      </c>
      <c r="R24" s="160">
        <f t="shared" si="42"/>
        <v>2.4662307168390529</v>
      </c>
      <c r="S24" s="160">
        <f t="shared" si="43"/>
        <v>1.1532956604236317</v>
      </c>
      <c r="T24" s="160" t="str">
        <f t="shared" si="34"/>
        <v>1+1.44281239299485E-06i</v>
      </c>
      <c r="U24" s="160">
        <f t="shared" si="44"/>
        <v>1.0000000000010409</v>
      </c>
      <c r="V24" s="160">
        <f t="shared" si="45"/>
        <v>1.4428123929938488E-6</v>
      </c>
      <c r="W24" s="98" t="str">
        <f t="shared" si="35"/>
        <v>1-0.0010434996351096i</v>
      </c>
      <c r="X24" s="160">
        <f t="shared" si="46"/>
        <v>1.0000005444455962</v>
      </c>
      <c r="Y24" s="160">
        <f t="shared" si="47"/>
        <v>-1.0434992563572237E-3</v>
      </c>
      <c r="Z24" s="98" t="str">
        <f t="shared" si="36"/>
        <v>0.999999761293483+0.0000828876350713526i</v>
      </c>
      <c r="AA24" s="160">
        <f t="shared" si="48"/>
        <v>0.99999976472866392</v>
      </c>
      <c r="AB24" s="160">
        <f t="shared" si="49"/>
        <v>8.2887654667353227E-5</v>
      </c>
      <c r="AC24" s="171" t="str">
        <f t="shared" si="50"/>
        <v>176.92882468803-400.081013274123i</v>
      </c>
      <c r="AD24" s="190">
        <f t="shared" si="51"/>
        <v>52.818707391341142</v>
      </c>
      <c r="AE24" s="169">
        <f t="shared" si="52"/>
        <v>-66.143428422066776</v>
      </c>
      <c r="AF24" s="98" t="str">
        <f t="shared" si="37"/>
        <v>-9.95024875621891E-06</v>
      </c>
      <c r="AG24" s="98" t="str">
        <f t="shared" si="38"/>
        <v>0.0000722127602693923i</v>
      </c>
      <c r="AH24" s="98">
        <f t="shared" si="53"/>
        <v>7.2212760269392301E-5</v>
      </c>
      <c r="AI24" s="98">
        <f t="shared" si="54"/>
        <v>1.5707963267948966</v>
      </c>
      <c r="AJ24" s="98" t="str">
        <f t="shared" si="39"/>
        <v>1+0.000720685510986439i</v>
      </c>
      <c r="AK24" s="98">
        <f t="shared" si="55"/>
        <v>1.0000002596937692</v>
      </c>
      <c r="AL24" s="98">
        <f t="shared" si="56"/>
        <v>7.2068538621477055E-4</v>
      </c>
      <c r="AM24" s="98" t="str">
        <f t="shared" si="40"/>
        <v>1+0.721406196497425i</v>
      </c>
      <c r="AN24" s="98">
        <f t="shared" si="57"/>
        <v>1.2330559193908772</v>
      </c>
      <c r="AO24" s="98">
        <f t="shared" si="58"/>
        <v>0.62494853972350617</v>
      </c>
      <c r="AP24" s="168" t="str">
        <f t="shared" si="59"/>
        <v>-0.0993037291198882+0.137862294036036i</v>
      </c>
      <c r="AQ24" s="98">
        <f t="shared" si="60"/>
        <v>-15.395946959460083</v>
      </c>
      <c r="AR24" s="169">
        <f t="shared" si="61"/>
        <v>125.765621508034</v>
      </c>
      <c r="AS24" s="168" t="str">
        <f t="shared" si="62"/>
        <v>37.586394209912+64.1213502207754i</v>
      </c>
      <c r="AT24" s="190">
        <f t="shared" si="63"/>
        <v>37.422760431881066</v>
      </c>
      <c r="AU24" s="169">
        <f t="shared" si="64"/>
        <v>59.622193085967275</v>
      </c>
      <c r="AV24" s="225"/>
      <c r="AX24">
        <f t="shared" si="65"/>
        <v>0</v>
      </c>
      <c r="AY24">
        <f t="shared" si="66"/>
        <v>0</v>
      </c>
    </row>
    <row r="25" spans="1:51" x14ac:dyDescent="0.55000000000000004">
      <c r="N25" s="170">
        <v>7</v>
      </c>
      <c r="O25" s="199">
        <f t="shared" si="41"/>
        <v>11.748975549395301</v>
      </c>
      <c r="P25" s="189" t="str">
        <f t="shared" si="32"/>
        <v>1078.86904761905</v>
      </c>
      <c r="Q25" s="160" t="str">
        <f t="shared" si="33"/>
        <v>1+2.30690595457415i</v>
      </c>
      <c r="R25" s="160">
        <f t="shared" si="42"/>
        <v>2.514321992754641</v>
      </c>
      <c r="S25" s="160">
        <f t="shared" si="43"/>
        <v>1.1617641462891213</v>
      </c>
      <c r="T25" s="160" t="str">
        <f t="shared" si="34"/>
        <v>1+1.47641981092746E-06i</v>
      </c>
      <c r="U25" s="160">
        <f t="shared" si="44"/>
        <v>1.0000000000010898</v>
      </c>
      <c r="V25" s="160">
        <f t="shared" si="45"/>
        <v>1.4764198109263873E-6</v>
      </c>
      <c r="W25" s="98" t="str">
        <f t="shared" si="35"/>
        <v>1-0.00106780586405517i</v>
      </c>
      <c r="X25" s="160">
        <f t="shared" si="46"/>
        <v>1.0000005701045191</v>
      </c>
      <c r="Y25" s="160">
        <f t="shared" si="47"/>
        <v>-1.0678054582146997E-3</v>
      </c>
      <c r="Z25" s="98" t="str">
        <f t="shared" si="36"/>
        <v>0.999999750043592+0.0000848183361152396i</v>
      </c>
      <c r="AA25" s="160">
        <f t="shared" si="48"/>
        <v>0.99999975364066795</v>
      </c>
      <c r="AB25" s="160">
        <f t="shared" si="49"/>
        <v>8.4818357112732763E-5</v>
      </c>
      <c r="AC25" s="171" t="str">
        <f t="shared" si="50"/>
        <v>170.204943554307-393.888735817367i</v>
      </c>
      <c r="AD25" s="190">
        <f t="shared" si="51"/>
        <v>52.650963878822843</v>
      </c>
      <c r="AE25" s="169">
        <f t="shared" si="52"/>
        <v>-66.630138259346438</v>
      </c>
      <c r="AF25" s="98" t="str">
        <f t="shared" si="37"/>
        <v>-9.95024875621891E-06</v>
      </c>
      <c r="AG25" s="98" t="str">
        <f t="shared" si="38"/>
        <v>0.0000738948115369191i</v>
      </c>
      <c r="AH25" s="98">
        <f t="shared" si="53"/>
        <v>7.3894811536919094E-5</v>
      </c>
      <c r="AI25" s="98">
        <f t="shared" si="54"/>
        <v>1.5707963267948966</v>
      </c>
      <c r="AJ25" s="98" t="str">
        <f t="shared" si="39"/>
        <v>1+0.000737472433030697i</v>
      </c>
      <c r="AK25" s="98">
        <f t="shared" si="55"/>
        <v>1.0000002719327576</v>
      </c>
      <c r="AL25" s="98">
        <f t="shared" si="56"/>
        <v>7.3747229933544746E-4</v>
      </c>
      <c r="AM25" s="98" t="str">
        <f t="shared" si="40"/>
        <v>1+0.738209905463728i</v>
      </c>
      <c r="AN25" s="98">
        <f t="shared" si="57"/>
        <v>1.2429617309172338</v>
      </c>
      <c r="AO25" s="98">
        <f t="shared" si="58"/>
        <v>0.63591264816819815</v>
      </c>
      <c r="AP25" s="168" t="str">
        <f t="shared" si="59"/>
        <v>-0.0993037266891346+0.134727461158853i</v>
      </c>
      <c r="AQ25" s="98">
        <f t="shared" si="60"/>
        <v>-15.526447363506612</v>
      </c>
      <c r="AR25" s="169">
        <f t="shared" si="61"/>
        <v>126.39285682876557</v>
      </c>
      <c r="AS25" s="168" t="str">
        <f t="shared" si="62"/>
        <v>36.1656441598875+62.0458992892942i</v>
      </c>
      <c r="AT25" s="190">
        <f t="shared" si="63"/>
        <v>37.124516515316223</v>
      </c>
      <c r="AU25" s="169">
        <f t="shared" si="64"/>
        <v>59.76271856941915</v>
      </c>
      <c r="AV25" s="225"/>
      <c r="AX25">
        <f t="shared" si="65"/>
        <v>0</v>
      </c>
      <c r="AY25">
        <f t="shared" si="66"/>
        <v>0</v>
      </c>
    </row>
    <row r="26" spans="1:51" x14ac:dyDescent="0.55000000000000004">
      <c r="A26" s="98" t="s">
        <v>160</v>
      </c>
      <c r="B26" s="205">
        <f>R_cs</f>
        <v>0.04</v>
      </c>
      <c r="C26" s="206" t="s">
        <v>36</v>
      </c>
      <c r="E26" s="98" t="s">
        <v>210</v>
      </c>
      <c r="N26" s="170">
        <v>8</v>
      </c>
      <c r="O26" s="199">
        <f t="shared" si="41"/>
        <v>12.022644346174133</v>
      </c>
      <c r="P26" s="189" t="str">
        <f t="shared" si="32"/>
        <v>1078.86904761905</v>
      </c>
      <c r="Q26" s="160" t="str">
        <f t="shared" si="33"/>
        <v>1+2.36064069716647i</v>
      </c>
      <c r="R26" s="160">
        <f t="shared" si="42"/>
        <v>2.5637130301807565</v>
      </c>
      <c r="S26" s="160">
        <f t="shared" si="43"/>
        <v>1.1701003803106353</v>
      </c>
      <c r="T26" s="160" t="str">
        <f t="shared" si="34"/>
        <v>1+1.51081004618654E-06i</v>
      </c>
      <c r="U26" s="160">
        <f t="shared" si="44"/>
        <v>1.0000000000011413</v>
      </c>
      <c r="V26" s="160">
        <f t="shared" si="45"/>
        <v>1.5108100461853905E-6</v>
      </c>
      <c r="W26" s="98" t="str">
        <f t="shared" si="35"/>
        <v>1-0.00109267825780395i</v>
      </c>
      <c r="X26" s="160">
        <f t="shared" si="46"/>
        <v>1.0000005969727095</v>
      </c>
      <c r="Y26" s="160">
        <f t="shared" si="47"/>
        <v>-1.0926778229380649E-3</v>
      </c>
      <c r="Z26" s="98" t="str">
        <f t="shared" si="36"/>
        <v>0.999999738263509+0.0000867940089636382i</v>
      </c>
      <c r="AA26" s="160">
        <f t="shared" si="48"/>
        <v>0.99999974203010988</v>
      </c>
      <c r="AB26" s="160">
        <f t="shared" si="49"/>
        <v>8.6794031462857787E-5</v>
      </c>
      <c r="AC26" s="171" t="str">
        <f t="shared" si="50"/>
        <v>163.689430623332-387.682798128112i</v>
      </c>
      <c r="AD26" s="190">
        <f t="shared" si="51"/>
        <v>52.481993882036221</v>
      </c>
      <c r="AE26" s="169">
        <f t="shared" si="52"/>
        <v>-67.109305594724304</v>
      </c>
      <c r="AF26" s="98" t="str">
        <f t="shared" si="37"/>
        <v>-9.95024875621891E-06</v>
      </c>
      <c r="AG26" s="98" t="str">
        <f t="shared" si="38"/>
        <v>0.0000756160428116364i</v>
      </c>
      <c r="AH26" s="98">
        <f t="shared" si="53"/>
        <v>7.56160428116364E-5</v>
      </c>
      <c r="AI26" s="98">
        <f t="shared" si="54"/>
        <v>1.5707963267948966</v>
      </c>
      <c r="AJ26" s="98" t="str">
        <f t="shared" si="39"/>
        <v>1+0.000754650372720549i</v>
      </c>
      <c r="AK26" s="98">
        <f t="shared" si="55"/>
        <v>1.0000002847485518</v>
      </c>
      <c r="AL26" s="98">
        <f t="shared" si="56"/>
        <v>7.5465022946351031E-4</v>
      </c>
      <c r="AM26" s="98" t="str">
        <f t="shared" si="40"/>
        <v>1+0.75540502309327i</v>
      </c>
      <c r="AN26" s="98">
        <f t="shared" si="57"/>
        <v>1.2532504733350567</v>
      </c>
      <c r="AO26" s="98">
        <f t="shared" si="58"/>
        <v>0.64695135848051122</v>
      </c>
      <c r="AP26" s="168" t="str">
        <f t="shared" si="59"/>
        <v>-0.0993037241438229+0.131664062564734i</v>
      </c>
      <c r="AQ26" s="98">
        <f t="shared" si="60"/>
        <v>-15.654845078932354</v>
      </c>
      <c r="AR26" s="169">
        <f t="shared" si="61"/>
        <v>127.02434411803178</v>
      </c>
      <c r="AS26" s="168" t="str">
        <f t="shared" si="62"/>
        <v>34.7889221241321+60.0503610753955i</v>
      </c>
      <c r="AT26" s="190">
        <f t="shared" si="63"/>
        <v>36.827148803103867</v>
      </c>
      <c r="AU26" s="169">
        <f t="shared" si="64"/>
        <v>59.915038523307487</v>
      </c>
      <c r="AV26" s="225"/>
      <c r="AX26">
        <f t="shared" si="65"/>
        <v>0</v>
      </c>
      <c r="AY26">
        <f t="shared" si="66"/>
        <v>0</v>
      </c>
    </row>
    <row r="27" spans="1:51" x14ac:dyDescent="0.55000000000000004">
      <c r="A27" s="98" t="s">
        <v>161</v>
      </c>
      <c r="B27" s="205">
        <f>R_sl</f>
        <v>2000</v>
      </c>
      <c r="C27" s="206" t="s">
        <v>36</v>
      </c>
      <c r="E27" s="98" t="s">
        <v>211</v>
      </c>
      <c r="N27" s="170">
        <v>9</v>
      </c>
      <c r="O27" s="199">
        <f t="shared" si="41"/>
        <v>12.302687708123818</v>
      </c>
      <c r="P27" s="189" t="str">
        <f t="shared" si="32"/>
        <v>1078.86904761905</v>
      </c>
      <c r="Q27" s="160" t="str">
        <f t="shared" si="33"/>
        <v>1+2.4156270827032i</v>
      </c>
      <c r="R27" s="160">
        <f t="shared" si="42"/>
        <v>2.6144319082143204</v>
      </c>
      <c r="S27" s="160">
        <f t="shared" si="43"/>
        <v>1.1783041469526723</v>
      </c>
      <c r="T27" s="160" t="str">
        <f t="shared" si="34"/>
        <v>1+1.54600133293005E-06i</v>
      </c>
      <c r="U27" s="160">
        <f t="shared" si="44"/>
        <v>1.000000000001195</v>
      </c>
      <c r="V27" s="160">
        <f t="shared" si="45"/>
        <v>1.5460013329288183E-6</v>
      </c>
      <c r="W27" s="98" t="str">
        <f t="shared" si="35"/>
        <v>1-0.00111813000402833i</v>
      </c>
      <c r="X27" s="160">
        <f t="shared" si="46"/>
        <v>1.0000006251071576</v>
      </c>
      <c r="Y27" s="160">
        <f t="shared" si="47"/>
        <v>-1.1181295380611547E-3</v>
      </c>
      <c r="Z27" s="98" t="str">
        <f t="shared" si="36"/>
        <v>0.999999725928248+0.000088815701144444i</v>
      </c>
      <c r="AA27" s="160">
        <f t="shared" si="48"/>
        <v>0.99999972987236352</v>
      </c>
      <c r="AB27" s="160">
        <f t="shared" si="49"/>
        <v>8.8815725252792442E-5</v>
      </c>
      <c r="AC27" s="171" t="str">
        <f t="shared" si="50"/>
        <v>157.379338077202-381.470260120266i</v>
      </c>
      <c r="AD27" s="190">
        <f t="shared" si="51"/>
        <v>52.311835740366831</v>
      </c>
      <c r="AE27" s="169">
        <f t="shared" si="52"/>
        <v>-67.580918893490619</v>
      </c>
      <c r="AF27" s="98" t="str">
        <f t="shared" si="37"/>
        <v>-9.95024875621891E-06</v>
      </c>
      <c r="AG27" s="98" t="str">
        <f t="shared" si="38"/>
        <v>0.000077377366713149i</v>
      </c>
      <c r="AH27" s="98">
        <f t="shared" si="53"/>
        <v>7.7377366713148998E-5</v>
      </c>
      <c r="AI27" s="98">
        <f t="shared" si="54"/>
        <v>1.5707963267948966</v>
      </c>
      <c r="AJ27" s="98" t="str">
        <f t="shared" si="39"/>
        <v>1+0.000772228438026998i</v>
      </c>
      <c r="AK27" s="98">
        <f t="shared" si="55"/>
        <v>1.0000002981683358</v>
      </c>
      <c r="AL27" s="98">
        <f t="shared" si="56"/>
        <v>7.7222828452431797E-4</v>
      </c>
      <c r="AM27" s="98" t="str">
        <f t="shared" si="40"/>
        <v>1+0.773000666465025i</v>
      </c>
      <c r="AN27" s="98">
        <f t="shared" si="57"/>
        <v>1.2639343457456058</v>
      </c>
      <c r="AO27" s="98">
        <f t="shared" si="58"/>
        <v>0.65805976309554814</v>
      </c>
      <c r="AP27" s="168" t="str">
        <f t="shared" si="59"/>
        <v>-0.0993037214785548+0.128670473999188i</v>
      </c>
      <c r="AQ27" s="98">
        <f t="shared" si="60"/>
        <v>-15.781112434025708</v>
      </c>
      <c r="AR27" s="169">
        <f t="shared" si="61"/>
        <v>127.6598016712298</v>
      </c>
      <c r="AS27" s="168" t="str">
        <f t="shared" si="62"/>
        <v>33.4556052313704+58.1314904914068i</v>
      </c>
      <c r="AT27" s="190">
        <f t="shared" si="63"/>
        <v>36.530723306341123</v>
      </c>
      <c r="AU27" s="169">
        <f t="shared" si="64"/>
        <v>60.078882777739175</v>
      </c>
      <c r="AV27" s="225"/>
      <c r="AX27">
        <f t="shared" si="65"/>
        <v>0</v>
      </c>
      <c r="AY27">
        <f t="shared" si="66"/>
        <v>0</v>
      </c>
    </row>
    <row r="28" spans="1:51" x14ac:dyDescent="0.55000000000000004">
      <c r="A28" s="98" t="s">
        <v>146</v>
      </c>
      <c r="B28" s="207">
        <f>Rsl_int</f>
        <v>1333</v>
      </c>
      <c r="C28" s="206" t="s">
        <v>36</v>
      </c>
      <c r="E28" s="98" t="s">
        <v>212</v>
      </c>
      <c r="N28" s="170">
        <v>10</v>
      </c>
      <c r="O28" s="199">
        <f t="shared" si="41"/>
        <v>12.58925411794168</v>
      </c>
      <c r="P28" s="189" t="str">
        <f t="shared" si="32"/>
        <v>1078.86904761905</v>
      </c>
      <c r="Q28" s="160" t="str">
        <f t="shared" si="33"/>
        <v>1+2.47189426569379i</v>
      </c>
      <c r="R28" s="160">
        <f t="shared" si="42"/>
        <v>2.6665073149664975</v>
      </c>
      <c r="S28" s="160">
        <f t="shared" si="43"/>
        <v>1.1863753778852475</v>
      </c>
      <c r="T28" s="160" t="str">
        <f t="shared" si="34"/>
        <v>1+1.58201233004403E-06i</v>
      </c>
      <c r="U28" s="160">
        <f t="shared" si="44"/>
        <v>1.0000000000012514</v>
      </c>
      <c r="V28" s="160">
        <f t="shared" si="45"/>
        <v>1.58201233004271E-6</v>
      </c>
      <c r="W28" s="98" t="str">
        <f t="shared" si="35"/>
        <v>1-0.00114417459758104i</v>
      </c>
      <c r="X28" s="160">
        <f t="shared" si="46"/>
        <v>1.0000006545675406</v>
      </c>
      <c r="Y28" s="160">
        <f t="shared" si="47"/>
        <v>-1.1441740982882339E-3</v>
      </c>
      <c r="Z28" s="98" t="str">
        <f t="shared" si="36"/>
        <v>0.999999713011645+0.0000908844845856113i</v>
      </c>
      <c r="AA28" s="160">
        <f t="shared" si="48"/>
        <v>0.99999971714164082</v>
      </c>
      <c r="AB28" s="160">
        <f t="shared" si="49"/>
        <v>9.0884510418172334E-5</v>
      </c>
      <c r="AC28" s="171" t="str">
        <f t="shared" si="50"/>
        <v>151.271479236826-375.257862719361i</v>
      </c>
      <c r="AD28" s="190">
        <f t="shared" si="51"/>
        <v>52.140527224524291</v>
      </c>
      <c r="AE28" s="169">
        <f t="shared" si="52"/>
        <v>-68.044975074163432</v>
      </c>
      <c r="AF28" s="98" t="str">
        <f t="shared" si="37"/>
        <v>-9.95024875621891E-06</v>
      </c>
      <c r="AG28" s="98" t="str">
        <f t="shared" si="38"/>
        <v>0.0000791797171187035i</v>
      </c>
      <c r="AH28" s="98">
        <f t="shared" si="53"/>
        <v>7.9179717118703499E-5</v>
      </c>
      <c r="AI28" s="98">
        <f t="shared" si="54"/>
        <v>1.5707963267948966</v>
      </c>
      <c r="AJ28" s="98" t="str">
        <f t="shared" si="39"/>
        <v>1+0.00079021594907294i</v>
      </c>
      <c r="AK28" s="98">
        <f t="shared" si="55"/>
        <v>1.0000003122205743</v>
      </c>
      <c r="AL28" s="98">
        <f t="shared" si="56"/>
        <v>7.9021578459185756E-4</v>
      </c>
      <c r="AM28" s="98" t="str">
        <f t="shared" si="40"/>
        <v>1+0.791006165022013i</v>
      </c>
      <c r="AN28" s="98">
        <f t="shared" si="57"/>
        <v>1.2750257852697851</v>
      </c>
      <c r="AO28" s="98">
        <f t="shared" si="58"/>
        <v>0.66923278638420458</v>
      </c>
      <c r="AP28" s="168" t="str">
        <f t="shared" si="59"/>
        <v>-0.0993037186876766+0.125745108221916i</v>
      </c>
      <c r="AQ28" s="98">
        <f t="shared" si="60"/>
        <v>-15.905223508986158</v>
      </c>
      <c r="AR28" s="169">
        <f t="shared" si="61"/>
        <v>128.2989381422334</v>
      </c>
      <c r="AS28" s="168" t="str">
        <f t="shared" si="62"/>
        <v>32.1650201391685+56.2861497623462i</v>
      </c>
      <c r="AT28" s="190">
        <f t="shared" si="63"/>
        <v>36.235303715538137</v>
      </c>
      <c r="AU28" s="169">
        <f t="shared" si="64"/>
        <v>60.25396306806995</v>
      </c>
      <c r="AV28" s="225"/>
      <c r="AX28">
        <f t="shared" si="65"/>
        <v>0</v>
      </c>
      <c r="AY28">
        <f t="shared" si="66"/>
        <v>0</v>
      </c>
    </row>
    <row r="29" spans="1:51" x14ac:dyDescent="0.55000000000000004">
      <c r="A29" s="98" t="s">
        <v>144</v>
      </c>
      <c r="B29" s="207">
        <f>Isl</f>
        <v>2.9999999999999997E-5</v>
      </c>
      <c r="C29" s="206" t="s">
        <v>11</v>
      </c>
      <c r="E29" s="98" t="s">
        <v>213</v>
      </c>
      <c r="N29" s="170">
        <v>11</v>
      </c>
      <c r="O29" s="199">
        <f t="shared" si="41"/>
        <v>12.882495516931346</v>
      </c>
      <c r="P29" s="189" t="str">
        <f t="shared" si="32"/>
        <v>1078.86904761905</v>
      </c>
      <c r="Q29" s="160" t="str">
        <f t="shared" si="33"/>
        <v>1+2.52947207974343i</v>
      </c>
      <c r="R29" s="160">
        <f t="shared" si="42"/>
        <v>2.7199685663995368</v>
      </c>
      <c r="S29" s="160">
        <f t="shared" si="43"/>
        <v>1.1943141451483696</v>
      </c>
      <c r="T29" s="160" t="str">
        <f t="shared" si="34"/>
        <v>1+0.0000016188621310358i</v>
      </c>
      <c r="U29" s="160">
        <f t="shared" si="44"/>
        <v>1.0000000000013105</v>
      </c>
      <c r="V29" s="160">
        <f t="shared" si="45"/>
        <v>1.618862131034386E-6</v>
      </c>
      <c r="W29" s="98" t="str">
        <f t="shared" si="35"/>
        <v>1-0.00117082584765033i</v>
      </c>
      <c r="X29" s="160">
        <f t="shared" si="46"/>
        <v>1.0000006854163479</v>
      </c>
      <c r="Y29" s="160">
        <f t="shared" si="47"/>
        <v>-1.1708253126484691E-3</v>
      </c>
      <c r="Z29" s="98" t="str">
        <f t="shared" si="36"/>
        <v>0.9999996994863+0.0000930014561835042i</v>
      </c>
      <c r="AA29" s="160">
        <f t="shared" si="48"/>
        <v>0.99999970381093661</v>
      </c>
      <c r="AB29" s="160">
        <f t="shared" si="49"/>
        <v>9.3001483863592476E-5</v>
      </c>
      <c r="AC29" s="171" t="str">
        <f t="shared" si="50"/>
        <v>145.36245335927-369.052025262467i</v>
      </c>
      <c r="AD29" s="190">
        <f t="shared" si="51"/>
        <v>51.968105494594994</v>
      </c>
      <c r="AE29" s="169">
        <f t="shared" si="52"/>
        <v>-68.501479117284305</v>
      </c>
      <c r="AF29" s="98" t="str">
        <f t="shared" si="37"/>
        <v>-9.95024875621891E-06</v>
      </c>
      <c r="AG29" s="98" t="str">
        <f t="shared" si="38"/>
        <v>0.0000810240496583417i</v>
      </c>
      <c r="AH29" s="98">
        <f t="shared" si="53"/>
        <v>8.1024049658341704E-5</v>
      </c>
      <c r="AI29" s="98">
        <f t="shared" si="54"/>
        <v>1.5707963267948966</v>
      </c>
      <c r="AJ29" s="98" t="str">
        <f t="shared" si="39"/>
        <v>1+0.000808622443074824i</v>
      </c>
      <c r="AK29" s="98">
        <f t="shared" si="55"/>
        <v>1.0000003269350743</v>
      </c>
      <c r="AL29" s="98">
        <f t="shared" si="56"/>
        <v>8.0862226683017194E-4</v>
      </c>
      <c r="AM29" s="98" t="str">
        <f t="shared" si="40"/>
        <v>1+0.809431065517899i</v>
      </c>
      <c r="AN29" s="98">
        <f t="shared" si="57"/>
        <v>1.2865374653796295</v>
      </c>
      <c r="AO29" s="98">
        <f t="shared" si="58"/>
        <v>0.68046519458269661</v>
      </c>
      <c r="AP29" s="168" t="str">
        <f t="shared" si="59"/>
        <v>-0.0993037157652684+0.122886414165249i</v>
      </c>
      <c r="AQ29" s="98">
        <f t="shared" si="60"/>
        <v>-16.027154234373484</v>
      </c>
      <c r="AR29" s="169">
        <f t="shared" si="61"/>
        <v>128.9414531120272</v>
      </c>
      <c r="AS29" s="168" t="str">
        <f t="shared" si="62"/>
        <v>30.9164482735964+54.5113080668446i</v>
      </c>
      <c r="AT29" s="190">
        <f t="shared" si="63"/>
        <v>35.94095126022151</v>
      </c>
      <c r="AU29" s="169">
        <f t="shared" si="64"/>
        <v>60.439973994742907</v>
      </c>
      <c r="AV29" s="225"/>
      <c r="AX29">
        <f t="shared" si="65"/>
        <v>0</v>
      </c>
      <c r="AY29">
        <f t="shared" si="66"/>
        <v>0</v>
      </c>
    </row>
    <row r="30" spans="1:51" x14ac:dyDescent="0.55000000000000004">
      <c r="C30" s="206"/>
      <c r="N30" s="170">
        <v>12</v>
      </c>
      <c r="O30" s="199">
        <f t="shared" si="41"/>
        <v>13.182567385564075</v>
      </c>
      <c r="P30" s="189" t="str">
        <f t="shared" si="32"/>
        <v>1078.86904761905</v>
      </c>
      <c r="Q30" s="160" t="str">
        <f t="shared" si="33"/>
        <v>1+2.58839105337128i</v>
      </c>
      <c r="R30" s="160">
        <f t="shared" si="42"/>
        <v>2.7748456254668445</v>
      </c>
      <c r="S30" s="160">
        <f t="shared" si="43"/>
        <v>1.2021206542794634</v>
      </c>
      <c r="T30" s="160" t="str">
        <f t="shared" si="34"/>
        <v>1+1.65657027415762E-06i</v>
      </c>
      <c r="U30" s="160">
        <f t="shared" si="44"/>
        <v>1.0000000000013722</v>
      </c>
      <c r="V30" s="160">
        <f t="shared" si="45"/>
        <v>1.6565702741561047E-6</v>
      </c>
      <c r="W30" s="98" t="str">
        <f t="shared" si="35"/>
        <v>1-0.00119809788508176i</v>
      </c>
      <c r="X30" s="160">
        <f t="shared" si="46"/>
        <v>1.0000007177190136</v>
      </c>
      <c r="Y30" s="160">
        <f t="shared" si="47"/>
        <v>-1.1980973118169598E-3</v>
      </c>
      <c r="Z30" s="98" t="str">
        <f t="shared" si="36"/>
        <v>0.999999685323526+0.0000951677383844855i</v>
      </c>
      <c r="AA30" s="160">
        <f t="shared" si="48"/>
        <v>0.99999968985197663</v>
      </c>
      <c r="AB30" s="160">
        <f t="shared" si="49"/>
        <v>9.5167768044234825E-5</v>
      </c>
      <c r="AC30" s="171" t="str">
        <f t="shared" si="50"/>
        <v>139.6486696406-362.858844600431i</v>
      </c>
      <c r="AD30" s="190">
        <f t="shared" si="51"/>
        <v>51.794607062616997</v>
      </c>
      <c r="AE30" s="169">
        <f t="shared" si="52"/>
        <v>-68.950443672100931</v>
      </c>
      <c r="AF30" s="98" t="str">
        <f t="shared" si="37"/>
        <v>-9.95024875621891E-06</v>
      </c>
      <c r="AG30" s="98" t="str">
        <f t="shared" si="38"/>
        <v>0.0000829113422215889i</v>
      </c>
      <c r="AH30" s="98">
        <f t="shared" si="53"/>
        <v>8.2911342221588896E-5</v>
      </c>
      <c r="AI30" s="98">
        <f t="shared" si="54"/>
        <v>1.5707963267948966</v>
      </c>
      <c r="AJ30" s="98" t="str">
        <f t="shared" si="39"/>
        <v>1+0.000827457679399411i</v>
      </c>
      <c r="AK30" s="98">
        <f t="shared" si="55"/>
        <v>1.000000342343047</v>
      </c>
      <c r="AL30" s="98">
        <f t="shared" si="56"/>
        <v>8.2745749054986741E-4</v>
      </c>
      <c r="AM30" s="98" t="str">
        <f t="shared" si="40"/>
        <v>1+0.82828513707881i</v>
      </c>
      <c r="AN30" s="98">
        <f t="shared" si="57"/>
        <v>1.2984822941825827</v>
      </c>
      <c r="AO30" s="98">
        <f t="shared" si="58"/>
        <v>0.69175160662923607</v>
      </c>
      <c r="AP30" s="168" t="str">
        <f t="shared" si="59"/>
        <v>-0.0993037127051316+0.120092876111743i</v>
      </c>
      <c r="AQ30" s="98">
        <f t="shared" si="60"/>
        <v>-16.146882484188648</v>
      </c>
      <c r="AR30" s="169">
        <f t="shared" si="61"/>
        <v>129.58703770931433</v>
      </c>
      <c r="AS30" s="168" t="str">
        <f t="shared" si="62"/>
        <v>29.7091309010058+52.8040408390355i</v>
      </c>
      <c r="AT30" s="190">
        <f t="shared" si="63"/>
        <v>35.647724578428353</v>
      </c>
      <c r="AU30" s="169">
        <f t="shared" si="64"/>
        <v>60.636594037213392</v>
      </c>
      <c r="AV30" s="225"/>
      <c r="AX30">
        <f t="shared" si="65"/>
        <v>0</v>
      </c>
      <c r="AY30">
        <f t="shared" si="66"/>
        <v>0</v>
      </c>
    </row>
    <row r="31" spans="1:51" x14ac:dyDescent="0.55000000000000004">
      <c r="A31" s="98" t="s">
        <v>236</v>
      </c>
      <c r="B31" s="207">
        <f>Gcomp</f>
        <v>0.14499999999999999</v>
      </c>
      <c r="C31" s="206"/>
      <c r="E31" s="98" t="s">
        <v>237</v>
      </c>
      <c r="N31" s="170">
        <v>13</v>
      </c>
      <c r="O31" s="199">
        <f t="shared" si="41"/>
        <v>13.489628825916535</v>
      </c>
      <c r="P31" s="189" t="str">
        <f t="shared" si="32"/>
        <v>1078.86904761905</v>
      </c>
      <c r="Q31" s="160" t="str">
        <f t="shared" si="33"/>
        <v>1+2.64868242619703i</v>
      </c>
      <c r="R31" s="160">
        <f t="shared" si="42"/>
        <v>2.8311691215547308</v>
      </c>
      <c r="S31" s="160">
        <f t="shared" si="43"/>
        <v>1.2097952374385603</v>
      </c>
      <c r="T31" s="160" t="str">
        <f t="shared" si="34"/>
        <v>1+0.0000016951567527661i</v>
      </c>
      <c r="U31" s="160">
        <f t="shared" si="44"/>
        <v>1.0000000000014366</v>
      </c>
      <c r="V31" s="160">
        <f t="shared" si="45"/>
        <v>1.6951567527644762E-6</v>
      </c>
      <c r="W31" s="98" t="str">
        <f t="shared" si="35"/>
        <v>1-0.00122600516987055i</v>
      </c>
      <c r="X31" s="160">
        <f t="shared" si="46"/>
        <v>1.0000007515440559</v>
      </c>
      <c r="Y31" s="160">
        <f t="shared" si="47"/>
        <v>-1.2260045556062745E-3</v>
      </c>
      <c r="Z31" s="98" t="str">
        <f t="shared" si="36"/>
        <v>0.99999967049328+0.0000973844797800521i</v>
      </c>
      <c r="AA31" s="160">
        <f t="shared" si="48"/>
        <v>0.99999967523514999</v>
      </c>
      <c r="AB31" s="160">
        <f t="shared" si="49"/>
        <v>9.7384511561046617E-5</v>
      </c>
      <c r="AC31" s="171" t="str">
        <f t="shared" si="50"/>
        <v>134.12637033473-356.684095765161i</v>
      </c>
      <c r="AD31" s="190">
        <f t="shared" si="51"/>
        <v>51.620067759521859</v>
      </c>
      <c r="AE31" s="169">
        <f t="shared" si="52"/>
        <v>-69.391888663131766</v>
      </c>
      <c r="AF31" s="98" t="str">
        <f t="shared" si="37"/>
        <v>-9.95024875621891E-06</v>
      </c>
      <c r="AG31" s="98" t="str">
        <f t="shared" si="38"/>
        <v>0.0000848425954759433i</v>
      </c>
      <c r="AH31" s="98">
        <f t="shared" si="53"/>
        <v>8.4842595475943306E-5</v>
      </c>
      <c r="AI31" s="98">
        <f t="shared" si="54"/>
        <v>1.5707963267948966</v>
      </c>
      <c r="AJ31" s="98" t="str">
        <f t="shared" si="39"/>
        <v>1+0.000846731644738312i</v>
      </c>
      <c r="AK31" s="98">
        <f t="shared" si="55"/>
        <v>1.0000003584771748</v>
      </c>
      <c r="AL31" s="98">
        <f t="shared" si="56"/>
        <v>8.4673144238238418E-4</v>
      </c>
      <c r="AM31" s="98" t="str">
        <f t="shared" si="40"/>
        <v>1+0.84757837638305i</v>
      </c>
      <c r="AN31" s="98">
        <f t="shared" si="57"/>
        <v>1.3108734126955688</v>
      </c>
      <c r="AO31" s="98">
        <f t="shared" si="58"/>
        <v>0.70308650586322563</v>
      </c>
      <c r="AP31" s="168" t="str">
        <f t="shared" si="59"/>
        <v>-0.0993037095007752+0.117363012890531i</v>
      </c>
      <c r="AQ31" s="98">
        <f t="shared" si="60"/>
        <v>-16.264388162847617</v>
      </c>
      <c r="AR31" s="169">
        <f t="shared" si="61"/>
        <v>130.2353752805333</v>
      </c>
      <c r="AS31" s="168" t="str">
        <f t="shared" si="62"/>
        <v>28.5422740130206+51.1615287599653i</v>
      </c>
      <c r="AT31" s="190">
        <f t="shared" si="63"/>
        <v>35.35567959667425</v>
      </c>
      <c r="AU31" s="169">
        <f t="shared" si="64"/>
        <v>60.843486617401524</v>
      </c>
      <c r="AV31" s="225"/>
      <c r="AX31">
        <f t="shared" si="65"/>
        <v>0</v>
      </c>
      <c r="AY31">
        <f t="shared" si="66"/>
        <v>0</v>
      </c>
    </row>
    <row r="32" spans="1:51" x14ac:dyDescent="0.55000000000000004">
      <c r="N32" s="170">
        <v>14</v>
      </c>
      <c r="O32" s="199">
        <f t="shared" si="41"/>
        <v>13.803842646028857</v>
      </c>
      <c r="P32" s="189" t="str">
        <f t="shared" si="32"/>
        <v>1078.86904761905</v>
      </c>
      <c r="Q32" s="160" t="str">
        <f t="shared" si="33"/>
        <v>1+2.71037816550461i</v>
      </c>
      <c r="R32" s="160">
        <f t="shared" si="42"/>
        <v>2.8889703702260663</v>
      </c>
      <c r="S32" s="160">
        <f t="shared" si="43"/>
        <v>1.2173383465632128</v>
      </c>
      <c r="T32" s="160" t="str">
        <f t="shared" si="34"/>
        <v>1+1.73464202592295E-06i</v>
      </c>
      <c r="U32" s="160">
        <f t="shared" si="44"/>
        <v>1.0000000000015046</v>
      </c>
      <c r="V32" s="160">
        <f t="shared" si="45"/>
        <v>1.7346420259212101E-6</v>
      </c>
      <c r="W32" s="98" t="str">
        <f t="shared" si="35"/>
        <v>1-0.00125456249882852i</v>
      </c>
      <c r="X32" s="160">
        <f t="shared" si="46"/>
        <v>1.0000007869632221</v>
      </c>
      <c r="Y32" s="160">
        <f t="shared" si="47"/>
        <v>-1.2545618406325184E-3</v>
      </c>
      <c r="Z32" s="98" t="str">
        <f t="shared" si="36"/>
        <v>0.999999654964107+0.0000996528557158342i</v>
      </c>
      <c r="AA32" s="160">
        <f t="shared" si="48"/>
        <v>0.99999965992945461</v>
      </c>
      <c r="AB32" s="160">
        <f t="shared" si="49"/>
        <v>9.9652889769783853E-5</v>
      </c>
      <c r="AC32" s="171" t="str">
        <f t="shared" si="50"/>
        <v>128.791652914957-350.533234064484i</v>
      </c>
      <c r="AD32" s="190">
        <f t="shared" si="51"/>
        <v>51.444522706273233</v>
      </c>
      <c r="AE32" s="169">
        <f t="shared" si="52"/>
        <v>-69.825840898445492</v>
      </c>
      <c r="AF32" s="98" t="str">
        <f t="shared" si="37"/>
        <v>-9.95024875621891E-06</v>
      </c>
      <c r="AG32" s="98" t="str">
        <f t="shared" si="38"/>
        <v>0.0000868188333974437i</v>
      </c>
      <c r="AH32" s="98">
        <f t="shared" si="53"/>
        <v>8.6818833397443702E-5</v>
      </c>
      <c r="AI32" s="98">
        <f t="shared" si="54"/>
        <v>1.5707963267948966</v>
      </c>
      <c r="AJ32" s="98" t="str">
        <f t="shared" si="39"/>
        <v>1+0.000866454558403072i</v>
      </c>
      <c r="AK32" s="98">
        <f t="shared" si="55"/>
        <v>1.0000003753716804</v>
      </c>
      <c r="AL32" s="98">
        <f t="shared" si="56"/>
        <v>8.664543415747932E-4</v>
      </c>
      <c r="AM32" s="98" t="str">
        <f t="shared" si="40"/>
        <v>1+0.867321012961475i</v>
      </c>
      <c r="AN32" s="98">
        <f t="shared" si="57"/>
        <v>1.3237241931476962</v>
      </c>
      <c r="AO32" s="98">
        <f t="shared" si="58"/>
        <v>0.71446425253329238</v>
      </c>
      <c r="AP32" s="168" t="str">
        <f t="shared" si="59"/>
        <v>-0.0993037061454022+0.11469537709198i</v>
      </c>
      <c r="AQ32" s="98">
        <f t="shared" si="60"/>
        <v>-16.379653285344165</v>
      </c>
      <c r="AR32" s="169">
        <f t="shared" si="61"/>
        <v>130.88614210621367</v>
      </c>
      <c r="AS32" s="168" t="str">
        <f t="shared" si="62"/>
        <v>27.4150530092498+49.5810564671174i</v>
      </c>
      <c r="AT32" s="190">
        <f t="shared" si="63"/>
        <v>35.064869420929071</v>
      </c>
      <c r="AU32" s="169">
        <f t="shared" si="64"/>
        <v>61.060301207768156</v>
      </c>
      <c r="AV32" s="225"/>
      <c r="AX32">
        <f t="shared" si="65"/>
        <v>0</v>
      </c>
      <c r="AY32">
        <f t="shared" si="66"/>
        <v>0</v>
      </c>
    </row>
    <row r="33" spans="1:51" x14ac:dyDescent="0.55000000000000004">
      <c r="N33" s="170">
        <v>15</v>
      </c>
      <c r="O33" s="199">
        <f t="shared" si="41"/>
        <v>14.125375446227544</v>
      </c>
      <c r="P33" s="189" t="str">
        <f t="shared" si="32"/>
        <v>1078.86904761905</v>
      </c>
      <c r="Q33" s="160" t="str">
        <f t="shared" si="33"/>
        <v>1+2.77351098319163i</v>
      </c>
      <c r="R33" s="160">
        <f t="shared" si="42"/>
        <v>2.9482813932670342</v>
      </c>
      <c r="S33" s="160">
        <f t="shared" si="43"/>
        <v>1.224750546582094</v>
      </c>
      <c r="T33" s="160" t="str">
        <f t="shared" si="34"/>
        <v>1+1.77504702924264E-06i</v>
      </c>
      <c r="U33" s="160">
        <f t="shared" si="44"/>
        <v>1.0000000000015754</v>
      </c>
      <c r="V33" s="160">
        <f t="shared" si="45"/>
        <v>1.7750470292407757E-6</v>
      </c>
      <c r="W33" s="98" t="str">
        <f t="shared" si="35"/>
        <v>1-0.00128378501342945i</v>
      </c>
      <c r="X33" s="160">
        <f t="shared" si="46"/>
        <v>1.0000008240516407</v>
      </c>
      <c r="Y33" s="160">
        <f t="shared" si="47"/>
        <v>-1.283784308159759E-3</v>
      </c>
      <c r="Z33" s="98" t="str">
        <f t="shared" si="36"/>
        <v>0.999999638703067+0.000101974068914778i</v>
      </c>
      <c r="AA33" s="160">
        <f t="shared" si="48"/>
        <v>0.99999964390242424</v>
      </c>
      <c r="AB33" s="160">
        <f t="shared" si="49"/>
        <v>1.01974105404243E-4</v>
      </c>
      <c r="AC33" s="171" t="str">
        <f t="shared" si="50"/>
        <v>123.640491220137-344.411398468297i</v>
      </c>
      <c r="AD33" s="190">
        <f t="shared" si="51"/>
        <v>51.268006289017379</v>
      </c>
      <c r="AE33" s="169">
        <f t="shared" si="52"/>
        <v>-70.252333681313459</v>
      </c>
      <c r="AF33" s="98" t="str">
        <f t="shared" si="37"/>
        <v>-9.95024875621891E-06</v>
      </c>
      <c r="AG33" s="98" t="str">
        <f t="shared" si="38"/>
        <v>0.0000888411038135943i</v>
      </c>
      <c r="AH33" s="98">
        <f t="shared" si="53"/>
        <v>8.8841103813594303E-5</v>
      </c>
      <c r="AI33" s="98">
        <f t="shared" si="54"/>
        <v>1.5707963267948966</v>
      </c>
      <c r="AJ33" s="98" t="str">
        <f t="shared" si="39"/>
        <v>1+0.000886636877743578i</v>
      </c>
      <c r="AK33" s="98">
        <f t="shared" si="55"/>
        <v>1.0000003930623993</v>
      </c>
      <c r="AL33" s="98">
        <f t="shared" si="56"/>
        <v>8.8663664540789629E-4</v>
      </c>
      <c r="AM33" s="98" t="str">
        <f t="shared" si="40"/>
        <v>1+0.887523514621322i</v>
      </c>
      <c r="AN33" s="98">
        <f t="shared" si="57"/>
        <v>1.3370482373518855</v>
      </c>
      <c r="AO33" s="98">
        <f t="shared" si="58"/>
        <v>0.72587909705173403</v>
      </c>
      <c r="AP33" s="168" t="str">
        <f t="shared" si="59"/>
        <v>-0.0993037026318958+0.112088554300263i</v>
      </c>
      <c r="AQ33" s="98">
        <f t="shared" si="60"/>
        <v>-16.492662049937103</v>
      </c>
      <c r="AR33" s="169">
        <f t="shared" si="61"/>
        <v>131.53900816008772</v>
      </c>
      <c r="AS33" s="168" t="str">
        <f t="shared" si="62"/>
        <v>26.3266171654572+48.0600110103707i</v>
      </c>
      <c r="AT33" s="190">
        <f t="shared" si="63"/>
        <v>34.775344239080283</v>
      </c>
      <c r="AU33" s="169">
        <f t="shared" si="64"/>
        <v>61.286674478774337</v>
      </c>
      <c r="AV33" s="225"/>
      <c r="AX33">
        <f t="shared" si="65"/>
        <v>0</v>
      </c>
      <c r="AY33">
        <f t="shared" si="66"/>
        <v>0</v>
      </c>
    </row>
    <row r="34" spans="1:51" x14ac:dyDescent="0.55000000000000004">
      <c r="N34" s="170">
        <v>16</v>
      </c>
      <c r="O34" s="199">
        <f t="shared" si="41"/>
        <v>14.454397707459275</v>
      </c>
      <c r="P34" s="189" t="str">
        <f t="shared" si="32"/>
        <v>1078.86904761905</v>
      </c>
      <c r="Q34" s="160" t="str">
        <f t="shared" si="33"/>
        <v>1+2.8381143531137i</v>
      </c>
      <c r="R34" s="160">
        <f t="shared" si="42"/>
        <v>3.0091349390397895</v>
      </c>
      <c r="S34" s="160">
        <f t="shared" si="43"/>
        <v>1.232032508713427</v>
      </c>
      <c r="T34" s="160" t="str">
        <f t="shared" si="34"/>
        <v>1+1.81639318599277E-06i</v>
      </c>
      <c r="U34" s="160">
        <f t="shared" si="44"/>
        <v>1.0000000000016498</v>
      </c>
      <c r="V34" s="160">
        <f t="shared" si="45"/>
        <v>1.8163931859907726E-6</v>
      </c>
      <c r="W34" s="98" t="str">
        <f t="shared" si="35"/>
        <v>1-0.00131368820783741i</v>
      </c>
      <c r="X34" s="160">
        <f t="shared" si="46"/>
        <v>1.0000008628879813</v>
      </c>
      <c r="Y34" s="160">
        <f t="shared" si="47"/>
        <v>-1.3136874521273558E-3</v>
      </c>
      <c r="Z34" s="98" t="str">
        <f t="shared" si="36"/>
        <v>0.999999621675667+0.000104349350114847i</v>
      </c>
      <c r="AA34" s="160">
        <f t="shared" si="48"/>
        <v>0.99999962712006252</v>
      </c>
      <c r="AB34" s="160">
        <f t="shared" si="49"/>
        <v>1.0434938921401383E-4</v>
      </c>
      <c r="AC34" s="171" t="str">
        <f t="shared" si="50"/>
        <v>118.668755541695-338.323416152547i</v>
      </c>
      <c r="AD34" s="190">
        <f t="shared" si="51"/>
        <v>51.090552138055109</v>
      </c>
      <c r="AE34" s="169">
        <f t="shared" si="52"/>
        <v>-70.671406426733668</v>
      </c>
      <c r="AF34" s="98" t="str">
        <f t="shared" si="37"/>
        <v>-9.95024875621891E-06</v>
      </c>
      <c r="AG34" s="98" t="str">
        <f t="shared" si="38"/>
        <v>0.0000909104789589381i</v>
      </c>
      <c r="AH34" s="98">
        <f t="shared" si="53"/>
        <v>9.0910478958938098E-5</v>
      </c>
      <c r="AI34" s="98">
        <f t="shared" si="54"/>
        <v>1.5707963267948966</v>
      </c>
      <c r="AJ34" s="98" t="str">
        <f t="shared" si="39"/>
        <v>1+0.000907289303692691i</v>
      </c>
      <c r="AK34" s="98">
        <f t="shared" si="55"/>
        <v>1.0000004115868557</v>
      </c>
      <c r="AL34" s="98">
        <f t="shared" si="56"/>
        <v>9.0728905474052833E-4</v>
      </c>
      <c r="AM34" s="98" t="str">
        <f t="shared" si="40"/>
        <v>1+0.908196592996384i</v>
      </c>
      <c r="AN34" s="98">
        <f t="shared" si="57"/>
        <v>1.3508593751868623</v>
      </c>
      <c r="AO34" s="98">
        <f t="shared" si="58"/>
        <v>0.7373251939247355</v>
      </c>
      <c r="AP34" s="168" t="str">
        <f t="shared" si="59"/>
        <v>-0.099303698952803+0.109541162343408i</v>
      </c>
      <c r="AQ34" s="98">
        <f t="shared" si="60"/>
        <v>-16.603400902750664</v>
      </c>
      <c r="AR34" s="169">
        <f t="shared" si="61"/>
        <v>132.19363790691722</v>
      </c>
      <c r="AS34" s="168" t="str">
        <f t="shared" si="62"/>
        <v>25.2760938779263+46.5958800821794i</v>
      </c>
      <c r="AT34" s="190">
        <f t="shared" si="63"/>
        <v>34.487151235304438</v>
      </c>
      <c r="AU34" s="169">
        <f t="shared" si="64"/>
        <v>61.522231480183564</v>
      </c>
      <c r="AV34" s="225"/>
      <c r="AX34">
        <f t="shared" si="65"/>
        <v>0</v>
      </c>
      <c r="AY34">
        <f t="shared" si="66"/>
        <v>0</v>
      </c>
    </row>
    <row r="35" spans="1:51" x14ac:dyDescent="0.55000000000000004">
      <c r="A35" s="98" t="s">
        <v>235</v>
      </c>
      <c r="B35" s="208">
        <f>IF(Dc_Mode_Loop="CCM",(Gcomp*(VIN_var/VOUT)*(VOUT/IOUT))/(2*R_cs*Acs),K35*K37)</f>
        <v>1078.8690476190475</v>
      </c>
      <c r="C35" s="98" t="s">
        <v>180</v>
      </c>
      <c r="E35" s="98" t="s">
        <v>239</v>
      </c>
      <c r="J35" s="98" t="s">
        <v>546</v>
      </c>
      <c r="K35" s="98">
        <f>Fsw/((1+B45/B46)*B46)</f>
        <v>8.2817343748233903</v>
      </c>
      <c r="N35" s="170">
        <v>17</v>
      </c>
      <c r="O35" s="199">
        <f t="shared" si="41"/>
        <v>14.791083881682074</v>
      </c>
      <c r="P35" s="189" t="str">
        <f t="shared" si="32"/>
        <v>1078.86904761905</v>
      </c>
      <c r="Q35" s="160" t="str">
        <f t="shared" si="33"/>
        <v>1+2.90422252883267i</v>
      </c>
      <c r="R35" s="160">
        <f t="shared" si="42"/>
        <v>3.0715645031448107</v>
      </c>
      <c r="S35" s="160">
        <f t="shared" si="43"/>
        <v>1.2391850038715246</v>
      </c>
      <c r="T35" s="160" t="str">
        <f t="shared" si="34"/>
        <v>1+1.85870241845291E-06i</v>
      </c>
      <c r="U35" s="160">
        <f t="shared" si="44"/>
        <v>1.0000000000017275</v>
      </c>
      <c r="V35" s="160">
        <f t="shared" si="45"/>
        <v>1.8587024184507695E-6</v>
      </c>
      <c r="W35" s="98" t="str">
        <f t="shared" si="35"/>
        <v>1-0.00134428793712188i</v>
      </c>
      <c r="X35" s="160">
        <f t="shared" si="46"/>
        <v>1.0000009035546207</v>
      </c>
      <c r="Y35" s="160">
        <f t="shared" si="47"/>
        <v>-1.3442871273640074E-3</v>
      </c>
      <c r="Z35" s="98" t="str">
        <f t="shared" si="36"/>
        <v>0.99999960384579+0.000106779958721574i</v>
      </c>
      <c r="AA35" s="160">
        <f t="shared" si="48"/>
        <v>0.99999960954677214</v>
      </c>
      <c r="AB35" s="160">
        <f t="shared" si="49"/>
        <v>1.0678000061708688E-4</v>
      </c>
      <c r="AC35" s="171" t="str">
        <f t="shared" si="50"/>
        <v>113.872231620733-332.273808071186i</v>
      </c>
      <c r="AD35" s="190">
        <f t="shared" si="51"/>
        <v>50.912193110434821</v>
      </c>
      <c r="AE35" s="169">
        <f t="shared" si="52"/>
        <v>-71.083104284160555</v>
      </c>
      <c r="AF35" s="98" t="str">
        <f t="shared" si="37"/>
        <v>-9.95024875621891E-06</v>
      </c>
      <c r="AG35" s="98" t="str">
        <f t="shared" si="38"/>
        <v>0.0000930280560435683i</v>
      </c>
      <c r="AH35" s="98">
        <f t="shared" si="53"/>
        <v>9.3028056043568296E-5</v>
      </c>
      <c r="AI35" s="98">
        <f t="shared" si="54"/>
        <v>1.5707963267948966</v>
      </c>
      <c r="AJ35" s="98" t="str">
        <f t="shared" si="39"/>
        <v>1+0.000928422786440016i</v>
      </c>
      <c r="AK35" s="98">
        <f t="shared" si="55"/>
        <v>1.0000004309843422</v>
      </c>
      <c r="AL35" s="98">
        <f t="shared" si="56"/>
        <v>9.2842251968297377E-4</v>
      </c>
      <c r="AM35" s="98" t="str">
        <f t="shared" si="40"/>
        <v>1+0.929351209226456i</v>
      </c>
      <c r="AN35" s="98">
        <f t="shared" si="57"/>
        <v>1.3651716632316524</v>
      </c>
      <c r="AO35" s="98">
        <f t="shared" si="58"/>
        <v>0.74879661628008987</v>
      </c>
      <c r="AP35" s="168" t="str">
        <f t="shared" si="59"/>
        <v>-0.0993036951003204+0.107051850560463i</v>
      </c>
      <c r="AQ35" s="98">
        <f t="shared" si="60"/>
        <v>-16.711858593733087</v>
      </c>
      <c r="AR35" s="169">
        <f t="shared" si="61"/>
        <v>132.84969113454321</v>
      </c>
      <c r="AS35" s="168" t="str">
        <f t="shared" si="62"/>
        <v>24.2625926775342+45.1862500489726i</v>
      </c>
      <c r="AT35" s="190">
        <f t="shared" si="63"/>
        <v>34.20033451670173</v>
      </c>
      <c r="AU35" s="169">
        <f t="shared" si="64"/>
        <v>61.766586850382701</v>
      </c>
      <c r="AV35" s="225"/>
      <c r="AX35">
        <f t="shared" si="65"/>
        <v>0</v>
      </c>
      <c r="AY35">
        <f t="shared" si="66"/>
        <v>0</v>
      </c>
    </row>
    <row r="36" spans="1:51" x14ac:dyDescent="0.55000000000000004">
      <c r="A36" s="98" t="s">
        <v>252</v>
      </c>
      <c r="B36" s="209">
        <f>IF(Dc_Mode_Loop="CCM",2/(Cout*(VOUT/IOUT)),(2*B20/B17-1)/(Cout*(VOUT/IOUT)*(B20/B17-1)))</f>
        <v>32</v>
      </c>
      <c r="C36" s="98" t="s">
        <v>251</v>
      </c>
      <c r="E36" s="98" t="s">
        <v>242</v>
      </c>
      <c r="J36" s="98" t="s">
        <v>547</v>
      </c>
      <c r="K36" s="98">
        <f>(1+SQRT(1+2*(Dc_DCM_VIN_nom^2)/K38))/2</f>
        <v>10.5</v>
      </c>
      <c r="N36" s="170">
        <v>18</v>
      </c>
      <c r="O36" s="199">
        <f t="shared" si="41"/>
        <v>15.135612484362087</v>
      </c>
      <c r="P36" s="189" t="str">
        <f t="shared" si="32"/>
        <v>1078.86904761905</v>
      </c>
      <c r="Q36" s="160" t="str">
        <f t="shared" si="33"/>
        <v>1+2.97187056177837i</v>
      </c>
      <c r="R36" s="160">
        <f t="shared" si="42"/>
        <v>3.135604349398196</v>
      </c>
      <c r="S36" s="160">
        <f t="shared" si="43"/>
        <v>1.2462088962020499</v>
      </c>
      <c r="T36" s="160" t="str">
        <f t="shared" si="34"/>
        <v>1+1.90199715953816E-06i</v>
      </c>
      <c r="U36" s="160">
        <f t="shared" si="44"/>
        <v>1.0000000000018088</v>
      </c>
      <c r="V36" s="160">
        <f t="shared" si="45"/>
        <v>1.9019971595358664E-6</v>
      </c>
      <c r="W36" s="98" t="str">
        <f t="shared" si="35"/>
        <v>1-0.00137560042566438i</v>
      </c>
      <c r="X36" s="160">
        <f t="shared" si="46"/>
        <v>1.0000009461378179</v>
      </c>
      <c r="Y36" s="160">
        <f t="shared" si="47"/>
        <v>-1.3755995579932314E-3</v>
      </c>
      <c r="Z36" s="98" t="str">
        <f t="shared" si="36"/>
        <v>0.999999585175617+0.000109267183475815i</v>
      </c>
      <c r="AA36" s="160">
        <f t="shared" si="48"/>
        <v>0.99999959114527825</v>
      </c>
      <c r="AB36" s="160">
        <f t="shared" si="49"/>
        <v>1.0926722836766669E-4</v>
      </c>
      <c r="AC36" s="171" t="str">
        <f t="shared" si="50"/>
        <v>109.246638536465-326.266795431008i</v>
      </c>
      <c r="AD36" s="190">
        <f t="shared" si="51"/>
        <v>50.73296127596285</v>
      </c>
      <c r="AE36" s="169">
        <f t="shared" si="52"/>
        <v>-71.487477767622053</v>
      </c>
      <c r="AF36" s="98" t="str">
        <f t="shared" si="37"/>
        <v>-9.95024875621891E-06</v>
      </c>
      <c r="AG36" s="98" t="str">
        <f t="shared" si="38"/>
        <v>0.0000951949578348847i</v>
      </c>
      <c r="AH36" s="98">
        <f t="shared" si="53"/>
        <v>9.5194957834884701E-5</v>
      </c>
      <c r="AI36" s="98">
        <f t="shared" si="54"/>
        <v>1.5707963267948966</v>
      </c>
      <c r="AJ36" s="98" t="str">
        <f t="shared" si="39"/>
        <v>1+0.00095004853123784i</v>
      </c>
      <c r="AK36" s="98">
        <f t="shared" si="55"/>
        <v>1.0000004512960039</v>
      </c>
      <c r="AL36" s="98">
        <f t="shared" si="56"/>
        <v>9.5004824540252642E-4</v>
      </c>
      <c r="AM36" s="98" t="str">
        <f t="shared" si="40"/>
        <v>1+0.950998579769078i</v>
      </c>
      <c r="AN36" s="98">
        <f t="shared" si="57"/>
        <v>1.379999383595081</v>
      </c>
      <c r="AO36" s="98">
        <f t="shared" si="58"/>
        <v>0.76028737090733967</v>
      </c>
      <c r="AP36" s="168" t="str">
        <f t="shared" si="59"/>
        <v>-0.0993036910662762+0.104619299085345i</v>
      </c>
      <c r="AQ36" s="98">
        <f t="shared" si="60"/>
        <v>-16.81802622348971</v>
      </c>
      <c r="AR36" s="169">
        <f t="shared" si="61"/>
        <v>133.50682381529268</v>
      </c>
      <c r="AS36" s="168" t="str">
        <f t="shared" si="62"/>
        <v>23.2852090095594+43.8288038097798i</v>
      </c>
      <c r="AT36" s="190">
        <f t="shared" si="63"/>
        <v>33.91493505247314</v>
      </c>
      <c r="AU36" s="169">
        <f t="shared" si="64"/>
        <v>62.019346047670659</v>
      </c>
      <c r="AV36" s="225"/>
      <c r="AX36">
        <f t="shared" si="65"/>
        <v>0</v>
      </c>
      <c r="AY36">
        <f t="shared" si="66"/>
        <v>0</v>
      </c>
    </row>
    <row r="37" spans="1:51" x14ac:dyDescent="0.55000000000000004">
      <c r="B37" s="210">
        <f>wp_lf/(2*PI())</f>
        <v>5.0929581789406511</v>
      </c>
      <c r="C37" s="98" t="s">
        <v>69</v>
      </c>
      <c r="J37" s="98" t="s">
        <v>548</v>
      </c>
      <c r="K37" s="98">
        <f>2*VOUT/Dc_DCM_VIN_nom*(K36-1)/(2*K36-1)</f>
        <v>179.86870319543092</v>
      </c>
      <c r="N37" s="170">
        <v>19</v>
      </c>
      <c r="O37" s="199">
        <f t="shared" si="41"/>
        <v>15.488166189124817</v>
      </c>
      <c r="P37" s="189" t="str">
        <f t="shared" si="32"/>
        <v>1078.86904761905</v>
      </c>
      <c r="Q37" s="160" t="str">
        <f t="shared" si="33"/>
        <v>1+3.04109431983327i</v>
      </c>
      <c r="R37" s="160">
        <f t="shared" si="42"/>
        <v>3.2012895311299441</v>
      </c>
      <c r="S37" s="160">
        <f t="shared" si="43"/>
        <v>1.2531051367639461</v>
      </c>
      <c r="T37" s="160" t="str">
        <f t="shared" si="34"/>
        <v>1+1.94630036469329E-06i</v>
      </c>
      <c r="U37" s="160">
        <f t="shared" si="44"/>
        <v>1.000000000001894</v>
      </c>
      <c r="V37" s="160">
        <f t="shared" si="45"/>
        <v>1.9463003646908324E-6</v>
      </c>
      <c r="W37" s="98" t="str">
        <f t="shared" si="35"/>
        <v>1-0.00140764227576078i</v>
      </c>
      <c r="X37" s="160">
        <f t="shared" si="46"/>
        <v>1.0000009907278975</v>
      </c>
      <c r="Y37" s="160">
        <f t="shared" si="47"/>
        <v>-1.4076413460344433E-3</v>
      </c>
      <c r="Z37" s="98" t="str">
        <f t="shared" si="36"/>
        <v>0.999999565625547+0.000111812343137057i</v>
      </c>
      <c r="AA37" s="160">
        <f t="shared" si="48"/>
        <v>0.99999957187654986</v>
      </c>
      <c r="AB37" s="160">
        <f t="shared" si="49"/>
        <v>1.1181239123954356E-4</v>
      </c>
      <c r="AC37" s="171" t="str">
        <f t="shared" si="50"/>
        <v>104.787645478034-320.306306949738i</v>
      </c>
      <c r="AD37" s="190">
        <f t="shared" si="51"/>
        <v>50.552887906425653</v>
      </c>
      <c r="AE37" s="169">
        <f t="shared" si="52"/>
        <v>-71.884582394252547</v>
      </c>
      <c r="AF37" s="98" t="str">
        <f t="shared" si="37"/>
        <v>-9.95024875621891E-06</v>
      </c>
      <c r="AG37" s="98" t="str">
        <f t="shared" si="38"/>
        <v>0.0000974123332528994i</v>
      </c>
      <c r="AH37" s="98">
        <f t="shared" si="53"/>
        <v>9.7412333252899406E-5</v>
      </c>
      <c r="AI37" s="98">
        <f t="shared" si="54"/>
        <v>1.5707963267948966</v>
      </c>
      <c r="AJ37" s="98" t="str">
        <f t="shared" si="39"/>
        <v>1+0.000972178004342305i</v>
      </c>
      <c r="AK37" s="98">
        <f t="shared" si="55"/>
        <v>1.0000004725649245</v>
      </c>
      <c r="AL37" s="98">
        <f t="shared" si="56"/>
        <v>9.7217769806425621E-4</v>
      </c>
      <c r="AM37" s="98" t="str">
        <f t="shared" si="40"/>
        <v>1+0.973150182346647i</v>
      </c>
      <c r="AN37" s="98">
        <f t="shared" si="57"/>
        <v>1.3953570429826598</v>
      </c>
      <c r="AO37" s="98">
        <f t="shared" si="58"/>
        <v>0.7717914137192895</v>
      </c>
      <c r="AP37" s="168" t="str">
        <f t="shared" si="59"/>
        <v>-0.0993036868421136+0.102242218147042i</v>
      </c>
      <c r="AQ37" s="98">
        <f t="shared" si="60"/>
        <v>-16.921897280577088</v>
      </c>
      <c r="AR37" s="169">
        <f t="shared" si="61"/>
        <v>134.16468899151468</v>
      </c>
      <c r="AS37" s="168" t="str">
        <f t="shared" si="62"/>
        <v>22.3430277775554+42.5213185069707i</v>
      </c>
      <c r="AT37" s="190">
        <f t="shared" si="63"/>
        <v>33.630990625848568</v>
      </c>
      <c r="AU37" s="169">
        <f t="shared" si="64"/>
        <v>62.280106597262105</v>
      </c>
      <c r="AV37" s="225"/>
      <c r="AX37">
        <f t="shared" si="65"/>
        <v>0</v>
      </c>
      <c r="AY37">
        <f t="shared" si="66"/>
        <v>0</v>
      </c>
    </row>
    <row r="38" spans="1:51" x14ac:dyDescent="0.55000000000000004">
      <c r="B38" s="211"/>
      <c r="C38" s="98" t="s">
        <v>275</v>
      </c>
      <c r="E38" s="98" t="s">
        <v>274</v>
      </c>
      <c r="J38" s="98" t="s">
        <v>549</v>
      </c>
      <c r="K38" s="98">
        <f>(Lm*Fsw/(VOUT/IOUT))</f>
        <v>6.1663999999999998E-3</v>
      </c>
      <c r="N38" s="170">
        <v>20</v>
      </c>
      <c r="O38" s="199">
        <f t="shared" si="41"/>
        <v>15.848931924611136</v>
      </c>
      <c r="P38" s="189" t="str">
        <f t="shared" si="32"/>
        <v>1078.86904761905</v>
      </c>
      <c r="Q38" s="160" t="str">
        <f t="shared" si="33"/>
        <v>1+3.11193050635019i</v>
      </c>
      <c r="R38" s="160">
        <f t="shared" si="42"/>
        <v>3.2686559128107917</v>
      </c>
      <c r="S38" s="160">
        <f t="shared" si="43"/>
        <v>1.2598747573735485</v>
      </c>
      <c r="T38" s="160" t="str">
        <f t="shared" si="34"/>
        <v>1+1.99163552406412E-06i</v>
      </c>
      <c r="U38" s="160">
        <f t="shared" si="44"/>
        <v>1.0000000000019833</v>
      </c>
      <c r="V38" s="160">
        <f t="shared" si="45"/>
        <v>1.9916355240614868E-6</v>
      </c>
      <c r="W38" s="98" t="str">
        <f t="shared" si="35"/>
        <v>1-0.00144043047642414i</v>
      </c>
      <c r="X38" s="160">
        <f t="shared" si="46"/>
        <v>1.0000010374194406</v>
      </c>
      <c r="Y38" s="160">
        <f t="shared" si="47"/>
        <v>-1.4404294802044775E-3</v>
      </c>
      <c r="Z38" s="98" t="str">
        <f t="shared" si="36"/>
        <v>0.999999545154109+0.000114416787182641i</v>
      </c>
      <c r="AA38" s="160">
        <f t="shared" si="48"/>
        <v>0.99999955169971255</v>
      </c>
      <c r="AB38" s="160">
        <f t="shared" si="49"/>
        <v>1.1441683872538509E-4</v>
      </c>
      <c r="AC38" s="171" t="str">
        <f t="shared" si="50"/>
        <v>100.490887401383-314.395986783711i</v>
      </c>
      <c r="AD38" s="190">
        <f t="shared" si="51"/>
        <v>50.372003467815659</v>
      </c>
      <c r="AE38" s="169">
        <f t="shared" si="52"/>
        <v>-72.274478332129249</v>
      </c>
      <c r="AF38" s="98" t="str">
        <f t="shared" si="37"/>
        <v>-9.95024875621891E-06</v>
      </c>
      <c r="AG38" s="98" t="str">
        <f t="shared" si="38"/>
        <v>0.0000996813579794094i</v>
      </c>
      <c r="AH38" s="98">
        <f t="shared" si="53"/>
        <v>9.9681357979409404E-5</v>
      </c>
      <c r="AI38" s="98">
        <f t="shared" si="54"/>
        <v>1.5707963267948966</v>
      </c>
      <c r="AJ38" s="98" t="str">
        <f t="shared" si="39"/>
        <v>1+0.000994822939092969i</v>
      </c>
      <c r="AK38" s="98">
        <f t="shared" si="55"/>
        <v>1.0000004948362178</v>
      </c>
      <c r="AL38" s="98">
        <f t="shared" si="56"/>
        <v>9.9482261091013565E-4</v>
      </c>
      <c r="AM38" s="98" t="str">
        <f t="shared" si="40"/>
        <v>1+0.995817762032062i</v>
      </c>
      <c r="AN38" s="98">
        <f t="shared" si="57"/>
        <v>1.4112593720427669</v>
      </c>
      <c r="AO38" s="98">
        <f t="shared" si="58"/>
        <v>0.78330266553890604</v>
      </c>
      <c r="AP38" s="168" t="str">
        <f t="shared" si="59"/>
        <v>-0.0993036824188729+0.0999193473857493i</v>
      </c>
      <c r="AQ38" s="98">
        <f t="shared" si="60"/>
        <v>-17.023467668929978</v>
      </c>
      <c r="AR38" s="169">
        <f t="shared" si="61"/>
        <v>134.82293767975742</v>
      </c>
      <c r="AS38" s="168" t="str">
        <f t="shared" si="62"/>
        <v>21.4351266516294+41.2616631126988i</v>
      </c>
      <c r="AT38" s="190">
        <f t="shared" si="63"/>
        <v>33.348535798885671</v>
      </c>
      <c r="AU38" s="169">
        <f t="shared" si="64"/>
        <v>62.548459347628196</v>
      </c>
      <c r="AV38" s="225"/>
      <c r="AX38">
        <f t="shared" si="65"/>
        <v>0</v>
      </c>
      <c r="AY38">
        <f t="shared" si="66"/>
        <v>0</v>
      </c>
    </row>
    <row r="39" spans="1:51" x14ac:dyDescent="0.55000000000000004">
      <c r="A39" s="98" t="s">
        <v>253</v>
      </c>
      <c r="B39" s="209">
        <f>((VOUT/IOUT)*((VIN_var/VOUT)^2))/(Lm)</f>
        <v>69133.344394668427</v>
      </c>
      <c r="C39" s="98" t="s">
        <v>251</v>
      </c>
      <c r="E39" s="98" t="s">
        <v>243</v>
      </c>
      <c r="N39" s="170">
        <v>21</v>
      </c>
      <c r="O39" s="199">
        <f t="shared" si="41"/>
        <v>16.218100973589298</v>
      </c>
      <c r="P39" s="189" t="str">
        <f t="shared" si="32"/>
        <v>1078.86904761905</v>
      </c>
      <c r="Q39" s="160" t="str">
        <f t="shared" si="33"/>
        <v>1+3.18441667961284i</v>
      </c>
      <c r="R39" s="160">
        <f t="shared" si="42"/>
        <v>3.3377401920156191</v>
      </c>
      <c r="S39" s="160">
        <f t="shared" si="43"/>
        <v>1.2665188646239802</v>
      </c>
      <c r="T39" s="160" t="str">
        <f t="shared" si="34"/>
        <v>1+2.03802667495222E-06i</v>
      </c>
      <c r="U39" s="160">
        <f t="shared" si="44"/>
        <v>1.0000000000020768</v>
      </c>
      <c r="V39" s="160">
        <f t="shared" si="45"/>
        <v>2.0380266749493979E-6</v>
      </c>
      <c r="W39" s="98" t="str">
        <f t="shared" si="35"/>
        <v>1-0.00147398241239244i</v>
      </c>
      <c r="X39" s="160">
        <f t="shared" si="46"/>
        <v>1.0000010863114861</v>
      </c>
      <c r="Y39" s="160">
        <f t="shared" si="47"/>
        <v>-1.473981344923902E-3</v>
      </c>
      <c r="Z39" s="98" t="str">
        <f t="shared" si="36"/>
        <v>0.999999523717883+0.000117081896523275i</v>
      </c>
      <c r="AA39" s="160">
        <f t="shared" si="48"/>
        <v>0.99999953057197155</v>
      </c>
      <c r="AB39" s="160">
        <f t="shared" si="49"/>
        <v>1.1708195175232147E-4</v>
      </c>
      <c r="AC39" s="171" t="str">
        <f t="shared" si="50"/>
        <v>96.3519795814054-308.539203018062i</v>
      </c>
      <c r="AD39" s="190">
        <f t="shared" si="51"/>
        <v>50.190337615355752</v>
      </c>
      <c r="AE39" s="169">
        <f t="shared" si="52"/>
        <v>-72.657230058165624</v>
      </c>
      <c r="AF39" s="98" t="str">
        <f t="shared" si="37"/>
        <v>-9.95024875621891E-06</v>
      </c>
      <c r="AG39" s="98" t="str">
        <f t="shared" si="38"/>
        <v>0.000102003235081359i</v>
      </c>
      <c r="AH39" s="98">
        <f t="shared" si="53"/>
        <v>1.0200323508135899E-4</v>
      </c>
      <c r="AI39" s="98">
        <f t="shared" si="54"/>
        <v>1.5707963267948966</v>
      </c>
      <c r="AJ39" s="98" t="str">
        <f t="shared" si="39"/>
        <v>1+0.00101799534213398i</v>
      </c>
      <c r="AK39" s="98">
        <f t="shared" si="55"/>
        <v>1.0000005181571241</v>
      </c>
      <c r="AL39" s="98">
        <f t="shared" si="56"/>
        <v>1.0179949904797485E-3</v>
      </c>
      <c r="AM39" s="98" t="str">
        <f t="shared" si="40"/>
        <v>1+1.01901333747611i</v>
      </c>
      <c r="AN39" s="98">
        <f t="shared" si="57"/>
        <v>1.4277213250330751</v>
      </c>
      <c r="AO39" s="98">
        <f t="shared" si="58"/>
        <v>0.79481502811175009</v>
      </c>
      <c r="AP39" s="168" t="str">
        <f t="shared" si="59"/>
        <v>-0.0993036777871711+0.0976494551846138i</v>
      </c>
      <c r="AQ39" s="98">
        <f t="shared" si="60"/>
        <v>-17.122735725174952</v>
      </c>
      <c r="AR39" s="169">
        <f t="shared" si="61"/>
        <v>135.48121978785517</v>
      </c>
      <c r="AS39" s="168" t="str">
        <f t="shared" si="62"/>
        <v>20.5605791433007+40.0477959132995i</v>
      </c>
      <c r="AT39" s="190">
        <f t="shared" si="63"/>
        <v>33.067601890180804</v>
      </c>
      <c r="AU39" s="169">
        <f t="shared" si="64"/>
        <v>62.823989729689622</v>
      </c>
      <c r="AV39" s="225"/>
      <c r="AX39">
        <f t="shared" si="65"/>
        <v>0</v>
      </c>
      <c r="AY39">
        <f t="shared" si="66"/>
        <v>0</v>
      </c>
    </row>
    <row r="40" spans="1:51" x14ac:dyDescent="0.55000000000000004">
      <c r="B40" s="211">
        <f>wz_rhp/(2*PI())</f>
        <v>11002.913492885855</v>
      </c>
      <c r="C40" s="98" t="s">
        <v>69</v>
      </c>
      <c r="N40" s="170">
        <v>22</v>
      </c>
      <c r="O40" s="199">
        <f t="shared" si="41"/>
        <v>16.595869074375614</v>
      </c>
      <c r="P40" s="189" t="str">
        <f t="shared" si="32"/>
        <v>1078.86904761905</v>
      </c>
      <c r="Q40" s="160" t="str">
        <f t="shared" si="33"/>
        <v>1+3.25859127274978i</v>
      </c>
      <c r="R40" s="160">
        <f t="shared" si="42"/>
        <v>3.408579921732954</v>
      </c>
      <c r="S40" s="160">
        <f t="shared" si="43"/>
        <v>1.2730386340907718</v>
      </c>
      <c r="T40" s="160" t="str">
        <f t="shared" si="34"/>
        <v>1+2.08549841455986E-06i</v>
      </c>
      <c r="U40" s="160">
        <f t="shared" si="44"/>
        <v>1.0000000000021747</v>
      </c>
      <c r="V40" s="160">
        <f t="shared" si="45"/>
        <v>2.0854984145568367E-6</v>
      </c>
      <c r="W40" s="98" t="str">
        <f t="shared" si="35"/>
        <v>1-0.00150831587334627i</v>
      </c>
      <c r="X40" s="160">
        <f t="shared" si="46"/>
        <v>1.00000113750774</v>
      </c>
      <c r="Y40" s="160">
        <f t="shared" si="47"/>
        <v>-1.508314729533194E-3</v>
      </c>
      <c r="Z40" s="98" t="str">
        <f t="shared" si="36"/>
        <v>0.999999501271398+0.000119809084235208i</v>
      </c>
      <c r="AA40" s="160">
        <f t="shared" si="48"/>
        <v>0.99999950844850982</v>
      </c>
      <c r="AB40" s="160">
        <f t="shared" si="49"/>
        <v>1.1980914341419884E-4</v>
      </c>
      <c r="AC40" s="171" t="str">
        <f t="shared" si="50"/>
        <v>92.3665310770329-302.739056619096i</v>
      </c>
      <c r="AD40" s="190">
        <f t="shared" si="51"/>
        <v>50.007919191119413</v>
      </c>
      <c r="AE40" s="169">
        <f t="shared" si="52"/>
        <v>-73.032906026687442</v>
      </c>
      <c r="AF40" s="98" t="str">
        <f t="shared" si="37"/>
        <v>-9.95024875621891E-06</v>
      </c>
      <c r="AG40" s="98" t="str">
        <f t="shared" si="38"/>
        <v>0.000104379195648721i</v>
      </c>
      <c r="AH40" s="98">
        <f t="shared" si="53"/>
        <v>1.04379195648721E-4</v>
      </c>
      <c r="AI40" s="98">
        <f t="shared" si="54"/>
        <v>1.5707963267948966</v>
      </c>
      <c r="AJ40" s="98" t="str">
        <f t="shared" si="39"/>
        <v>1+0.00104170749978015i</v>
      </c>
      <c r="AK40" s="98">
        <f t="shared" si="55"/>
        <v>1.0000005425771104</v>
      </c>
      <c r="AL40" s="98">
        <f t="shared" si="56"/>
        <v>1.041707122975863E-3</v>
      </c>
      <c r="AM40" s="98" t="str">
        <f t="shared" si="40"/>
        <v>1+1.04274920727993i</v>
      </c>
      <c r="AN40" s="98">
        <f t="shared" si="57"/>
        <v>1.4447580798469073</v>
      </c>
      <c r="AO40" s="98">
        <f t="shared" si="58"/>
        <v>0.80632240024142177</v>
      </c>
      <c r="AP40" s="168" t="str">
        <f t="shared" si="59"/>
        <v>-0.0993036729371853+0.0954313380167164i</v>
      </c>
      <c r="AQ40" s="98">
        <f t="shared" si="60"/>
        <v>-17.219702225675885</v>
      </c>
      <c r="AR40" s="169">
        <f t="shared" si="61"/>
        <v>136.13918503905657</v>
      </c>
      <c r="AS40" s="168" t="str">
        <f t="shared" si="62"/>
        <v>19.7184574506628+38.8777619124586i</v>
      </c>
      <c r="AT40" s="190">
        <f t="shared" si="63"/>
        <v>32.788216965443539</v>
      </c>
      <c r="AU40" s="169">
        <f t="shared" si="64"/>
        <v>63.1062790123691</v>
      </c>
      <c r="AV40" s="225"/>
      <c r="AX40">
        <f t="shared" si="65"/>
        <v>0</v>
      </c>
      <c r="AY40">
        <f t="shared" si="66"/>
        <v>0</v>
      </c>
    </row>
    <row r="41" spans="1:51" x14ac:dyDescent="0.55000000000000004">
      <c r="B41" s="211"/>
      <c r="N41" s="170">
        <v>23</v>
      </c>
      <c r="O41" s="199">
        <f t="shared" si="41"/>
        <v>16.982436524617448</v>
      </c>
      <c r="P41" s="189" t="str">
        <f t="shared" si="32"/>
        <v>1078.86904761905</v>
      </c>
      <c r="Q41" s="160" t="str">
        <f t="shared" si="33"/>
        <v>1+3.33449361411206i</v>
      </c>
      <c r="R41" s="160">
        <f t="shared" si="42"/>
        <v>3.4812135330304157</v>
      </c>
      <c r="S41" s="160">
        <f t="shared" si="43"/>
        <v>1.2794353047325326</v>
      </c>
      <c r="T41" s="160" t="str">
        <f t="shared" si="34"/>
        <v>1+2.13407591303172E-06i</v>
      </c>
      <c r="U41" s="160">
        <f t="shared" si="44"/>
        <v>1.0000000000022773</v>
      </c>
      <c r="V41" s="160">
        <f t="shared" si="45"/>
        <v>2.13407591302848E-6</v>
      </c>
      <c r="W41" s="98" t="str">
        <f t="shared" si="35"/>
        <v>1-0.00154344906334106i</v>
      </c>
      <c r="X41" s="160">
        <f t="shared" si="46"/>
        <v>1.0000011911167961</v>
      </c>
      <c r="Y41" s="160">
        <f t="shared" si="47"/>
        <v>-1.5434478377233463E-3</v>
      </c>
      <c r="Z41" s="98" t="str">
        <f t="shared" si="36"/>
        <v>0.999999477767043+0.000122599796309463i</v>
      </c>
      <c r="AA41" s="160">
        <f t="shared" si="48"/>
        <v>0.9999994852824019</v>
      </c>
      <c r="AB41" s="160">
        <f t="shared" si="49"/>
        <v>1.2259985972089564E-4</v>
      </c>
      <c r="AC41" s="171" t="str">
        <f t="shared" si="50"/>
        <v>88.5301571333367-296.998390755512i</v>
      </c>
      <c r="AD41" s="190">
        <f t="shared" si="51"/>
        <v>49.824776224047127</v>
      </c>
      <c r="AE41" s="169">
        <f t="shared" si="52"/>
        <v>-73.401578349196527</v>
      </c>
      <c r="AF41" s="98" t="str">
        <f t="shared" si="37"/>
        <v>-9.95024875621891E-06</v>
      </c>
      <c r="AG41" s="98" t="str">
        <f t="shared" si="38"/>
        <v>0.000106810499447238i</v>
      </c>
      <c r="AH41" s="98">
        <f t="shared" si="53"/>
        <v>1.06810499447238E-4</v>
      </c>
      <c r="AI41" s="98">
        <f t="shared" si="54"/>
        <v>1.5707963267948966</v>
      </c>
      <c r="AJ41" s="98" t="str">
        <f t="shared" si="39"/>
        <v>1+0.00106597198453133i</v>
      </c>
      <c r="AK41" s="98">
        <f t="shared" si="55"/>
        <v>1.0000005681479744</v>
      </c>
      <c r="AL41" s="98">
        <f t="shared" si="56"/>
        <v>1.0659715807782746E-3</v>
      </c>
      <c r="AM41" s="98" t="str">
        <f t="shared" si="40"/>
        <v>1+1.06703795651586i</v>
      </c>
      <c r="AN41" s="98">
        <f t="shared" si="57"/>
        <v>1.4623850384373953</v>
      </c>
      <c r="AO41" s="98">
        <f t="shared" si="58"/>
        <v>0.81781869394397333</v>
      </c>
      <c r="AP41" s="168" t="str">
        <f t="shared" si="59"/>
        <v>-0.0993036678586264+0.0932638198069421i</v>
      </c>
      <c r="AQ41" s="98">
        <f t="shared" si="60"/>
        <v>-17.31437038324885</v>
      </c>
      <c r="AR41" s="169">
        <f t="shared" si="61"/>
        <v>136.79648389723138</v>
      </c>
      <c r="AS41" s="168" t="str">
        <f t="shared" si="62"/>
        <v>18.907835078933+37.7496901724957i</v>
      </c>
      <c r="AT41" s="190">
        <f t="shared" si="63"/>
        <v>32.510405840798285</v>
      </c>
      <c r="AU41" s="169">
        <f t="shared" si="64"/>
        <v>63.394905548034821</v>
      </c>
      <c r="AV41" s="225"/>
      <c r="AX41">
        <f t="shared" si="65"/>
        <v>0</v>
      </c>
      <c r="AY41">
        <f t="shared" si="66"/>
        <v>0</v>
      </c>
    </row>
    <row r="42" spans="1:51" x14ac:dyDescent="0.55000000000000004">
      <c r="A42" s="98" t="s">
        <v>254</v>
      </c>
      <c r="B42" s="209">
        <f>1/(Cout*Resr)</f>
        <v>50000000.000000007</v>
      </c>
      <c r="C42" s="98" t="s">
        <v>251</v>
      </c>
      <c r="E42" s="98" t="s">
        <v>244</v>
      </c>
      <c r="N42" s="170">
        <v>24</v>
      </c>
      <c r="O42" s="199">
        <f t="shared" si="41"/>
        <v>17.378008287493756</v>
      </c>
      <c r="P42" s="189" t="str">
        <f t="shared" si="32"/>
        <v>1078.86904761905</v>
      </c>
      <c r="Q42" s="160" t="str">
        <f t="shared" si="33"/>
        <v>1+3.41216394812581i</v>
      </c>
      <c r="R42" s="160">
        <f t="shared" si="42"/>
        <v>3.5556803580875367</v>
      </c>
      <c r="S42" s="160">
        <f t="shared" si="43"/>
        <v>1.2857101734936465</v>
      </c>
      <c r="T42" s="160" t="str">
        <f t="shared" si="34"/>
        <v>1+2.18378492680052E-06i</v>
      </c>
      <c r="U42" s="160">
        <f t="shared" si="44"/>
        <v>1.0000000000023843</v>
      </c>
      <c r="V42" s="160">
        <f t="shared" si="45"/>
        <v>2.1837849267970486E-6</v>
      </c>
      <c r="W42" s="98" t="str">
        <f t="shared" si="35"/>
        <v>1-0.00157940061045921i</v>
      </c>
      <c r="X42" s="160">
        <f t="shared" si="46"/>
        <v>1.0000012472523665</v>
      </c>
      <c r="Y42" s="160">
        <f t="shared" si="47"/>
        <v>-1.5793992971862574E-3</v>
      </c>
      <c r="Z42" s="98" t="str">
        <f t="shared" si="36"/>
        <v>0.999999453154962+0.000125455512418521i</v>
      </c>
      <c r="AA42" s="160">
        <f t="shared" si="48"/>
        <v>0.9999994610245091</v>
      </c>
      <c r="AB42" s="160">
        <f t="shared" si="49"/>
        <v>1.2545558036509689E-4</v>
      </c>
      <c r="AC42" s="171" t="str">
        <f t="shared" si="50"/>
        <v>84.8384905500862-291.319800402172i</v>
      </c>
      <c r="AD42" s="190">
        <f t="shared" si="51"/>
        <v>49.640935932164012</v>
      </c>
      <c r="AE42" s="169">
        <f t="shared" si="52"/>
        <v>-73.763322485725084</v>
      </c>
      <c r="AF42" s="98" t="str">
        <f t="shared" si="37"/>
        <v>-9.95024875621891E-06</v>
      </c>
      <c r="AG42" s="98" t="str">
        <f t="shared" si="38"/>
        <v>0.000109298435586366i</v>
      </c>
      <c r="AH42" s="98">
        <f t="shared" si="53"/>
        <v>1.09298435586366E-4</v>
      </c>
      <c r="AI42" s="98">
        <f t="shared" si="54"/>
        <v>1.5707963267948966</v>
      </c>
      <c r="AJ42" s="98" t="str">
        <f t="shared" si="39"/>
        <v>1+0.00109080166173852i</v>
      </c>
      <c r="AK42" s="98">
        <f t="shared" si="55"/>
        <v>1.0000005949239557</v>
      </c>
      <c r="AL42" s="98">
        <f t="shared" si="56"/>
        <v>1.0908012291093406E-3</v>
      </c>
      <c r="AM42" s="98" t="str">
        <f t="shared" si="40"/>
        <v>1+1.09189246340026i</v>
      </c>
      <c r="AN42" s="98">
        <f t="shared" si="57"/>
        <v>1.4806178276754229</v>
      </c>
      <c r="AO42" s="98">
        <f t="shared" si="58"/>
        <v>0.82929785051711802</v>
      </c>
      <c r="AP42" s="168" t="str">
        <f t="shared" si="59"/>
        <v>-0.0993036625407238+0.0911457513084118i</v>
      </c>
      <c r="AQ42" s="98">
        <f t="shared" si="60"/>
        <v>-17.40674583357443</v>
      </c>
      <c r="AR42" s="169">
        <f t="shared" si="61"/>
        <v>137.45276848718626</v>
      </c>
      <c r="AS42" s="168" t="str">
        <f t="shared" si="62"/>
        <v>18.1277892426224+36.6617911116275i</v>
      </c>
      <c r="AT42" s="190">
        <f t="shared" si="63"/>
        <v>32.234190098589586</v>
      </c>
      <c r="AU42" s="169">
        <f t="shared" si="64"/>
        <v>63.68944600146115</v>
      </c>
      <c r="AV42" s="225"/>
      <c r="AX42">
        <f t="shared" si="65"/>
        <v>0</v>
      </c>
      <c r="AY42">
        <f t="shared" si="66"/>
        <v>0</v>
      </c>
    </row>
    <row r="43" spans="1:51" x14ac:dyDescent="0.55000000000000004">
      <c r="B43" s="209">
        <f>wz_esr/(2*PI())</f>
        <v>7957747.1545947678</v>
      </c>
      <c r="C43" s="98" t="s">
        <v>69</v>
      </c>
      <c r="N43" s="170">
        <v>25</v>
      </c>
      <c r="O43" s="199">
        <f t="shared" si="41"/>
        <v>17.782794100389236</v>
      </c>
      <c r="P43" s="189" t="str">
        <f t="shared" si="32"/>
        <v>1078.86904761905</v>
      </c>
      <c r="Q43" s="160" t="str">
        <f t="shared" si="33"/>
        <v>1+3.49164345663016i</v>
      </c>
      <c r="R43" s="160">
        <f t="shared" si="42"/>
        <v>3.6320206536070541</v>
      </c>
      <c r="S43" s="160">
        <f t="shared" si="43"/>
        <v>1.2918645901141061</v>
      </c>
      <c r="T43" s="160" t="str">
        <f t="shared" si="34"/>
        <v>1+0.0000022346518122433i</v>
      </c>
      <c r="U43" s="160">
        <f t="shared" si="44"/>
        <v>1.0000000000024967</v>
      </c>
      <c r="V43" s="160">
        <f t="shared" si="45"/>
        <v>2.2346518122395804E-6</v>
      </c>
      <c r="W43" s="98" t="str">
        <f t="shared" si="35"/>
        <v>1-0.00161618957668685i</v>
      </c>
      <c r="X43" s="160">
        <f t="shared" si="46"/>
        <v>1.0000013060335211</v>
      </c>
      <c r="Y43" s="160">
        <f t="shared" si="47"/>
        <v>-1.6161881694896276E-3</v>
      </c>
      <c r="Z43" s="98" t="str">
        <f t="shared" si="36"/>
        <v>0.99999942738295+0.000128377746700863i</v>
      </c>
      <c r="AA43" s="160">
        <f t="shared" si="48"/>
        <v>0.99999943562337756</v>
      </c>
      <c r="AB43" s="160">
        <f t="shared" si="49"/>
        <v>1.2837781950693255E-4</v>
      </c>
      <c r="AC43" s="171" t="str">
        <f t="shared" si="50"/>
        <v>81.287192050797-285.70564214723i</v>
      </c>
      <c r="AD43" s="190">
        <f t="shared" si="51"/>
        <v>49.456424726811534</v>
      </c>
      <c r="AE43" s="169">
        <f t="shared" si="52"/>
        <v>-74.118216948070383</v>
      </c>
      <c r="AF43" s="98" t="str">
        <f t="shared" si="37"/>
        <v>-9.95024875621891E-06</v>
      </c>
      <c r="AG43" s="98" t="str">
        <f t="shared" si="38"/>
        <v>0.000111844323202778i</v>
      </c>
      <c r="AH43" s="98">
        <f t="shared" si="53"/>
        <v>1.11844323202778E-4</v>
      </c>
      <c r="AI43" s="98">
        <f t="shared" si="54"/>
        <v>1.5707963267948966</v>
      </c>
      <c r="AJ43" s="98" t="str">
        <f t="shared" si="39"/>
        <v>1+0.00111620969642522i</v>
      </c>
      <c r="AK43" s="98">
        <f t="shared" si="55"/>
        <v>1.0000006229618492</v>
      </c>
      <c r="AL43" s="98">
        <f t="shared" si="56"/>
        <v>1.1162092328547177E-3</v>
      </c>
      <c r="AM43" s="98" t="str">
        <f t="shared" si="40"/>
        <v>1+1.11732590612165i</v>
      </c>
      <c r="AN43" s="98">
        <f t="shared" si="57"/>
        <v>1.4994723006746629</v>
      </c>
      <c r="AO43" s="98">
        <f t="shared" si="58"/>
        <v>0.8407538564209257</v>
      </c>
      <c r="AP43" s="168" t="str">
        <f t="shared" si="59"/>
        <v>-0.0993036569721956+0.0890760094931347i</v>
      </c>
      <c r="AQ43" s="98">
        <f t="shared" si="60"/>
        <v>-17.496836611431025</v>
      </c>
      <c r="AR43" s="169">
        <f t="shared" si="61"/>
        <v>138.10769350417092</v>
      </c>
      <c r="AS43" s="168" t="str">
        <f t="shared" si="62"/>
        <v>17.3774030565035+35.6123537735965i</v>
      </c>
      <c r="AT43" s="190">
        <f t="shared" si="63"/>
        <v>31.959588115380519</v>
      </c>
      <c r="AU43" s="169">
        <f t="shared" si="64"/>
        <v>63.989476556100527</v>
      </c>
      <c r="AV43" s="225"/>
      <c r="AX43">
        <f t="shared" si="65"/>
        <v>0</v>
      </c>
      <c r="AY43">
        <f t="shared" si="66"/>
        <v>0</v>
      </c>
    </row>
    <row r="44" spans="1:51" x14ac:dyDescent="0.55000000000000004">
      <c r="B44" s="211"/>
      <c r="N44" s="170">
        <v>26</v>
      </c>
      <c r="O44" s="199">
        <f t="shared" si="41"/>
        <v>18.197008586099841</v>
      </c>
      <c r="P44" s="189" t="str">
        <f t="shared" si="32"/>
        <v>1078.86904761905</v>
      </c>
      <c r="Q44" s="160" t="str">
        <f t="shared" si="33"/>
        <v>1+3.57297428071259i</v>
      </c>
      <c r="R44" s="160">
        <f t="shared" si="42"/>
        <v>3.710275624617887</v>
      </c>
      <c r="S44" s="160">
        <f t="shared" si="43"/>
        <v>1.2978999521501047</v>
      </c>
      <c r="T44" s="160" t="str">
        <f t="shared" si="34"/>
        <v>1+2.28670353965606E-06i</v>
      </c>
      <c r="U44" s="160">
        <f t="shared" si="44"/>
        <v>1.0000000000026144</v>
      </c>
      <c r="V44" s="160">
        <f t="shared" si="45"/>
        <v>2.2867035396520742E-6</v>
      </c>
      <c r="W44" s="98" t="str">
        <f t="shared" si="35"/>
        <v>1-0.00165383546802085i</v>
      </c>
      <c r="X44" s="160">
        <f t="shared" si="46"/>
        <v>1.0000013675849424</v>
      </c>
      <c r="Y44" s="160">
        <f t="shared" si="47"/>
        <v>-1.6538339601819712E-3</v>
      </c>
      <c r="Z44" s="98" t="str">
        <f t="shared" si="36"/>
        <v>0.999999400396339+0.000131368048563787i</v>
      </c>
      <c r="AA44" s="160">
        <f t="shared" si="48"/>
        <v>0.99999940902512618</v>
      </c>
      <c r="AB44" s="160">
        <f t="shared" si="49"/>
        <v>1.3136812657689822E-4</v>
      </c>
      <c r="AC44" s="171" t="str">
        <f t="shared" si="50"/>
        <v>77.8719596898586-280.158044130306i</v>
      </c>
      <c r="AD44" s="190">
        <f t="shared" si="51"/>
        <v>49.271268218710425</v>
      </c>
      <c r="AE44" s="169">
        <f t="shared" si="52"/>
        <v>-74.466343015119875</v>
      </c>
      <c r="AF44" s="98" t="str">
        <f t="shared" si="37"/>
        <v>-9.95024875621891E-06</v>
      </c>
      <c r="AG44" s="98" t="str">
        <f t="shared" si="38"/>
        <v>0.000114449512159786i</v>
      </c>
      <c r="AH44" s="98">
        <f t="shared" si="53"/>
        <v>1.14449512159786E-4</v>
      </c>
      <c r="AI44" s="98">
        <f t="shared" si="54"/>
        <v>1.5707963267948966</v>
      </c>
      <c r="AJ44" s="98" t="str">
        <f t="shared" si="39"/>
        <v>1+0.00114220956026776i</v>
      </c>
      <c r="AK44" s="98">
        <f t="shared" si="55"/>
        <v>1.0000006523211271</v>
      </c>
      <c r="AL44" s="98">
        <f t="shared" si="56"/>
        <v>1.1422090635430351E-3</v>
      </c>
      <c r="AM44" s="98" t="str">
        <f t="shared" si="40"/>
        <v>1+1.14335176982803i</v>
      </c>
      <c r="AN44" s="98">
        <f t="shared" si="57"/>
        <v>1.5189645386146737</v>
      </c>
      <c r="AO44" s="98">
        <f t="shared" si="58"/>
        <v>0.85218075886915512</v>
      </c>
      <c r="AP44" s="168" t="str">
        <f t="shared" si="59"/>
        <v>-0.0993036511412327+0.0870534969565657i</v>
      </c>
      <c r="AQ44" s="98">
        <f t="shared" si="60"/>
        <v>-17.584653116959959</v>
      </c>
      <c r="AR44" s="169">
        <f t="shared" si="61"/>
        <v>138.76091710679569</v>
      </c>
      <c r="AS44" s="168" t="str">
        <f t="shared" si="62"/>
        <v>16.6557675233291+34.5997430845889i</v>
      </c>
      <c r="AT44" s="190">
        <f t="shared" si="63"/>
        <v>31.686615101750462</v>
      </c>
      <c r="AU44" s="169">
        <f t="shared" si="64"/>
        <v>64.294574091675869</v>
      </c>
      <c r="AV44" s="225"/>
      <c r="AX44">
        <f t="shared" si="65"/>
        <v>0</v>
      </c>
      <c r="AY44">
        <f t="shared" si="66"/>
        <v>0</v>
      </c>
    </row>
    <row r="45" spans="1:51" x14ac:dyDescent="0.55000000000000004">
      <c r="A45" s="98" t="s">
        <v>247</v>
      </c>
      <c r="B45" s="211">
        <f>(Isl*(Rsl_int+R_sl)*Fsw)</f>
        <v>4699.53</v>
      </c>
      <c r="C45" s="98" t="s">
        <v>180</v>
      </c>
      <c r="E45" s="98" t="s">
        <v>248</v>
      </c>
      <c r="N45" s="170">
        <v>27</v>
      </c>
      <c r="O45" s="199">
        <f t="shared" si="41"/>
        <v>18.62087136662868</v>
      </c>
      <c r="P45" s="189" t="str">
        <f t="shared" si="32"/>
        <v>1078.86904761905</v>
      </c>
      <c r="Q45" s="160" t="str">
        <f t="shared" si="33"/>
        <v>1+3.65619954305256i</v>
      </c>
      <c r="R45" s="160">
        <f t="shared" si="42"/>
        <v>3.79048744868226</v>
      </c>
      <c r="S45" s="160">
        <f t="shared" si="43"/>
        <v>1.3038177002074132</v>
      </c>
      <c r="T45" s="160" t="str">
        <f t="shared" si="34"/>
        <v>1+2.33996770755364E-06i</v>
      </c>
      <c r="U45" s="160">
        <f t="shared" si="44"/>
        <v>1.0000000000027378</v>
      </c>
      <c r="V45" s="160">
        <f t="shared" si="45"/>
        <v>2.3399677075493694E-6</v>
      </c>
      <c r="W45" s="98" t="str">
        <f t="shared" si="35"/>
        <v>1-0.0016923582448111i</v>
      </c>
      <c r="X45" s="160">
        <f t="shared" si="46"/>
        <v>1.0000014320371891</v>
      </c>
      <c r="Y45" s="160">
        <f t="shared" si="47"/>
        <v>-1.6923566291327571E-3</v>
      </c>
      <c r="Z45" s="98" t="str">
        <f t="shared" si="36"/>
        <v>0.99999937213789+0.000134428003504921i</v>
      </c>
      <c r="AA45" s="160">
        <f t="shared" si="48"/>
        <v>0.99999938117333964</v>
      </c>
      <c r="AB45" s="160">
        <f t="shared" si="49"/>
        <v>1.3442808709747793E-4</v>
      </c>
      <c r="AC45" s="171" t="str">
        <f t="shared" si="50"/>
        <v>74.5885373382685-274.678916046238i</v>
      </c>
      <c r="AD45" s="190">
        <f t="shared" si="51"/>
        <v>49.085491225681174</v>
      </c>
      <c r="AE45" s="169">
        <f t="shared" si="52"/>
        <v>-74.807784460383175</v>
      </c>
      <c r="AF45" s="98" t="str">
        <f t="shared" si="37"/>
        <v>-9.95024875621891E-06</v>
      </c>
      <c r="AG45" s="98" t="str">
        <f t="shared" si="38"/>
        <v>0.00011711538376306i</v>
      </c>
      <c r="AH45" s="98">
        <f t="shared" si="53"/>
        <v>1.1711538376306001E-4</v>
      </c>
      <c r="AI45" s="98">
        <f t="shared" si="54"/>
        <v>1.5707963267948966</v>
      </c>
      <c r="AJ45" s="98" t="str">
        <f t="shared" si="39"/>
        <v>1+0.00116881503873808i</v>
      </c>
      <c r="AK45" s="98">
        <f t="shared" si="55"/>
        <v>1.000000683064064</v>
      </c>
      <c r="AL45" s="98">
        <f t="shared" si="56"/>
        <v>1.1688145064879675E-3</v>
      </c>
      <c r="AM45" s="98" t="str">
        <f t="shared" si="40"/>
        <v>1+1.16998385377682i</v>
      </c>
      <c r="AN45" s="98">
        <f t="shared" si="57"/>
        <v>1.5391108530896855</v>
      </c>
      <c r="AO45" s="98">
        <f t="shared" si="58"/>
        <v>0.86357268103357865</v>
      </c>
      <c r="AP45" s="168" t="str">
        <f t="shared" si="59"/>
        <v>-0.099303645035465+0.085077141335744i</v>
      </c>
      <c r="AQ45" s="98">
        <f t="shared" si="60"/>
        <v>-17.670208072263879</v>
      </c>
      <c r="AR45" s="169">
        <f t="shared" si="61"/>
        <v>139.41210178776586</v>
      </c>
      <c r="AS45" s="168" t="str">
        <f t="shared" si="62"/>
        <v>15.9619833268608+33.6223971109362i</v>
      </c>
      <c r="AT45" s="190">
        <f t="shared" si="63"/>
        <v>31.415283153417292</v>
      </c>
      <c r="AU45" s="169">
        <f t="shared" si="64"/>
        <v>64.604317327382716</v>
      </c>
      <c r="AV45" s="225"/>
      <c r="AX45">
        <f t="shared" si="65"/>
        <v>0</v>
      </c>
      <c r="AY45">
        <f t="shared" si="66"/>
        <v>0</v>
      </c>
    </row>
    <row r="46" spans="1:51" x14ac:dyDescent="0.55000000000000004">
      <c r="A46" s="98" t="s">
        <v>250</v>
      </c>
      <c r="B46" s="211">
        <f>(R_cs*VIN_var*Acs)/Lm</f>
        <v>975.6097560975611</v>
      </c>
      <c r="C46" s="98" t="s">
        <v>180</v>
      </c>
      <c r="E46" s="98" t="s">
        <v>249</v>
      </c>
      <c r="N46" s="170">
        <v>28</v>
      </c>
      <c r="O46" s="199">
        <f t="shared" si="41"/>
        <v>19.054607179632477</v>
      </c>
      <c r="P46" s="189" t="str">
        <f t="shared" si="32"/>
        <v>1078.86904761905</v>
      </c>
      <c r="Q46" s="160" t="str">
        <f t="shared" si="33"/>
        <v>1+3.74136337078578i</v>
      </c>
      <c r="R46" s="160">
        <f t="shared" si="42"/>
        <v>3.872699300521218</v>
      </c>
      <c r="S46" s="160">
        <f t="shared" si="43"/>
        <v>1.3096193133883405</v>
      </c>
      <c r="T46" s="160" t="str">
        <f t="shared" si="34"/>
        <v>1+0.0000023944725573029i</v>
      </c>
      <c r="U46" s="160">
        <f t="shared" si="44"/>
        <v>1.0000000000028666</v>
      </c>
      <c r="V46" s="160">
        <f t="shared" si="45"/>
        <v>2.3944725572983237E-6</v>
      </c>
      <c r="W46" s="98" t="str">
        <f t="shared" si="35"/>
        <v>1-0.00173177833234375i</v>
      </c>
      <c r="X46" s="160">
        <f t="shared" si="46"/>
        <v>1.0000014995269719</v>
      </c>
      <c r="Y46" s="160">
        <f t="shared" si="47"/>
        <v>-1.7317766011133548E-3</v>
      </c>
      <c r="Z46" s="98" t="str">
        <f t="shared" si="36"/>
        <v>0.99999934254766+0.000137559233952879i</v>
      </c>
      <c r="AA46" s="160">
        <f t="shared" si="48"/>
        <v>0.99999935200893753</v>
      </c>
      <c r="AB46" s="160">
        <f t="shared" si="49"/>
        <v>1.3755932352392018E-4</v>
      </c>
      <c r="AC46" s="171" t="str">
        <f t="shared" si="50"/>
        <v>71.4327222906226-269.269959155456i</v>
      </c>
      <c r="AD46" s="190">
        <f t="shared" si="51"/>
        <v>48.899117781854287</v>
      </c>
      <c r="AE46" s="169">
        <f t="shared" si="52"/>
        <v>-75.142627291774829</v>
      </c>
      <c r="AF46" s="98" t="str">
        <f t="shared" si="37"/>
        <v>-9.95024875621891E-06</v>
      </c>
      <c r="AG46" s="98" t="str">
        <f t="shared" si="38"/>
        <v>0.000119843351493011i</v>
      </c>
      <c r="AH46" s="98">
        <f t="shared" si="53"/>
        <v>1.19843351493011E-4</v>
      </c>
      <c r="AI46" s="98">
        <f t="shared" si="54"/>
        <v>1.5707963267948966</v>
      </c>
      <c r="AJ46" s="98" t="str">
        <f t="shared" si="39"/>
        <v>1+0.00119604023841304i</v>
      </c>
      <c r="AK46" s="98">
        <f t="shared" si="55"/>
        <v>1.0000007152558701</v>
      </c>
      <c r="AL46" s="98">
        <f t="shared" si="56"/>
        <v>1.1960396680967911E-3</v>
      </c>
      <c r="AM46" s="98" t="str">
        <f t="shared" si="40"/>
        <v>1+1.19723627865145i</v>
      </c>
      <c r="AN46" s="98">
        <f t="shared" si="57"/>
        <v>1.5599277890079311</v>
      </c>
      <c r="AO46" s="98">
        <f t="shared" si="58"/>
        <v>0.87492383676843999</v>
      </c>
      <c r="AP46" s="168" t="str">
        <f t="shared" si="59"/>
        <v>-0.0993036386419419+0.0831458947407146i</v>
      </c>
      <c r="AQ46" s="98">
        <f t="shared" si="60"/>
        <v>-17.753516468718942</v>
      </c>
      <c r="AR46" s="169">
        <f t="shared" si="61"/>
        <v>140.06091521711238</v>
      </c>
      <c r="AS46" s="168" t="str">
        <f t="shared" si="62"/>
        <v>15.2951624392179+32.6788243297227i</v>
      </c>
      <c r="AT46" s="190">
        <f t="shared" si="63"/>
        <v>31.145601313135355</v>
      </c>
      <c r="AU46" s="169">
        <f t="shared" si="64"/>
        <v>64.918287925337552</v>
      </c>
      <c r="AV46" s="225"/>
      <c r="AX46">
        <f t="shared" si="65"/>
        <v>0</v>
      </c>
      <c r="AY46">
        <f t="shared" si="66"/>
        <v>0</v>
      </c>
    </row>
    <row r="47" spans="1:51" x14ac:dyDescent="0.55000000000000004">
      <c r="B47" s="211"/>
      <c r="N47" s="170">
        <v>29</v>
      </c>
      <c r="O47" s="199">
        <f t="shared" si="41"/>
        <v>19.498445997580465</v>
      </c>
      <c r="P47" s="189" t="str">
        <f t="shared" si="32"/>
        <v>1078.86904761905</v>
      </c>
      <c r="Q47" s="160" t="str">
        <f t="shared" si="33"/>
        <v>1+3.828510918901i</v>
      </c>
      <c r="R47" s="160">
        <f t="shared" si="42"/>
        <v>3.9569553770726524</v>
      </c>
      <c r="S47" s="160">
        <f t="shared" si="43"/>
        <v>1.3153063049518279</v>
      </c>
      <c r="T47" s="160" t="str">
        <f t="shared" si="34"/>
        <v>1+2.45024698809664E-06i</v>
      </c>
      <c r="U47" s="160">
        <f t="shared" si="44"/>
        <v>1.0000000000030018</v>
      </c>
      <c r="V47" s="160">
        <f t="shared" si="45"/>
        <v>2.4502469880917367E-6</v>
      </c>
      <c r="W47" s="98" t="str">
        <f t="shared" si="35"/>
        <v>1-0.00177211663167101i</v>
      </c>
      <c r="X47" s="160">
        <f t="shared" si="46"/>
        <v>1.0000015701974454</v>
      </c>
      <c r="Y47" s="160">
        <f t="shared" si="47"/>
        <v>-1.772114776624377E-3</v>
      </c>
      <c r="Z47" s="98" t="str">
        <f t="shared" si="36"/>
        <v>0.999999311562886+0.00014076340012749i</v>
      </c>
      <c r="AA47" s="160">
        <f t="shared" si="48"/>
        <v>0.99999932147006032</v>
      </c>
      <c r="AB47" s="160">
        <f t="shared" si="49"/>
        <v>1.407634961045927E-4</v>
      </c>
      <c r="AC47" s="171" t="str">
        <f t="shared" si="50"/>
        <v>68.4003720375376-263.932676248396i</v>
      </c>
      <c r="AD47" s="190">
        <f t="shared" si="51"/>
        <v>48.712171148212981</v>
      </c>
      <c r="AE47" s="169">
        <f t="shared" si="52"/>
        <v>-75.470959503625423</v>
      </c>
      <c r="AF47" s="98" t="str">
        <f t="shared" si="37"/>
        <v>-9.95024875621891E-06</v>
      </c>
      <c r="AG47" s="98" t="str">
        <f t="shared" si="38"/>
        <v>0.000122634861754237i</v>
      </c>
      <c r="AH47" s="98">
        <f t="shared" si="53"/>
        <v>1.22634861754237E-4</v>
      </c>
      <c r="AI47" s="98">
        <f t="shared" si="54"/>
        <v>1.5707963267948966</v>
      </c>
      <c r="AJ47" s="98" t="str">
        <f t="shared" si="39"/>
        <v>1+0.00122389959445387i</v>
      </c>
      <c r="AK47" s="98">
        <f t="shared" si="55"/>
        <v>1.0000007489648282</v>
      </c>
      <c r="AL47" s="98">
        <f t="shared" si="56"/>
        <v>1.2238989833490241E-3</v>
      </c>
      <c r="AM47" s="98" t="str">
        <f t="shared" si="40"/>
        <v>1+1.22512349404832i</v>
      </c>
      <c r="AN47" s="98">
        <f t="shared" si="57"/>
        <v>1.581432128062777</v>
      </c>
      <c r="AO47" s="98">
        <f t="shared" si="58"/>
        <v>0.8862285447676076</v>
      </c>
      <c r="AP47" s="168" t="str">
        <f t="shared" si="59"/>
        <v>-0.0993036319471032+0.0812587331989222i</v>
      </c>
      <c r="AQ47" s="98">
        <f t="shared" si="60"/>
        <v>-17.834595505461682</v>
      </c>
      <c r="AR47" s="169">
        <f t="shared" si="61"/>
        <v>140.70703105290838</v>
      </c>
      <c r="AS47" s="168" t="str">
        <f t="shared" si="62"/>
        <v>14.6544295518854+31.7676009230899i</v>
      </c>
      <c r="AT47" s="190">
        <f t="shared" si="63"/>
        <v>30.877575642751292</v>
      </c>
      <c r="AU47" s="169">
        <f t="shared" si="64"/>
        <v>65.236071549282883</v>
      </c>
      <c r="AV47" s="225"/>
      <c r="AX47">
        <f t="shared" si="65"/>
        <v>0</v>
      </c>
      <c r="AY47">
        <f t="shared" si="66"/>
        <v>0</v>
      </c>
    </row>
    <row r="48" spans="1:51" x14ac:dyDescent="0.55000000000000004">
      <c r="A48" s="98" t="s">
        <v>245</v>
      </c>
      <c r="B48" s="211">
        <f>2*PI()*Fsw</f>
        <v>295309.70943744056</v>
      </c>
      <c r="C48" s="98" t="s">
        <v>251</v>
      </c>
      <c r="N48" s="170">
        <v>30</v>
      </c>
      <c r="O48" s="199">
        <f t="shared" si="41"/>
        <v>19.952623149688804</v>
      </c>
      <c r="P48" s="189" t="str">
        <f t="shared" si="32"/>
        <v>1078.86904761905</v>
      </c>
      <c r="Q48" s="160" t="str">
        <f t="shared" si="33"/>
        <v>1+3.91768839418175i</v>
      </c>
      <c r="R48" s="160">
        <f t="shared" si="42"/>
        <v>4.0433009229967505</v>
      </c>
      <c r="S48" s="160">
        <f t="shared" si="43"/>
        <v>1.3208802181851917</v>
      </c>
      <c r="T48" s="160" t="str">
        <f t="shared" si="34"/>
        <v>1+2.50732057227632E-06i</v>
      </c>
      <c r="U48" s="160">
        <f t="shared" si="44"/>
        <v>1.0000000000031433</v>
      </c>
      <c r="V48" s="160">
        <f t="shared" si="45"/>
        <v>2.507320572271066E-6</v>
      </c>
      <c r="W48" s="98" t="str">
        <f t="shared" si="35"/>
        <v>1-0.00181339453069313i</v>
      </c>
      <c r="X48" s="160">
        <f t="shared" si="46"/>
        <v>1.0000016441985102</v>
      </c>
      <c r="Y48" s="160">
        <f t="shared" si="47"/>
        <v>-1.813392542975027E-3</v>
      </c>
      <c r="Z48" s="98" t="str">
        <f t="shared" si="36"/>
        <v>0.999999279117844+0.000144042200920072i</v>
      </c>
      <c r="AA48" s="160">
        <f t="shared" si="48"/>
        <v>0.99999928949192929</v>
      </c>
      <c r="AB48" s="160">
        <f t="shared" si="49"/>
        <v>1.4404230376139371E-4</v>
      </c>
      <c r="AC48" s="171" t="str">
        <f t="shared" si="50"/>
        <v>65.4874102486231-258.668381517298i</v>
      </c>
      <c r="AD48" s="190">
        <f t="shared" si="51"/>
        <v>48.524673824316309</v>
      </c>
      <c r="AE48" s="169">
        <f t="shared" si="52"/>
        <v>-75.792870840833956</v>
      </c>
      <c r="AF48" s="98" t="str">
        <f t="shared" si="37"/>
        <v>-9.95024875621891E-06</v>
      </c>
      <c r="AG48" s="98" t="str">
        <f t="shared" si="38"/>
        <v>0.00012549139464243i</v>
      </c>
      <c r="AH48" s="98">
        <f t="shared" si="53"/>
        <v>1.2549139464242999E-4</v>
      </c>
      <c r="AI48" s="98">
        <f t="shared" si="54"/>
        <v>1.5707963267948966</v>
      </c>
      <c r="AJ48" s="98" t="str">
        <f t="shared" si="39"/>
        <v>1+0.0012524078782599i</v>
      </c>
      <c r="AK48" s="98">
        <f t="shared" si="55"/>
        <v>1.0000007842624392</v>
      </c>
      <c r="AL48" s="98">
        <f t="shared" si="56"/>
        <v>1.2524072234492878E-3</v>
      </c>
      <c r="AM48" s="98" t="str">
        <f t="shared" si="40"/>
        <v>1+1.25366028613816i</v>
      </c>
      <c r="AN48" s="98">
        <f t="shared" si="57"/>
        <v>1.6036408927936494</v>
      </c>
      <c r="AO48" s="98">
        <f t="shared" si="58"/>
        <v>0.89748124207361035</v>
      </c>
      <c r="AP48" s="168" t="str">
        <f t="shared" si="59"/>
        <v>-0.0993036249367469+0.0794146561122856i</v>
      </c>
      <c r="AQ48" s="98">
        <f t="shared" si="60"/>
        <v>-17.913464519579708</v>
      </c>
      <c r="AR48" s="169">
        <f t="shared" si="61"/>
        <v>141.35012971484147</v>
      </c>
      <c r="AS48" s="168" t="str">
        <f t="shared" si="62"/>
        <v>14.0389233399096+30.8873681057677i</v>
      </c>
      <c r="AT48" s="190">
        <f t="shared" si="63"/>
        <v>30.611209304736615</v>
      </c>
      <c r="AU48" s="169">
        <f t="shared" si="64"/>
        <v>65.557258874007502</v>
      </c>
      <c r="AV48" s="225"/>
      <c r="AX48">
        <f t="shared" si="65"/>
        <v>0</v>
      </c>
      <c r="AY48">
        <f t="shared" si="66"/>
        <v>0</v>
      </c>
    </row>
    <row r="49" spans="1:51" x14ac:dyDescent="0.55000000000000004">
      <c r="A49" s="98" t="s">
        <v>246</v>
      </c>
      <c r="B49" s="211">
        <f>1/(PI()*(((VIN_var/VOUT)*(1+(B45/B46)))-0.5))</f>
        <v>5.8944377979541365</v>
      </c>
      <c r="N49" s="170">
        <v>31</v>
      </c>
      <c r="O49" s="199">
        <f t="shared" si="41"/>
        <v>20.4173794466953</v>
      </c>
      <c r="P49" s="189" t="str">
        <f t="shared" si="32"/>
        <v>1078.86904761905</v>
      </c>
      <c r="Q49" s="160" t="str">
        <f t="shared" si="33"/>
        <v>1+4.00894307970581i</v>
      </c>
      <c r="R49" s="160">
        <f t="shared" si="42"/>
        <v>4.1317822566443532</v>
      </c>
      <c r="S49" s="160">
        <f t="shared" si="43"/>
        <v>1.3263426224850985</v>
      </c>
      <c r="T49" s="160" t="str">
        <f t="shared" si="34"/>
        <v>1+2.56572357101172E-06i</v>
      </c>
      <c r="U49" s="160">
        <f t="shared" si="44"/>
        <v>1.0000000000032916</v>
      </c>
      <c r="V49" s="160">
        <f t="shared" si="45"/>
        <v>2.5657235710060901E-6</v>
      </c>
      <c r="W49" s="98" t="str">
        <f t="shared" si="35"/>
        <v>1-0.00185563391549852i</v>
      </c>
      <c r="X49" s="160">
        <f t="shared" si="46"/>
        <v>1.000001721687132</v>
      </c>
      <c r="Y49" s="160">
        <f t="shared" si="47"/>
        <v>-1.8556317856203975E-3</v>
      </c>
      <c r="Z49" s="98" t="str">
        <f t="shared" si="36"/>
        <v>0.999999245143715+0.000147397374794206i</v>
      </c>
      <c r="AA49" s="160">
        <f t="shared" si="48"/>
        <v>0.99999925600671613</v>
      </c>
      <c r="AB49" s="160">
        <f t="shared" si="49"/>
        <v>1.4739748499067125E-4</v>
      </c>
      <c r="AC49" s="171" t="str">
        <f t="shared" si="50"/>
        <v>62.6898320115563-253.478210294481i</v>
      </c>
      <c r="AD49" s="190">
        <f t="shared" si="51"/>
        <v>48.336647561061731</v>
      </c>
      <c r="AE49" s="169">
        <f t="shared" si="52"/>
        <v>-76.108452575024742</v>
      </c>
      <c r="AF49" s="98" t="str">
        <f t="shared" si="37"/>
        <v>-9.95024875621891E-06</v>
      </c>
      <c r="AG49" s="98" t="str">
        <f t="shared" si="38"/>
        <v>0.000128414464729137i</v>
      </c>
      <c r="AH49" s="98">
        <f t="shared" si="53"/>
        <v>1.2841446472913699E-4</v>
      </c>
      <c r="AI49" s="98">
        <f t="shared" si="54"/>
        <v>1.5707963267948966</v>
      </c>
      <c r="AJ49" s="98" t="str">
        <f t="shared" si="39"/>
        <v>1+0.00128158020530056i</v>
      </c>
      <c r="AK49" s="98">
        <f t="shared" si="55"/>
        <v>1.000000821223574</v>
      </c>
      <c r="AL49" s="98">
        <f t="shared" si="56"/>
        <v>1.2815795036583788E-3</v>
      </c>
      <c r="AM49" s="98" t="str">
        <f t="shared" si="40"/>
        <v>1+1.28286178550586i</v>
      </c>
      <c r="AN49" s="98">
        <f t="shared" si="57"/>
        <v>1.6265713512512396</v>
      </c>
      <c r="AO49" s="98">
        <f t="shared" si="58"/>
        <v>0.90867649686505725</v>
      </c>
      <c r="AP49" s="168" t="str">
        <f t="shared" si="59"/>
        <v>-0.0993036175960035+0.0776126857266694i</v>
      </c>
      <c r="AQ49" s="98">
        <f t="shared" si="60"/>
        <v>-17.990144908597529</v>
      </c>
      <c r="AR49" s="169">
        <f t="shared" si="61"/>
        <v>141.98989911643025</v>
      </c>
      <c r="AS49" s="168" t="str">
        <f t="shared" si="62"/>
        <v>13.4477975689109+30.0368294941731i</v>
      </c>
      <c r="AT49" s="190">
        <f t="shared" si="63"/>
        <v>30.346502652464196</v>
      </c>
      <c r="AU49" s="169">
        <f t="shared" si="64"/>
        <v>65.881446541405452</v>
      </c>
      <c r="AV49" s="225"/>
      <c r="AX49">
        <f t="shared" si="65"/>
        <v>0</v>
      </c>
      <c r="AY49">
        <f t="shared" si="66"/>
        <v>0</v>
      </c>
    </row>
    <row r="50" spans="1:51" x14ac:dyDescent="0.55000000000000004">
      <c r="A50" s="98" t="s">
        <v>544</v>
      </c>
      <c r="B50" s="209">
        <f>2*Fsw*((1-1/(B20/B17))/Dc_VIN_nom)^2</f>
        <v>94000</v>
      </c>
      <c r="C50" s="98" t="s">
        <v>251</v>
      </c>
      <c r="E50" s="98" t="s">
        <v>545</v>
      </c>
      <c r="N50" s="170">
        <v>32</v>
      </c>
      <c r="O50" s="199">
        <f t="shared" si="41"/>
        <v>20.8929613085404</v>
      </c>
      <c r="P50" s="189" t="str">
        <f t="shared" si="32"/>
        <v>1078.86904761905</v>
      </c>
      <c r="Q50" s="160" t="str">
        <f t="shared" si="33"/>
        <v>1+4.10232335991541i</v>
      </c>
      <c r="R50" s="160">
        <f t="shared" si="42"/>
        <v>4.2224467965040908</v>
      </c>
      <c r="S50" s="160">
        <f t="shared" si="43"/>
        <v>1.3316951096445329</v>
      </c>
      <c r="T50" s="160" t="str">
        <f t="shared" si="34"/>
        <v>1+2.62548695034586E-06i</v>
      </c>
      <c r="U50" s="160">
        <f t="shared" si="44"/>
        <v>1.0000000000034466</v>
      </c>
      <c r="V50" s="160">
        <f t="shared" si="45"/>
        <v>2.6254869503398275E-6</v>
      </c>
      <c r="W50" s="98" t="str">
        <f t="shared" si="35"/>
        <v>1-0.00189885718196814i</v>
      </c>
      <c r="X50" s="160">
        <f t="shared" si="46"/>
        <v>1.0000018028276736</v>
      </c>
      <c r="Y50" s="160">
        <f t="shared" si="47"/>
        <v>-1.8988548997628362E-3</v>
      </c>
      <c r="Z50" s="98" t="str">
        <f t="shared" si="36"/>
        <v>0.999999209568434+0.000150830700707492i</v>
      </c>
      <c r="AA50" s="160">
        <f t="shared" si="48"/>
        <v>0.99999922094339311</v>
      </c>
      <c r="AB50" s="160">
        <f t="shared" si="49"/>
        <v>1.5083081878513604E-4</v>
      </c>
      <c r="AC50" s="171" t="str">
        <f t="shared" si="50"/>
        <v>60.0037083728137-248.36312862151i</v>
      </c>
      <c r="AD50" s="190">
        <f t="shared" si="51"/>
        <v>48.148113374353358</v>
      </c>
      <c r="AE50" s="169">
        <f t="shared" si="52"/>
        <v>-76.417797292522778</v>
      </c>
      <c r="AF50" s="98" t="str">
        <f t="shared" si="37"/>
        <v>-9.95024875621891E-06</v>
      </c>
      <c r="AG50" s="98" t="str">
        <f t="shared" si="38"/>
        <v>0.00013140562186481i</v>
      </c>
      <c r="AH50" s="98">
        <f t="shared" si="53"/>
        <v>1.3140562186480999E-4</v>
      </c>
      <c r="AI50" s="98">
        <f t="shared" si="54"/>
        <v>1.5707963267948966</v>
      </c>
      <c r="AJ50" s="98" t="str">
        <f t="shared" si="39"/>
        <v>1+0.0013114320431298i</v>
      </c>
      <c r="AK50" s="98">
        <f t="shared" si="55"/>
        <v>1.0000008599266321</v>
      </c>
      <c r="AL50" s="98">
        <f t="shared" si="56"/>
        <v>1.3114312913066926E-3</v>
      </c>
      <c r="AM50" s="98" t="str">
        <f t="shared" si="40"/>
        <v>1+1.31274347517293i</v>
      </c>
      <c r="AN50" s="98">
        <f t="shared" si="57"/>
        <v>1.6502410222779886</v>
      </c>
      <c r="AO50" s="98">
        <f t="shared" si="58"/>
        <v>0.91980902045696422</v>
      </c>
      <c r="AP50" s="168" t="str">
        <f t="shared" si="59"/>
        <v>-0.0993036099093035+0.0758518666134636i</v>
      </c>
      <c r="AQ50" s="98">
        <f t="shared" si="60"/>
        <v>-18.064660045904557</v>
      </c>
      <c r="AR50" s="169">
        <f t="shared" si="61"/>
        <v>142.62603535213319</v>
      </c>
      <c r="AS50" s="168" t="str">
        <f t="shared" si="62"/>
        <v>12.8802220545358+29.2147485242924i</v>
      </c>
      <c r="AT50" s="190">
        <f t="shared" si="63"/>
        <v>30.083453328448794</v>
      </c>
      <c r="AU50" s="169">
        <f t="shared" si="64"/>
        <v>66.208238059610366</v>
      </c>
      <c r="AV50" s="225"/>
      <c r="AX50">
        <f t="shared" si="65"/>
        <v>0</v>
      </c>
      <c r="AY50">
        <f t="shared" si="66"/>
        <v>0</v>
      </c>
    </row>
    <row r="51" spans="1:51" x14ac:dyDescent="0.55000000000000004">
      <c r="N51" s="170">
        <v>33</v>
      </c>
      <c r="O51" s="199">
        <f t="shared" si="41"/>
        <v>21.379620895022335</v>
      </c>
      <c r="P51" s="189" t="str">
        <f t="shared" si="32"/>
        <v>1078.86904761905</v>
      </c>
      <c r="Q51" s="160" t="str">
        <f t="shared" si="33"/>
        <v>1+4.19787874627106i</v>
      </c>
      <c r="R51" s="160">
        <f t="shared" si="42"/>
        <v>4.3153430881442425</v>
      </c>
      <c r="S51" s="160">
        <f t="shared" si="43"/>
        <v>1.3369392903417989</v>
      </c>
      <c r="T51" s="160" t="str">
        <f t="shared" si="34"/>
        <v>1+2.68664239761348E-06i</v>
      </c>
      <c r="U51" s="160">
        <f t="shared" si="44"/>
        <v>1.0000000000036091</v>
      </c>
      <c r="V51" s="160">
        <f t="shared" si="45"/>
        <v>2.6866423976070158E-6</v>
      </c>
      <c r="W51" s="98" t="str">
        <f t="shared" si="35"/>
        <v>1-0.00194308724764997i</v>
      </c>
      <c r="X51" s="160">
        <f t="shared" si="46"/>
        <v>1.0000018877922441</v>
      </c>
      <c r="Y51" s="160">
        <f t="shared" si="47"/>
        <v>-1.9430848022231777E-3</v>
      </c>
      <c r="Z51" s="98" t="str">
        <f t="shared" si="36"/>
        <v>0.999999172316542+0.000154343999054772i</v>
      </c>
      <c r="AA51" s="160">
        <f t="shared" si="48"/>
        <v>0.99999918422758671</v>
      </c>
      <c r="AB51" s="160">
        <f t="shared" si="49"/>
        <v>1.5434412557725172E-4</v>
      </c>
      <c r="AC51" s="171" t="str">
        <f t="shared" si="50"/>
        <v>57.4251902252137-243.323942618636i</v>
      </c>
      <c r="AD51" s="190">
        <f t="shared" si="51"/>
        <v>47.959091559550266</v>
      </c>
      <c r="AE51" s="169">
        <f t="shared" si="52"/>
        <v>-76.720998693921615</v>
      </c>
      <c r="AF51" s="98" t="str">
        <f t="shared" si="37"/>
        <v>-9.95024875621891E-06</v>
      </c>
      <c r="AG51" s="98" t="str">
        <f t="shared" si="38"/>
        <v>0.000134466452000555i</v>
      </c>
      <c r="AH51" s="98">
        <f t="shared" si="53"/>
        <v>1.3446645200055501E-4</v>
      </c>
      <c r="AI51" s="98">
        <f t="shared" si="54"/>
        <v>1.5707963267948966</v>
      </c>
      <c r="AJ51" s="98" t="str">
        <f t="shared" si="39"/>
        <v>1+0.00134197921958715i</v>
      </c>
      <c r="AK51" s="98">
        <f t="shared" si="55"/>
        <v>1.0000009004537076</v>
      </c>
      <c r="AL51" s="98">
        <f t="shared" si="56"/>
        <v>1.3419784139942154E-3</v>
      </c>
      <c r="AM51" s="98" t="str">
        <f t="shared" si="40"/>
        <v>1+1.34332119880674i</v>
      </c>
      <c r="AN51" s="98">
        <f t="shared" si="57"/>
        <v>1.6746676814113231</v>
      </c>
      <c r="AO51" s="98">
        <f t="shared" si="58"/>
        <v>0.93087367845703417</v>
      </c>
      <c r="AP51" s="168" t="str">
        <f t="shared" si="59"/>
        <v>-0.0993036018603406+0.074131265163004i</v>
      </c>
      <c r="AQ51" s="98">
        <f t="shared" si="60"/>
        <v>-18.137035189815794</v>
      </c>
      <c r="AR51" s="169">
        <f t="shared" si="61"/>
        <v>143.25824333608657</v>
      </c>
      <c r="AS51" s="168" t="str">
        <f t="shared" si="62"/>
        <v>12.3353834838907+28.4199459245107i</v>
      </c>
      <c r="AT51" s="190">
        <f t="shared" si="63"/>
        <v>29.822056369734476</v>
      </c>
      <c r="AU51" s="169">
        <f t="shared" si="64"/>
        <v>66.537244642165021</v>
      </c>
      <c r="AV51" s="225"/>
      <c r="AX51">
        <f t="shared" si="65"/>
        <v>0</v>
      </c>
      <c r="AY51">
        <f t="shared" si="66"/>
        <v>0</v>
      </c>
    </row>
    <row r="52" spans="1:51" x14ac:dyDescent="0.55000000000000004">
      <c r="N52" s="170">
        <v>34</v>
      </c>
      <c r="O52" s="199">
        <f t="shared" si="41"/>
        <v>21.877616239495538</v>
      </c>
      <c r="P52" s="189" t="str">
        <f t="shared" si="32"/>
        <v>1078.86904761905</v>
      </c>
      <c r="Q52" s="160" t="str">
        <f t="shared" si="33"/>
        <v>1+4.2956599035035i</v>
      </c>
      <c r="R52" s="160">
        <f t="shared" si="42"/>
        <v>4.4105208316669025</v>
      </c>
      <c r="S52" s="160">
        <f t="shared" si="43"/>
        <v>1.3420767908270528</v>
      </c>
      <c r="T52" s="160" t="str">
        <f t="shared" si="34"/>
        <v>1+2.74922233824224E-06i</v>
      </c>
      <c r="U52" s="160">
        <f t="shared" si="44"/>
        <v>1.0000000000037792</v>
      </c>
      <c r="V52" s="160">
        <f t="shared" si="45"/>
        <v>2.7492223382353136E-6</v>
      </c>
      <c r="W52" s="98" t="str">
        <f t="shared" si="35"/>
        <v>1-0.00198834756391032i</v>
      </c>
      <c r="X52" s="160">
        <f t="shared" si="46"/>
        <v>1.0000019767610637</v>
      </c>
      <c r="Y52" s="160">
        <f t="shared" si="47"/>
        <v>-1.9883449435885822E-3</v>
      </c>
      <c r="Z52" s="98" t="str">
        <f t="shared" si="36"/>
        <v>0.999999133309022+0.000157939132633335i</v>
      </c>
      <c r="AA52" s="160">
        <f t="shared" si="48"/>
        <v>0.99999914578141769</v>
      </c>
      <c r="AB52" s="160">
        <f t="shared" si="49"/>
        <v>1.5793926820461984E-4</v>
      </c>
      <c r="AC52" s="171" t="str">
        <f t="shared" si="50"/>
        <v>54.9505115867017-238.361307628564i</v>
      </c>
      <c r="AD52" s="190">
        <f t="shared" si="51"/>
        <v>47.769601706578172</v>
      </c>
      <c r="AE52" s="169">
        <f t="shared" si="52"/>
        <v>-77.018151404986341</v>
      </c>
      <c r="AF52" s="98" t="str">
        <f t="shared" si="37"/>
        <v>-9.95024875621891E-06</v>
      </c>
      <c r="AG52" s="98" t="str">
        <f t="shared" si="38"/>
        <v>0.000137598578029024i</v>
      </c>
      <c r="AH52" s="98">
        <f t="shared" si="53"/>
        <v>1.3759857802902401E-4</v>
      </c>
      <c r="AI52" s="98">
        <f t="shared" si="54"/>
        <v>1.5707963267948966</v>
      </c>
      <c r="AJ52" s="98" t="str">
        <f t="shared" si="39"/>
        <v>1+0.00137323793118993i</v>
      </c>
      <c r="AK52" s="98">
        <f t="shared" si="55"/>
        <v>1.0000009428907632</v>
      </c>
      <c r="AL52" s="98">
        <f t="shared" si="56"/>
        <v>1.3732370679815924E-3</v>
      </c>
      <c r="AM52" s="98" t="str">
        <f t="shared" si="40"/>
        <v>1+1.37461116912112i</v>
      </c>
      <c r="AN52" s="98">
        <f t="shared" si="57"/>
        <v>1.6998693674140177</v>
      </c>
      <c r="AO52" s="98">
        <f t="shared" si="58"/>
        <v>0.94186550103002109</v>
      </c>
      <c r="AP52" s="168" t="str">
        <f t="shared" si="59"/>
        <v>-0.0993035934320441+0.0724499690895589i</v>
      </c>
      <c r="AQ52" s="98">
        <f t="shared" si="60"/>
        <v>-18.207297386991304</v>
      </c>
      <c r="AR52" s="169">
        <f t="shared" si="61"/>
        <v>143.88623738972865</v>
      </c>
      <c r="AS52" s="168" t="str">
        <f t="shared" si="62"/>
        <v>11.8124861083476+27.6512972485893i</v>
      </c>
      <c r="AT52" s="190">
        <f t="shared" si="63"/>
        <v>29.562304319586865</v>
      </c>
      <c r="AU52" s="169">
        <f t="shared" si="64"/>
        <v>66.868085984742393</v>
      </c>
      <c r="AV52" s="225"/>
      <c r="AX52">
        <f t="shared" si="65"/>
        <v>0</v>
      </c>
      <c r="AY52">
        <f t="shared" si="66"/>
        <v>0</v>
      </c>
    </row>
    <row r="53" spans="1:51" ht="15.6" x14ac:dyDescent="0.6">
      <c r="A53" s="212" t="s">
        <v>261</v>
      </c>
      <c r="N53" s="170">
        <v>35</v>
      </c>
      <c r="O53" s="199">
        <f t="shared" si="41"/>
        <v>22.387211385683404</v>
      </c>
      <c r="P53" s="189" t="str">
        <f t="shared" si="32"/>
        <v>1078.86904761905</v>
      </c>
      <c r="Q53" s="160" t="str">
        <f t="shared" si="33"/>
        <v>1+4.39571867647656i</v>
      </c>
      <c r="R53" s="160">
        <f t="shared" si="42"/>
        <v>4.5080309096904863</v>
      </c>
      <c r="S53" s="160">
        <f t="shared" si="43"/>
        <v>1.3471092498012582</v>
      </c>
      <c r="T53" s="160" t="str">
        <f t="shared" si="34"/>
        <v>1+0.000002813259952945i</v>
      </c>
      <c r="U53" s="160">
        <f t="shared" si="44"/>
        <v>1.0000000000039573</v>
      </c>
      <c r="V53" s="160">
        <f t="shared" si="45"/>
        <v>2.8132599529375785E-6</v>
      </c>
      <c r="W53" s="98" t="str">
        <f t="shared" si="35"/>
        <v>1-0.00203466212836794i</v>
      </c>
      <c r="X53" s="160">
        <f t="shared" si="46"/>
        <v>1.000002069922846</v>
      </c>
      <c r="Y53" s="160">
        <f t="shared" si="47"/>
        <v>-2.0346593206429261E-3</v>
      </c>
      <c r="Z53" s="98" t="str">
        <f t="shared" si="36"/>
        <v>0.999999092463135+0.000161618007630593i</v>
      </c>
      <c r="AA53" s="160">
        <f t="shared" si="48"/>
        <v>0.99999910552333693</v>
      </c>
      <c r="AB53" s="160">
        <f t="shared" si="49"/>
        <v>1.6161815289784769E-4</v>
      </c>
      <c r="AC53" s="171" t="str">
        <f t="shared" si="50"/>
        <v>52.5759923138429-233.475737112873i</v>
      </c>
      <c r="AD53" s="190">
        <f t="shared" si="51"/>
        <v>47.579662715596214</v>
      </c>
      <c r="AE53" s="169">
        <f t="shared" si="52"/>
        <v>-77.309350798598189</v>
      </c>
      <c r="AF53" s="98" t="str">
        <f t="shared" si="37"/>
        <v>-9.95024875621891E-06</v>
      </c>
      <c r="AG53" s="98" t="str">
        <f t="shared" si="38"/>
        <v>0.000140803660644897i</v>
      </c>
      <c r="AH53" s="98">
        <f t="shared" si="53"/>
        <v>1.40803660644897E-4</v>
      </c>
      <c r="AI53" s="98">
        <f t="shared" si="54"/>
        <v>1.5707963267948966</v>
      </c>
      <c r="AJ53" s="98" t="str">
        <f t="shared" si="39"/>
        <v>1+0.00140522475172078i</v>
      </c>
      <c r="AK53" s="98">
        <f t="shared" si="55"/>
        <v>1.000000987327814</v>
      </c>
      <c r="AL53" s="98">
        <f t="shared" si="56"/>
        <v>1.4052238267764311E-3</v>
      </c>
      <c r="AM53" s="98" t="str">
        <f t="shared" si="40"/>
        <v>1+1.4066299764725i</v>
      </c>
      <c r="AN53" s="98">
        <f t="shared" si="57"/>
        <v>1.7258643894324452</v>
      </c>
      <c r="AO53" s="98">
        <f t="shared" si="58"/>
        <v>0.95277969223132397</v>
      </c>
      <c r="AP53" s="168" t="str">
        <f t="shared" si="59"/>
        <v>-0.0993035846065356+0.0708070869476224i</v>
      </c>
      <c r="AQ53" s="98">
        <f t="shared" si="60"/>
        <v>-18.275475370968273</v>
      </c>
      <c r="AR53" s="169">
        <f t="shared" si="61"/>
        <v>144.5097417760829</v>
      </c>
      <c r="AS53" s="168" t="str">
        <f t="shared" si="62"/>
        <v>11.3107523169012+26.9077304730852i</v>
      </c>
      <c r="AT53" s="190">
        <f t="shared" si="63"/>
        <v>29.304187344627934</v>
      </c>
      <c r="AU53" s="169">
        <f t="shared" si="64"/>
        <v>67.200390977484616</v>
      </c>
      <c r="AV53" s="225"/>
      <c r="AX53">
        <f t="shared" si="65"/>
        <v>0</v>
      </c>
      <c r="AY53">
        <f t="shared" si="66"/>
        <v>0</v>
      </c>
    </row>
    <row r="54" spans="1:51" x14ac:dyDescent="0.55000000000000004">
      <c r="A54" s="98" t="s">
        <v>226</v>
      </c>
      <c r="N54" s="170">
        <v>36</v>
      </c>
      <c r="O54" s="199">
        <f t="shared" si="41"/>
        <v>22.908676527677727</v>
      </c>
      <c r="P54" s="189" t="str">
        <f t="shared" si="32"/>
        <v>1078.86904761905</v>
      </c>
      <c r="Q54" s="160" t="str">
        <f t="shared" si="33"/>
        <v>1+4.49810811767609i</v>
      </c>
      <c r="R54" s="160">
        <f t="shared" si="42"/>
        <v>4.6079254158789871</v>
      </c>
      <c r="S54" s="160">
        <f t="shared" si="43"/>
        <v>1.3520383154821363</v>
      </c>
      <c r="T54" s="160" t="str">
        <f t="shared" si="34"/>
        <v>1+0.0000028787891953127i</v>
      </c>
      <c r="U54" s="160">
        <f t="shared" si="44"/>
        <v>1.0000000000041438</v>
      </c>
      <c r="V54" s="160">
        <f t="shared" si="45"/>
        <v>2.8787891953047474E-6</v>
      </c>
      <c r="W54" s="98" t="str">
        <f t="shared" si="35"/>
        <v>1-0.00208205549761796i</v>
      </c>
      <c r="X54" s="160">
        <f t="shared" si="46"/>
        <v>1.0000021674751987</v>
      </c>
      <c r="Y54" s="160">
        <f t="shared" si="47"/>
        <v>-2.0820524890867559E-3</v>
      </c>
      <c r="Z54" s="98" t="str">
        <f t="shared" si="36"/>
        <v>0.99999904969224+0.000165382574634763i</v>
      </c>
      <c r="AA54" s="160">
        <f t="shared" si="48"/>
        <v>0.99999906336795086</v>
      </c>
      <c r="AB54" s="160">
        <f t="shared" si="49"/>
        <v>1.6538273029143737E-4</v>
      </c>
      <c r="AC54" s="171" t="str">
        <f t="shared" si="50"/>
        <v>50.2980402922212-228.667611283325i</v>
      </c>
      <c r="AD54" s="190">
        <f t="shared" si="51"/>
        <v>47.389292813117322</v>
      </c>
      <c r="AE54" s="169">
        <f t="shared" si="52"/>
        <v>-77.594692827432141</v>
      </c>
      <c r="AF54" s="98" t="str">
        <f t="shared" si="37"/>
        <v>-9.95024875621891E-06</v>
      </c>
      <c r="AG54" s="98" t="str">
        <f t="shared" si="38"/>
        <v>0.0001440833992254i</v>
      </c>
      <c r="AH54" s="98">
        <f t="shared" si="53"/>
        <v>1.4408339922540001E-4</v>
      </c>
      <c r="AI54" s="98">
        <f t="shared" si="54"/>
        <v>1.5707963267948966</v>
      </c>
      <c r="AJ54" s="98" t="str">
        <f t="shared" si="39"/>
        <v>1+0.00143795664101533i</v>
      </c>
      <c r="AK54" s="98">
        <f t="shared" si="55"/>
        <v>1.0000010338591163</v>
      </c>
      <c r="AL54" s="98">
        <f t="shared" si="56"/>
        <v>1.4379556499196592E-3</v>
      </c>
      <c r="AM54" s="98" t="str">
        <f t="shared" si="40"/>
        <v>1+1.43939459765635i</v>
      </c>
      <c r="AN54" s="98">
        <f t="shared" si="57"/>
        <v>1.7526713347807927</v>
      </c>
      <c r="AO54" s="98">
        <f t="shared" si="58"/>
        <v>0.96361163838045227</v>
      </c>
      <c r="AP54" s="168" t="str">
        <f t="shared" si="59"/>
        <v>-0.0993035753650953+0.0692017476592592i</v>
      </c>
      <c r="AQ54" s="98">
        <f t="shared" si="60"/>
        <v>-18.341599456573171</v>
      </c>
      <c r="AR54" s="169">
        <f t="shared" si="61"/>
        <v>145.12849117901902</v>
      </c>
      <c r="AS54" s="168" t="str">
        <f t="shared" si="62"/>
        <v>10.829423098999+26.1882236626875i</v>
      </c>
      <c r="AT54" s="190">
        <f t="shared" si="63"/>
        <v>29.047693356544141</v>
      </c>
      <c r="AU54" s="169">
        <f t="shared" si="64"/>
        <v>67.533798351586952</v>
      </c>
      <c r="AV54" s="225"/>
      <c r="AX54">
        <f t="shared" si="65"/>
        <v>0</v>
      </c>
      <c r="AY54">
        <f t="shared" si="66"/>
        <v>0</v>
      </c>
    </row>
    <row r="55" spans="1:51" x14ac:dyDescent="0.55000000000000004">
      <c r="A55" s="98" t="s">
        <v>224</v>
      </c>
      <c r="B55" s="187">
        <f>RFBT</f>
        <v>100000</v>
      </c>
      <c r="C55" s="206" t="s">
        <v>36</v>
      </c>
      <c r="E55" s="98" t="s">
        <v>227</v>
      </c>
      <c r="N55" s="170">
        <v>37</v>
      </c>
      <c r="O55" s="199">
        <f t="shared" si="41"/>
        <v>23.442288153199236</v>
      </c>
      <c r="P55" s="189" t="str">
        <f t="shared" si="32"/>
        <v>1078.86904761905</v>
      </c>
      <c r="Q55" s="160" t="str">
        <f t="shared" si="33"/>
        <v>1+4.60288251533913i</v>
      </c>
      <c r="R55" s="160">
        <f t="shared" si="42"/>
        <v>4.7102576840354153</v>
      </c>
      <c r="S55" s="160">
        <f t="shared" si="43"/>
        <v>1.3568656428512806</v>
      </c>
      <c r="T55" s="160" t="str">
        <f t="shared" si="34"/>
        <v>1+2.94584480981704E-06i</v>
      </c>
      <c r="U55" s="160">
        <f t="shared" si="44"/>
        <v>1.000000000004339</v>
      </c>
      <c r="V55" s="160">
        <f t="shared" si="45"/>
        <v>2.9458448098085188E-6</v>
      </c>
      <c r="W55" s="98" t="str">
        <f t="shared" si="35"/>
        <v>1-0.00213055280025208i</v>
      </c>
      <c r="X55" s="160">
        <f t="shared" si="46"/>
        <v>1.0000022696250417</v>
      </c>
      <c r="Y55" s="160">
        <f t="shared" si="47"/>
        <v>-2.1305495765532095E-3</v>
      </c>
      <c r="Z55" s="98" t="str">
        <f t="shared" si="36"/>
        <v>0.999999004905615+0.000169234829669102i</v>
      </c>
      <c r="AA55" s="160">
        <f t="shared" si="48"/>
        <v>0.99999901922584311</v>
      </c>
      <c r="AB55" s="160">
        <f t="shared" si="49"/>
        <v>1.6923499645824088E-4</v>
      </c>
      <c r="AC55" s="171" t="str">
        <f t="shared" si="50"/>
        <v>48.1131531445694-223.937185453907i</v>
      </c>
      <c r="AD55" s="190">
        <f t="shared" si="51"/>
        <v>47.198509568489442</v>
      </c>
      <c r="AE55" s="169">
        <f t="shared" si="52"/>
        <v>-77.874273867031846</v>
      </c>
      <c r="AF55" s="98" t="str">
        <f t="shared" si="37"/>
        <v>-9.95024875621891E-06</v>
      </c>
      <c r="AG55" s="98" t="str">
        <f t="shared" si="38"/>
        <v>0.000147439532731342i</v>
      </c>
      <c r="AH55" s="98">
        <f t="shared" si="53"/>
        <v>1.47439532731342E-4</v>
      </c>
      <c r="AI55" s="98">
        <f t="shared" si="54"/>
        <v>1.5707963267948966</v>
      </c>
      <c r="AJ55" s="98" t="str">
        <f t="shared" si="39"/>
        <v>1+0.00147145095395457i</v>
      </c>
      <c r="AK55" s="98">
        <f t="shared" si="55"/>
        <v>1.0000010825833689</v>
      </c>
      <c r="AL55" s="98">
        <f t="shared" si="56"/>
        <v>1.4714498919764876E-3</v>
      </c>
      <c r="AM55" s="98" t="str">
        <f t="shared" si="40"/>
        <v>1+1.47292240490852i</v>
      </c>
      <c r="AN55" s="98">
        <f t="shared" si="57"/>
        <v>1.780309077346262</v>
      </c>
      <c r="AO55" s="98">
        <f t="shared" si="58"/>
        <v>0.97435691545417047</v>
      </c>
      <c r="AP55" s="168" t="str">
        <f t="shared" si="59"/>
        <v>-0.0993035656881212+0.0676331000522453i</v>
      </c>
      <c r="AQ55" s="98">
        <f t="shared" si="60"/>
        <v>-18.405701430991211</v>
      </c>
      <c r="AR55" s="169">
        <f t="shared" si="61"/>
        <v>145.74223112633391</v>
      </c>
      <c r="AS55" s="168" t="str">
        <f t="shared" si="62"/>
        <v>10.3677584054679+25.4918027061907i</v>
      </c>
      <c r="AT55" s="190">
        <f t="shared" si="63"/>
        <v>28.792808137498227</v>
      </c>
      <c r="AU55" s="169">
        <f t="shared" si="64"/>
        <v>67.867957259302116</v>
      </c>
      <c r="AV55" s="225"/>
      <c r="AX55">
        <f t="shared" si="65"/>
        <v>0</v>
      </c>
      <c r="AY55">
        <f t="shared" si="66"/>
        <v>0</v>
      </c>
    </row>
    <row r="56" spans="1:51" x14ac:dyDescent="0.55000000000000004">
      <c r="A56" s="98" t="s">
        <v>225</v>
      </c>
      <c r="B56" s="187">
        <f>RFBB</f>
        <v>500</v>
      </c>
      <c r="C56" s="206" t="s">
        <v>36</v>
      </c>
      <c r="E56" s="98" t="s">
        <v>228</v>
      </c>
      <c r="N56" s="170">
        <v>38</v>
      </c>
      <c r="O56" s="199">
        <f t="shared" si="41"/>
        <v>23.988329190194907</v>
      </c>
      <c r="P56" s="189" t="str">
        <f t="shared" si="32"/>
        <v>1078.86904761905</v>
      </c>
      <c r="Q56" s="160" t="str">
        <f t="shared" si="33"/>
        <v>1+4.71009742223812i</v>
      </c>
      <c r="R56" s="160">
        <f t="shared" si="42"/>
        <v>4.8150823177775663</v>
      </c>
      <c r="S56" s="160">
        <f t="shared" si="43"/>
        <v>1.3615928910763497</v>
      </c>
      <c r="T56" s="160" t="str">
        <f t="shared" si="34"/>
        <v>1+0.0000030144623502324i</v>
      </c>
      <c r="U56" s="160">
        <f t="shared" si="44"/>
        <v>1.0000000000045435</v>
      </c>
      <c r="V56" s="160">
        <f t="shared" si="45"/>
        <v>3.0144623502232695E-6</v>
      </c>
      <c r="W56" s="98" t="str">
        <f t="shared" si="35"/>
        <v>1-0.00218017975018208i</v>
      </c>
      <c r="X56" s="160">
        <f t="shared" si="46"/>
        <v>1.0000023765890473</v>
      </c>
      <c r="Y56" s="160">
        <f t="shared" si="47"/>
        <v>-2.1801762959269494E-3</v>
      </c>
      <c r="Z56" s="98" t="str">
        <f t="shared" si="36"/>
        <v>0.999998958008262+0.000173176815250219i</v>
      </c>
      <c r="AA56" s="160">
        <f t="shared" si="48"/>
        <v>0.99999897300338214</v>
      </c>
      <c r="AB56" s="160">
        <f t="shared" si="49"/>
        <v>1.7317699396800936E-4</v>
      </c>
      <c r="AC56" s="171" t="str">
        <f t="shared" si="50"/>
        <v>46.0179194958809-219.284598102696i</v>
      </c>
      <c r="AD56" s="190">
        <f t="shared" si="51"/>
        <v>47.007329910651627</v>
      </c>
      <c r="AE56" s="169">
        <f t="shared" si="52"/>
        <v>-78.148190568934879</v>
      </c>
      <c r="AF56" s="98" t="str">
        <f t="shared" si="37"/>
        <v>-9.95024875621891E-06</v>
      </c>
      <c r="AG56" s="98" t="str">
        <f t="shared" si="38"/>
        <v>0.000150873840629131i</v>
      </c>
      <c r="AH56" s="98">
        <f t="shared" si="53"/>
        <v>1.5087384062913099E-4</v>
      </c>
      <c r="AI56" s="98">
        <f t="shared" si="54"/>
        <v>1.5707963267948966</v>
      </c>
      <c r="AJ56" s="98" t="str">
        <f t="shared" si="39"/>
        <v>1+0.00150572544966653i</v>
      </c>
      <c r="AK56" s="98">
        <f t="shared" si="55"/>
        <v>1.0000011336039223</v>
      </c>
      <c r="AL56" s="98">
        <f t="shared" si="56"/>
        <v>1.5057243117365825E-3</v>
      </c>
      <c r="AM56" s="98" t="str">
        <f t="shared" si="40"/>
        <v>1+1.5072311751162i</v>
      </c>
      <c r="AN56" s="98">
        <f t="shared" si="57"/>
        <v>1.80879678660765</v>
      </c>
      <c r="AO56" s="98">
        <f t="shared" si="58"/>
        <v>0.98501129548824573</v>
      </c>
      <c r="AP56" s="168" t="str">
        <f t="shared" si="59"/>
        <v>-0.099303555555087+0.0661003124087665i</v>
      </c>
      <c r="AQ56" s="98">
        <f t="shared" si="60"/>
        <v>-18.467814442266398</v>
      </c>
      <c r="AR56" s="169">
        <f t="shared" si="61"/>
        <v>146.35071835601735</v>
      </c>
      <c r="AS56" s="168" t="str">
        <f t="shared" si="62"/>
        <v>9.92503741583028+24.8175391251452i</v>
      </c>
      <c r="AT56" s="190">
        <f t="shared" si="63"/>
        <v>28.539515468385229</v>
      </c>
      <c r="AU56" s="169">
        <f t="shared" si="64"/>
        <v>68.202527787082488</v>
      </c>
      <c r="AV56" s="225"/>
      <c r="AX56">
        <f t="shared" si="65"/>
        <v>0</v>
      </c>
      <c r="AY56">
        <f t="shared" si="66"/>
        <v>0</v>
      </c>
    </row>
    <row r="57" spans="1:51" x14ac:dyDescent="0.55000000000000004">
      <c r="A57" s="98" t="s">
        <v>214</v>
      </c>
      <c r="B57" s="187">
        <f>RCOMP</f>
        <v>10000</v>
      </c>
      <c r="C57" s="206" t="s">
        <v>36</v>
      </c>
      <c r="E57" s="98" t="s">
        <v>221</v>
      </c>
      <c r="N57" s="170">
        <v>39</v>
      </c>
      <c r="O57" s="199">
        <f t="shared" si="41"/>
        <v>24.547089156850316</v>
      </c>
      <c r="P57" s="189" t="str">
        <f t="shared" si="32"/>
        <v>1078.86904761905</v>
      </c>
      <c r="Q57" s="160" t="str">
        <f t="shared" si="33"/>
        <v>1+4.81980968513591i</v>
      </c>
      <c r="R57" s="160">
        <f t="shared" si="42"/>
        <v>4.9224552208151087</v>
      </c>
      <c r="S57" s="160">
        <f t="shared" si="43"/>
        <v>1.366221721102082</v>
      </c>
      <c r="T57" s="160" t="str">
        <f t="shared" si="34"/>
        <v>1+3.08467819848698E-06i</v>
      </c>
      <c r="U57" s="160">
        <f t="shared" si="44"/>
        <v>1.0000000000047575</v>
      </c>
      <c r="V57" s="160">
        <f t="shared" si="45"/>
        <v>3.0846781984771965E-6</v>
      </c>
      <c r="W57" s="98" t="str">
        <f t="shared" si="35"/>
        <v>1-0.00223096266027372i</v>
      </c>
      <c r="X57" s="160">
        <f t="shared" si="46"/>
        <v>1.0000024885940992</v>
      </c>
      <c r="Y57" s="160">
        <f t="shared" si="47"/>
        <v>-2.2309589589731599E-3</v>
      </c>
      <c r="Z57" s="98" t="str">
        <f t="shared" si="36"/>
        <v>0.999998908900704+0.000177210621471047i</v>
      </c>
      <c r="AA57" s="160">
        <f t="shared" si="48"/>
        <v>0.99999892460252315</v>
      </c>
      <c r="AB57" s="160">
        <f t="shared" si="49"/>
        <v>1.7721081297061885E-4</v>
      </c>
      <c r="AC57" s="171" t="str">
        <f t="shared" si="50"/>
        <v>44.009019833089-214.709878635604i</v>
      </c>
      <c r="AD57" s="190">
        <f t="shared" si="51"/>
        <v>46.815770145087228</v>
      </c>
      <c r="AE57" s="169">
        <f t="shared" si="52"/>
        <v>-78.416539723490175</v>
      </c>
      <c r="AF57" s="98" t="str">
        <f t="shared" si="37"/>
        <v>-9.95024875621891E-06</v>
      </c>
      <c r="AG57" s="98" t="str">
        <f t="shared" si="38"/>
        <v>0.000154388143834274i</v>
      </c>
      <c r="AH57" s="98">
        <f t="shared" si="53"/>
        <v>1.5438814383427401E-4</v>
      </c>
      <c r="AI57" s="98">
        <f t="shared" si="54"/>
        <v>1.5707963267948966</v>
      </c>
      <c r="AJ57" s="98" t="str">
        <f t="shared" si="39"/>
        <v>1+0.00154079830094255i</v>
      </c>
      <c r="AK57" s="98">
        <f t="shared" si="55"/>
        <v>1.0000011870289975</v>
      </c>
      <c r="AL57" s="98">
        <f t="shared" si="56"/>
        <v>1.5407970816287216E-3</v>
      </c>
      <c r="AM57" s="98" t="str">
        <f t="shared" si="40"/>
        <v>1+1.54233909924349i</v>
      </c>
      <c r="AN57" s="98">
        <f t="shared" si="57"/>
        <v>1.8381539372574922</v>
      </c>
      <c r="AO57" s="98">
        <f t="shared" si="58"/>
        <v>0.9955707519855812</v>
      </c>
      <c r="AP57" s="168" t="str">
        <f t="shared" si="59"/>
        <v>-0.0993035449444992+0.0646025720244289i</v>
      </c>
      <c r="AQ57" s="98">
        <f t="shared" si="60"/>
        <v>-18.527972885995815</v>
      </c>
      <c r="AR57" s="169">
        <f t="shared" si="61"/>
        <v>146.95372112557601</v>
      </c>
      <c r="AS57" s="168" t="str">
        <f t="shared" si="62"/>
        <v>9.50055871995449+24.1645479566103i</v>
      </c>
      <c r="AT57" s="190">
        <f t="shared" si="63"/>
        <v>28.287797259091402</v>
      </c>
      <c r="AU57" s="169">
        <f t="shared" si="64"/>
        <v>68.537181402085807</v>
      </c>
      <c r="AV57" s="225"/>
      <c r="AX57">
        <f t="shared" si="65"/>
        <v>0</v>
      </c>
      <c r="AY57">
        <f t="shared" si="66"/>
        <v>0</v>
      </c>
    </row>
    <row r="58" spans="1:51" x14ac:dyDescent="0.55000000000000004">
      <c r="A58" s="98" t="s">
        <v>219</v>
      </c>
      <c r="B58" s="187">
        <f>CCOMP</f>
        <v>1.0000000000000002E-6</v>
      </c>
      <c r="C58" s="206" t="s">
        <v>193</v>
      </c>
      <c r="E58" s="98" t="s">
        <v>222</v>
      </c>
      <c r="N58" s="170">
        <v>40</v>
      </c>
      <c r="O58" s="199">
        <f t="shared" si="41"/>
        <v>25.118864315095799</v>
      </c>
      <c r="P58" s="189" t="str">
        <f t="shared" si="32"/>
        <v>1078.86904761905</v>
      </c>
      <c r="Q58" s="160" t="str">
        <f t="shared" si="33"/>
        <v>1+4.9320774749265i</v>
      </c>
      <c r="R58" s="160">
        <f t="shared" si="42"/>
        <v>5.0324336278462098</v>
      </c>
      <c r="S58" s="160">
        <f t="shared" si="43"/>
        <v>1.3707537934036804</v>
      </c>
      <c r="T58" s="160" t="str">
        <f t="shared" si="34"/>
        <v>1+3.15652958395296E-06i</v>
      </c>
      <c r="U58" s="160">
        <f t="shared" si="44"/>
        <v>1.0000000000049818</v>
      </c>
      <c r="V58" s="160">
        <f t="shared" si="45"/>
        <v>3.1565295839424762E-6</v>
      </c>
      <c r="W58" s="98" t="str">
        <f t="shared" si="35"/>
        <v>1-0.00228292845629814i</v>
      </c>
      <c r="X58" s="160">
        <f t="shared" si="46"/>
        <v>1.0000026058777729</v>
      </c>
      <c r="Y58" s="160">
        <f t="shared" si="47"/>
        <v>-2.2829244902836934E-3</v>
      </c>
      <c r="Z58" s="98" t="str">
        <f t="shared" si="36"/>
        <v>0.999998857478779+0.000181338387109041i</v>
      </c>
      <c r="AA58" s="160">
        <f t="shared" si="48"/>
        <v>0.99999887392060305</v>
      </c>
      <c r="AB58" s="160">
        <f t="shared" si="49"/>
        <v>1.8133859230453939E-4</v>
      </c>
      <c r="AC58" s="171" t="str">
        <f t="shared" si="50"/>
        <v>42.0832269951554-210.212954846649i</v>
      </c>
      <c r="AD58" s="190">
        <f t="shared" si="51"/>
        <v>46.62384597090135</v>
      </c>
      <c r="AE58" s="169">
        <f t="shared" si="52"/>
        <v>-78.679418131997622</v>
      </c>
      <c r="AF58" s="98" t="str">
        <f t="shared" si="37"/>
        <v>-9.95024875621891E-06</v>
      </c>
      <c r="AG58" s="98" t="str">
        <f t="shared" si="38"/>
        <v>0.000157984305676845i</v>
      </c>
      <c r="AH58" s="98">
        <f t="shared" si="53"/>
        <v>1.5798430567684501E-4</v>
      </c>
      <c r="AI58" s="98">
        <f t="shared" si="54"/>
        <v>1.5707963267948966</v>
      </c>
      <c r="AJ58" s="98" t="str">
        <f t="shared" si="39"/>
        <v>1+0.00157668810387261i</v>
      </c>
      <c r="AK58" s="98">
        <f t="shared" si="55"/>
        <v>1.0000012429719161</v>
      </c>
      <c r="AL58" s="98">
        <f t="shared" si="56"/>
        <v>1.5766867973543914E-3</v>
      </c>
      <c r="AM58" s="98" t="str">
        <f t="shared" si="40"/>
        <v>1+1.57826479197648i</v>
      </c>
      <c r="AN58" s="98">
        <f t="shared" si="57"/>
        <v>1.8684003194156658</v>
      </c>
      <c r="AO58" s="98">
        <f t="shared" si="58"/>
        <v>1.0060314643368555</v>
      </c>
      <c r="AP58" s="168" t="str">
        <f t="shared" si="59"/>
        <v>-0.099303533833854+0.0631390847773541i</v>
      </c>
      <c r="AQ58" s="98">
        <f t="shared" si="60"/>
        <v>-18.586212290962401</v>
      </c>
      <c r="AR58" s="169">
        <f t="shared" si="61"/>
        <v>147.5510194647654</v>
      </c>
      <c r="AS58" s="168" t="str">
        <f t="shared" si="62"/>
        <v>9.09364042160951+23.5319857108804i</v>
      </c>
      <c r="AT58" s="190">
        <f t="shared" si="63"/>
        <v>28.037633679938953</v>
      </c>
      <c r="AU58" s="169">
        <f t="shared" si="64"/>
        <v>68.87160133276781</v>
      </c>
      <c r="AV58" s="225"/>
      <c r="AX58">
        <f t="shared" si="65"/>
        <v>0</v>
      </c>
      <c r="AY58">
        <f t="shared" si="66"/>
        <v>0</v>
      </c>
    </row>
    <row r="59" spans="1:51" x14ac:dyDescent="0.55000000000000004">
      <c r="A59" s="98" t="s">
        <v>220</v>
      </c>
      <c r="B59" s="187">
        <f>CHF</f>
        <v>1.0000000000000001E-9</v>
      </c>
      <c r="C59" s="206" t="s">
        <v>193</v>
      </c>
      <c r="E59" s="98" t="s">
        <v>223</v>
      </c>
      <c r="N59" s="170">
        <v>41</v>
      </c>
      <c r="O59" s="199">
        <f t="shared" si="41"/>
        <v>25.703957827688647</v>
      </c>
      <c r="P59" s="189" t="str">
        <f t="shared" si="32"/>
        <v>1078.86904761905</v>
      </c>
      <c r="Q59" s="160" t="str">
        <f t="shared" si="33"/>
        <v>1+5.04696031747803i</v>
      </c>
      <c r="R59" s="160">
        <f t="shared" si="42"/>
        <v>5.1450761360934143</v>
      </c>
      <c r="S59" s="160">
        <f t="shared" si="43"/>
        <v>1.3751907658960834</v>
      </c>
      <c r="T59" s="160" t="str">
        <f t="shared" si="34"/>
        <v>1+3.23005460318594E-06i</v>
      </c>
      <c r="U59" s="160">
        <f t="shared" si="44"/>
        <v>1.0000000000052167</v>
      </c>
      <c r="V59" s="160">
        <f t="shared" si="45"/>
        <v>3.2300546031747064E-6</v>
      </c>
      <c r="W59" s="98" t="str">
        <f t="shared" si="35"/>
        <v>1-0.0023361046912082i</v>
      </c>
      <c r="X59" s="160">
        <f t="shared" si="46"/>
        <v>1.0000027286888413</v>
      </c>
      <c r="Y59" s="160">
        <f t="shared" si="47"/>
        <v>-2.3361004415477817E-3</v>
      </c>
      <c r="Z59" s="98" t="str">
        <f t="shared" si="36"/>
        <v>0.999998803633412+0.000185562300760175i</v>
      </c>
      <c r="AA59" s="160">
        <f t="shared" si="48"/>
        <v>0.99999882085011604</v>
      </c>
      <c r="AB59" s="160">
        <f t="shared" si="49"/>
        <v>1.8556252063112465E-4</v>
      </c>
      <c r="AC59" s="171" t="str">
        <f t="shared" si="50"/>
        <v>40.2374063275978-205.7936600718i</v>
      </c>
      <c r="AD59" s="190">
        <f t="shared" si="51"/>
        <v>46.431572497958093</v>
      </c>
      <c r="AE59" s="169">
        <f t="shared" si="52"/>
        <v>-78.936922487799748</v>
      </c>
      <c r="AF59" s="98" t="str">
        <f t="shared" si="37"/>
        <v>-9.95024875621891E-06</v>
      </c>
      <c r="AG59" s="98" t="str">
        <f t="shared" si="38"/>
        <v>0.000161664232889456i</v>
      </c>
      <c r="AH59" s="98">
        <f t="shared" si="53"/>
        <v>1.6166423288945599E-4</v>
      </c>
      <c r="AI59" s="98">
        <f t="shared" si="54"/>
        <v>1.5707963267948966</v>
      </c>
      <c r="AJ59" s="98" t="str">
        <f t="shared" si="39"/>
        <v>1+0.00161341388770526i</v>
      </c>
      <c r="AK59" s="98">
        <f t="shared" si="55"/>
        <v>1.0000013015513394</v>
      </c>
      <c r="AL59" s="98">
        <f t="shared" si="56"/>
        <v>1.6134124877458644E-3</v>
      </c>
      <c r="AM59" s="98" t="str">
        <f t="shared" si="40"/>
        <v>1+1.61502730159297i</v>
      </c>
      <c r="AN59" s="98">
        <f t="shared" si="57"/>
        <v>1.8995560494206718</v>
      </c>
      <c r="AO59" s="98">
        <f t="shared" si="58"/>
        <v>1.0163898212677382</v>
      </c>
      <c r="AP59" s="168" t="str">
        <f t="shared" si="59"/>
        <v>-0.0993035221995816+0.0617090747071209i</v>
      </c>
      <c r="AQ59" s="98">
        <f t="shared" si="60"/>
        <v>-18.642569204426355</v>
      </c>
      <c r="AR59" s="169">
        <f t="shared" si="61"/>
        <v>148.14240537253593</v>
      </c>
      <c r="AS59" s="168" t="str">
        <f t="shared" si="62"/>
        <v>8.70362017111636+22.9190484045637i</v>
      </c>
      <c r="AT59" s="190">
        <f t="shared" si="63"/>
        <v>27.78900329353176</v>
      </c>
      <c r="AU59" s="169">
        <f t="shared" si="64"/>
        <v>69.205482884736227</v>
      </c>
      <c r="AV59" s="225"/>
      <c r="AX59">
        <f t="shared" si="65"/>
        <v>0</v>
      </c>
      <c r="AY59">
        <f t="shared" si="66"/>
        <v>0</v>
      </c>
    </row>
    <row r="60" spans="1:51" x14ac:dyDescent="0.55000000000000004">
      <c r="N60" s="170">
        <v>42</v>
      </c>
      <c r="O60" s="199">
        <f t="shared" si="41"/>
        <v>26.302679918953825</v>
      </c>
      <c r="P60" s="189" t="str">
        <f t="shared" si="32"/>
        <v>1078.86904761905</v>
      </c>
      <c r="Q60" s="160" t="str">
        <f t="shared" si="33"/>
        <v>1+5.16451912519431i</v>
      </c>
      <c r="R60" s="160">
        <f t="shared" si="42"/>
        <v>5.2604427374982237</v>
      </c>
      <c r="S60" s="160">
        <f t="shared" si="43"/>
        <v>1.3795342919925659</v>
      </c>
      <c r="T60" s="160" t="str">
        <f t="shared" si="34"/>
        <v>1+3.30529224012436E-06i</v>
      </c>
      <c r="U60" s="160">
        <f t="shared" si="44"/>
        <v>1.0000000000054625</v>
      </c>
      <c r="V60" s="160">
        <f t="shared" si="45"/>
        <v>3.3052922401123231E-6</v>
      </c>
      <c r="W60" s="98" t="str">
        <f t="shared" si="35"/>
        <v>1-0.00239051955974754i</v>
      </c>
      <c r="X60" s="160">
        <f t="shared" si="46"/>
        <v>1.0000028572878008</v>
      </c>
      <c r="Y60" s="160">
        <f t="shared" si="47"/>
        <v>-2.3905150061550636E-3</v>
      </c>
      <c r="Z60" s="98" t="str">
        <f t="shared" si="36"/>
        <v>0.999998747250392+0.000189884601999381i</v>
      </c>
      <c r="AA60" s="160">
        <f t="shared" si="48"/>
        <v>0.99999876527849552</v>
      </c>
      <c r="AB60" s="160">
        <f t="shared" si="49"/>
        <v>1.8988483759536123E-4</v>
      </c>
      <c r="AC60" s="171" t="str">
        <f t="shared" si="50"/>
        <v>38.4685155336618-201.451740035495i</v>
      </c>
      <c r="AD60" s="190">
        <f t="shared" si="51"/>
        <v>46.238964264017952</v>
      </c>
      <c r="AE60" s="169">
        <f t="shared" si="52"/>
        <v>-79.189149265949922</v>
      </c>
      <c r="AF60" s="98" t="str">
        <f t="shared" si="37"/>
        <v>-9.95024875621891E-06</v>
      </c>
      <c r="AG60" s="98" t="str">
        <f t="shared" si="38"/>
        <v>0.000165429876618224i</v>
      </c>
      <c r="AH60" s="98">
        <f t="shared" si="53"/>
        <v>1.6542987661822401E-4</v>
      </c>
      <c r="AI60" s="98">
        <f t="shared" si="54"/>
        <v>1.5707963267948966</v>
      </c>
      <c r="AJ60" s="98" t="str">
        <f t="shared" si="39"/>
        <v>1+0.00165099512493724i</v>
      </c>
      <c r="AK60" s="98">
        <f t="shared" si="55"/>
        <v>1.0000013628915225</v>
      </c>
      <c r="AL60" s="98">
        <f t="shared" si="56"/>
        <v>1.6509936248538313E-3</v>
      </c>
      <c r="AM60" s="98" t="str">
        <f t="shared" si="40"/>
        <v>1+1.65264612006218i</v>
      </c>
      <c r="AN60" s="98">
        <f t="shared" si="57"/>
        <v>1.9316415811833669</v>
      </c>
      <c r="AO60" s="98">
        <f t="shared" si="58"/>
        <v>1.0266424233340912</v>
      </c>
      <c r="AP60" s="168" t="str">
        <f t="shared" si="59"/>
        <v>-0.0993035100170061+0.0603117836033439i</v>
      </c>
      <c r="AQ60" s="98">
        <f t="shared" si="60"/>
        <v>-18.697081077759222</v>
      </c>
      <c r="AR60" s="169">
        <f t="shared" si="61"/>
        <v>148.72768295941947</v>
      </c>
      <c r="AS60" s="168" t="str">
        <f t="shared" si="62"/>
        <v>8.32985513390153+22.3249696689662i</v>
      </c>
      <c r="AT60" s="190">
        <f t="shared" si="63"/>
        <v>27.541883186258737</v>
      </c>
      <c r="AU60" s="169">
        <f t="shared" si="64"/>
        <v>69.538533693469574</v>
      </c>
      <c r="AV60" s="225"/>
      <c r="AX60">
        <f t="shared" si="65"/>
        <v>0</v>
      </c>
      <c r="AY60">
        <f t="shared" si="66"/>
        <v>0</v>
      </c>
    </row>
    <row r="61" spans="1:51" x14ac:dyDescent="0.55000000000000004">
      <c r="A61" s="98" t="s">
        <v>264</v>
      </c>
      <c r="B61" s="211">
        <f>-(RFBB*gm_ea)/(RFBB+RFBT)</f>
        <v>-9.9502487562189058E-6</v>
      </c>
      <c r="C61" s="98" t="s">
        <v>180</v>
      </c>
      <c r="N61" s="170">
        <v>43</v>
      </c>
      <c r="O61" s="199">
        <f t="shared" si="41"/>
        <v>26.915348039269158</v>
      </c>
      <c r="P61" s="189" t="str">
        <f t="shared" si="32"/>
        <v>1078.86904761905</v>
      </c>
      <c r="Q61" s="160" t="str">
        <f t="shared" si="33"/>
        <v>1+5.28481622931128i</v>
      </c>
      <c r="R61" s="160">
        <f t="shared" si="42"/>
        <v>5.3785948515938529</v>
      </c>
      <c r="S61" s="160">
        <f t="shared" si="43"/>
        <v>1.3837860188061104</v>
      </c>
      <c r="T61" s="160" t="str">
        <f t="shared" si="34"/>
        <v>1+3.38228238675922E-06i</v>
      </c>
      <c r="U61" s="160">
        <f t="shared" si="44"/>
        <v>1.0000000000057199</v>
      </c>
      <c r="V61" s="160">
        <f t="shared" si="45"/>
        <v>3.3822823867463221E-6</v>
      </c>
      <c r="W61" s="98" t="str">
        <f t="shared" si="35"/>
        <v>1-0.00244620191339974i</v>
      </c>
      <c r="X61" s="160">
        <f t="shared" si="46"/>
        <v>1.0000029919474247</v>
      </c>
      <c r="Y61" s="160">
        <f t="shared" si="47"/>
        <v>-2.4461970341382818E-3</v>
      </c>
      <c r="Z61" s="98" t="str">
        <f t="shared" si="36"/>
        <v>0.999998688210122+0.000194307582567987i</v>
      </c>
      <c r="AA61" s="160">
        <f t="shared" si="48"/>
        <v>0.99999870708786509</v>
      </c>
      <c r="AB61" s="160">
        <f t="shared" si="49"/>
        <v>1.943078350136426E-4</v>
      </c>
      <c r="AC61" s="171" t="str">
        <f t="shared" si="50"/>
        <v>36.7736042525044-197.18685939078i</v>
      </c>
      <c r="AD61" s="190">
        <f t="shared" si="51"/>
        <v>46.04603525182209</v>
      </c>
      <c r="AE61" s="169">
        <f t="shared" si="52"/>
        <v>-79.436194621081171</v>
      </c>
      <c r="AF61" s="98" t="str">
        <f t="shared" si="37"/>
        <v>-9.95024875621891E-06</v>
      </c>
      <c r="AG61" s="98" t="str">
        <f t="shared" si="38"/>
        <v>0.000169283233457299i</v>
      </c>
      <c r="AH61" s="98">
        <f t="shared" si="53"/>
        <v>1.6928323345729901E-4</v>
      </c>
      <c r="AI61" s="98">
        <f t="shared" si="54"/>
        <v>1.5707963267948966</v>
      </c>
      <c r="AJ61" s="98" t="str">
        <f t="shared" si="39"/>
        <v>1+0.00168945174163797i</v>
      </c>
      <c r="AK61" s="98">
        <f t="shared" si="55"/>
        <v>1.0000014271225752</v>
      </c>
      <c r="AL61" s="98">
        <f t="shared" si="56"/>
        <v>1.6894501342697621E-3</v>
      </c>
      <c r="AM61" s="98" t="str">
        <f t="shared" si="40"/>
        <v>1+1.69114119337961i</v>
      </c>
      <c r="AN61" s="98">
        <f t="shared" si="57"/>
        <v>1.9646777180864581</v>
      </c>
      <c r="AO61" s="98">
        <f t="shared" si="58"/>
        <v>1.0367860844931573</v>
      </c>
      <c r="AP61" s="168" t="str">
        <f t="shared" si="59"/>
        <v>-0.0993034972602866+0.0589464706036576i</v>
      </c>
      <c r="AQ61" s="98">
        <f t="shared" si="60"/>
        <v>-18.749786153071849</v>
      </c>
      <c r="AR61" s="169">
        <f t="shared" si="61"/>
        <v>149.30666853696044</v>
      </c>
      <c r="AS61" s="168" t="str">
        <f t="shared" si="62"/>
        <v>7.97172190136674+21.7490189333376i</v>
      </c>
      <c r="AT61" s="190">
        <f t="shared" si="63"/>
        <v>27.296249098750231</v>
      </c>
      <c r="AU61" s="169">
        <f t="shared" si="64"/>
        <v>69.870473915879231</v>
      </c>
      <c r="AV61" s="225"/>
      <c r="AX61">
        <f t="shared" si="65"/>
        <v>0</v>
      </c>
      <c r="AY61">
        <f t="shared" si="66"/>
        <v>0</v>
      </c>
    </row>
    <row r="62" spans="1:51" x14ac:dyDescent="0.55000000000000004">
      <c r="A62" s="98" t="s">
        <v>263</v>
      </c>
      <c r="B62" s="211">
        <f>1/(RCOMP*CCOMP)</f>
        <v>99.999999999999986</v>
      </c>
      <c r="E62" s="98" t="s">
        <v>278</v>
      </c>
      <c r="N62" s="170">
        <v>44</v>
      </c>
      <c r="O62" s="199">
        <f t="shared" si="41"/>
        <v>27.542287033381665</v>
      </c>
      <c r="P62" s="189" t="str">
        <f t="shared" si="32"/>
        <v>1078.86904761905</v>
      </c>
      <c r="Q62" s="160" t="str">
        <f t="shared" si="33"/>
        <v>1+5.40791541294584i</v>
      </c>
      <c r="R62" s="160">
        <f t="shared" si="42"/>
        <v>5.4995953590766264</v>
      </c>
      <c r="S62" s="160">
        <f t="shared" si="43"/>
        <v>1.3879475854870491</v>
      </c>
      <c r="T62" s="160" t="str">
        <f t="shared" si="34"/>
        <v>1+3.46106586428534E-06i</v>
      </c>
      <c r="U62" s="160">
        <f t="shared" si="44"/>
        <v>1.0000000000059894</v>
      </c>
      <c r="V62" s="160">
        <f t="shared" si="45"/>
        <v>3.4610658642715198E-6</v>
      </c>
      <c r="W62" s="98" t="str">
        <f t="shared" si="35"/>
        <v>1-0.00250318127568573i</v>
      </c>
      <c r="X62" s="160">
        <f t="shared" si="46"/>
        <v>1.0000031329533419</v>
      </c>
      <c r="Y62" s="160">
        <f t="shared" si="47"/>
        <v>-2.5031760474637675E-3</v>
      </c>
      <c r="Z62" s="98" t="str">
        <f t="shared" si="36"/>
        <v>0.99999862638737+0.000198833587588836i</v>
      </c>
      <c r="AA62" s="160">
        <f t="shared" si="48"/>
        <v>0.99999864615479472</v>
      </c>
      <c r="AB62" s="160">
        <f t="shared" si="49"/>
        <v>1.9883385808924583E-4</v>
      </c>
      <c r="AC62" s="171" t="str">
        <f t="shared" si="50"/>
        <v>35.1498133929165-192.998607955625i</v>
      </c>
      <c r="AD62" s="190">
        <f t="shared" si="51"/>
        <v>45.852798906076238</v>
      </c>
      <c r="AE62" s="169">
        <f t="shared" si="52"/>
        <v>-79.678154293105024</v>
      </c>
      <c r="AF62" s="98" t="str">
        <f t="shared" si="37"/>
        <v>-9.95024875621891E-06</v>
      </c>
      <c r="AG62" s="98" t="str">
        <f t="shared" si="38"/>
        <v>0.000173226346507481i</v>
      </c>
      <c r="AH62" s="98">
        <f t="shared" si="53"/>
        <v>1.73226346507481E-4</v>
      </c>
      <c r="AI62" s="98">
        <f t="shared" si="54"/>
        <v>1.5707963267948966</v>
      </c>
      <c r="AJ62" s="98" t="str">
        <f t="shared" si="39"/>
        <v>1+0.00172880412801466i</v>
      </c>
      <c r="AK62" s="98">
        <f t="shared" si="55"/>
        <v>1.0000014943807398</v>
      </c>
      <c r="AL62" s="98">
        <f t="shared" si="56"/>
        <v>1.7288024056887337E-3</v>
      </c>
      <c r="AM62" s="98" t="str">
        <f t="shared" si="40"/>
        <v>1+1.73053293214267i</v>
      </c>
      <c r="AN62" s="98">
        <f t="shared" si="57"/>
        <v>1.9986856254124374</v>
      </c>
      <c r="AO62" s="98">
        <f t="shared" si="58"/>
        <v>1.0468178327848114</v>
      </c>
      <c r="AP62" s="168" t="str">
        <f t="shared" si="59"/>
        <v>-0.0993034839023652+0.0576124118009025i</v>
      </c>
      <c r="AQ62" s="98">
        <f t="shared" si="60"/>
        <v>-18.80072335143997</v>
      </c>
      <c r="AR62" s="169">
        <f t="shared" si="61"/>
        <v>149.87919065614318</v>
      </c>
      <c r="AS62" s="168" t="str">
        <f t="shared" si="62"/>
        <v>7.62861635010578+21.1904996822179i</v>
      </c>
      <c r="AT62" s="190">
        <f t="shared" si="63"/>
        <v>27.052075554636271</v>
      </c>
      <c r="AU62" s="169">
        <f t="shared" si="64"/>
        <v>70.20103636303817</v>
      </c>
      <c r="AV62" s="225"/>
      <c r="AX62">
        <f t="shared" si="65"/>
        <v>0</v>
      </c>
      <c r="AY62">
        <f t="shared" si="66"/>
        <v>0</v>
      </c>
    </row>
    <row r="63" spans="1:51" x14ac:dyDescent="0.55000000000000004">
      <c r="A63" s="98" t="s">
        <v>268</v>
      </c>
      <c r="B63" s="211">
        <f>(CCOMP+CHF)</f>
        <v>1.0010000000000002E-6</v>
      </c>
      <c r="E63" s="98" t="s">
        <v>279</v>
      </c>
      <c r="N63" s="170">
        <v>45</v>
      </c>
      <c r="O63" s="199">
        <f t="shared" si="41"/>
        <v>28.183829312644548</v>
      </c>
      <c r="P63" s="189" t="str">
        <f t="shared" si="32"/>
        <v>1078.86904761905</v>
      </c>
      <c r="Q63" s="160" t="str">
        <f t="shared" si="33"/>
        <v>1+5.53388194491456i</v>
      </c>
      <c r="R63" s="160">
        <f t="shared" si="42"/>
        <v>5.6235086360964495</v>
      </c>
      <c r="S63" s="160">
        <f t="shared" si="43"/>
        <v>1.392020621690534</v>
      </c>
      <c r="T63" s="160" t="str">
        <f t="shared" si="34"/>
        <v>1+3.54168444474532E-06i</v>
      </c>
      <c r="U63" s="160">
        <f t="shared" si="44"/>
        <v>1.0000000000062719</v>
      </c>
      <c r="V63" s="160">
        <f t="shared" si="45"/>
        <v>3.5416844447305119E-6</v>
      </c>
      <c r="W63" s="98" t="str">
        <f t="shared" si="35"/>
        <v>1-0.00256148785781761i</v>
      </c>
      <c r="X63" s="160">
        <f t="shared" si="46"/>
        <v>1.0000032806046417</v>
      </c>
      <c r="Y63" s="160">
        <f t="shared" si="47"/>
        <v>-2.5614822556778373E-3</v>
      </c>
      <c r="Z63" s="98" t="str">
        <f t="shared" si="36"/>
        <v>0.999998561651001+0.000203465016809697i</v>
      </c>
      <c r="AA63" s="160">
        <f t="shared" si="48"/>
        <v>0.99999858235003725</v>
      </c>
      <c r="AB63" s="160">
        <f t="shared" si="49"/>
        <v>2.0346530665612668E-4</v>
      </c>
      <c r="AC63" s="171" t="str">
        <f t="shared" si="50"/>
        <v>33.5943742493103-188.886506649329i</v>
      </c>
      <c r="AD63" s="190">
        <f t="shared" si="51"/>
        <v>45.659268150290593</v>
      </c>
      <c r="AE63" s="169">
        <f t="shared" si="52"/>
        <v>-79.915123520370315</v>
      </c>
      <c r="AF63" s="98" t="str">
        <f t="shared" si="37"/>
        <v>-9.95024875621891E-06</v>
      </c>
      <c r="AG63" s="98" t="str">
        <f t="shared" si="38"/>
        <v>0.000177261306459503i</v>
      </c>
      <c r="AH63" s="98">
        <f t="shared" si="53"/>
        <v>1.7726130645950299E-4</v>
      </c>
      <c r="AI63" s="98">
        <f t="shared" si="54"/>
        <v>1.5707963267948966</v>
      </c>
      <c r="AJ63" s="98" t="str">
        <f t="shared" si="39"/>
        <v>1+0.00176907314922344i</v>
      </c>
      <c r="AK63" s="98">
        <f t="shared" si="55"/>
        <v>1.0000015648086793</v>
      </c>
      <c r="AL63" s="98">
        <f t="shared" si="56"/>
        <v>1.7690713037181159E-3</v>
      </c>
      <c r="AM63" s="98" t="str">
        <f t="shared" si="40"/>
        <v>1+1.77084222237266i</v>
      </c>
      <c r="AN63" s="98">
        <f t="shared" si="57"/>
        <v>2.0336868432818616</v>
      </c>
      <c r="AO63" s="98">
        <f t="shared" si="58"/>
        <v>1.0567349101621339</v>
      </c>
      <c r="AP63" s="168" t="str">
        <f t="shared" si="59"/>
        <v>-0.0993034699149081+0.0563088998592972i</v>
      </c>
      <c r="AQ63" s="98">
        <f t="shared" si="60"/>
        <v>-18.849932163287953</v>
      </c>
      <c r="AR63" s="169">
        <f t="shared" si="61"/>
        <v>150.44509009706576</v>
      </c>
      <c r="AS63" s="168" t="str">
        <f t="shared" si="62"/>
        <v>7.29995345511299+20.6487477858239i</v>
      </c>
      <c r="AT63" s="190">
        <f t="shared" si="63"/>
        <v>26.80933598700264</v>
      </c>
      <c r="AU63" s="169">
        <f t="shared" si="64"/>
        <v>70.529966576695443</v>
      </c>
      <c r="AV63" s="225"/>
      <c r="AX63">
        <f t="shared" si="65"/>
        <v>0</v>
      </c>
      <c r="AY63">
        <f t="shared" si="66"/>
        <v>0</v>
      </c>
    </row>
    <row r="64" spans="1:51" x14ac:dyDescent="0.55000000000000004">
      <c r="A64" s="98" t="s">
        <v>269</v>
      </c>
      <c r="B64" s="211">
        <f>(CCOMP+CHF)/(RCOMP*CHF*CCOMP)</f>
        <v>100100</v>
      </c>
      <c r="E64" s="98" t="s">
        <v>280</v>
      </c>
      <c r="N64" s="170">
        <v>46</v>
      </c>
      <c r="O64" s="199">
        <f t="shared" si="41"/>
        <v>28.840315031266066</v>
      </c>
      <c r="P64" s="189" t="str">
        <f t="shared" si="32"/>
        <v>1078.86904761905</v>
      </c>
      <c r="Q64" s="160" t="str">
        <f t="shared" si="33"/>
        <v>1+5.66278261434006i</v>
      </c>
      <c r="R64" s="160">
        <f t="shared" si="42"/>
        <v>5.7504005892869801</v>
      </c>
      <c r="S64" s="160">
        <f t="shared" si="43"/>
        <v>1.3960067461674863</v>
      </c>
      <c r="T64" s="160" t="str">
        <f t="shared" si="34"/>
        <v>1+3.62418087317764E-06i</v>
      </c>
      <c r="U64" s="160">
        <f t="shared" si="44"/>
        <v>1.0000000000065672</v>
      </c>
      <c r="V64" s="160">
        <f t="shared" si="45"/>
        <v>3.6241808731617726E-6</v>
      </c>
      <c r="W64" s="98" t="str">
        <f t="shared" si="35"/>
        <v>1-0.002621152574717i</v>
      </c>
      <c r="X64" s="160">
        <f t="shared" si="46"/>
        <v>1.0000034352145097</v>
      </c>
      <c r="Y64" s="160">
        <f t="shared" si="47"/>
        <v>-2.6211465719171967E-3</v>
      </c>
      <c r="Z64" s="98" t="str">
        <f t="shared" si="36"/>
        <v>0.999998493863701+0.000208204325875649i</v>
      </c>
      <c r="AA64" s="160">
        <f t="shared" si="48"/>
        <v>0.99999851553825403</v>
      </c>
      <c r="AB64" s="160">
        <f t="shared" si="49"/>
        <v>2.0820463645171463E-4</v>
      </c>
      <c r="AC64" s="171" t="str">
        <f t="shared" si="50"/>
        <v>32.1046074249231-184.850013134121i</v>
      </c>
      <c r="AD64" s="190">
        <f t="shared" si="51"/>
        <v>45.465455403437396</v>
      </c>
      <c r="AE64" s="169">
        <f t="shared" si="52"/>
        <v>-80.147196959919327</v>
      </c>
      <c r="AF64" s="98" t="str">
        <f t="shared" si="37"/>
        <v>-9.95024875621891E-06</v>
      </c>
      <c r="AG64" s="98" t="str">
        <f t="shared" si="38"/>
        <v>0.00018139025270254i</v>
      </c>
      <c r="AH64" s="98">
        <f t="shared" si="53"/>
        <v>1.8139025270253999E-4</v>
      </c>
      <c r="AI64" s="98">
        <f t="shared" si="54"/>
        <v>1.5707963267948966</v>
      </c>
      <c r="AJ64" s="98" t="str">
        <f t="shared" si="39"/>
        <v>1+0.00181028015643239i</v>
      </c>
      <c r="AK64" s="98">
        <f t="shared" si="55"/>
        <v>1.0000016385557799</v>
      </c>
      <c r="AL64" s="98">
        <f t="shared" si="56"/>
        <v>1.8102781789379825E-3</v>
      </c>
      <c r="AM64" s="98" t="str">
        <f t="shared" si="40"/>
        <v>1+1.81209043658882i</v>
      </c>
      <c r="AN64" s="98">
        <f t="shared" si="57"/>
        <v>2.0697033000835314</v>
      </c>
      <c r="AO64" s="98">
        <f t="shared" si="58"/>
        <v>1.066534771515067</v>
      </c>
      <c r="AP64" s="168" t="str">
        <f t="shared" si="59"/>
        <v>-0.099303455268247+0.0550352436394011i</v>
      </c>
      <c r="AQ64" s="98">
        <f t="shared" si="60"/>
        <v>-18.897452541439613</v>
      </c>
      <c r="AR64" s="169">
        <f t="shared" si="61"/>
        <v>151.00421981236514</v>
      </c>
      <c r="AS64" s="168" t="str">
        <f t="shared" si="62"/>
        <v>6.98516706225736+20.123129902177i</v>
      </c>
      <c r="AT64" s="190">
        <f t="shared" si="63"/>
        <v>26.568002861997773</v>
      </c>
      <c r="AU64" s="169">
        <f t="shared" si="64"/>
        <v>70.85702285244578</v>
      </c>
      <c r="AV64" s="225"/>
      <c r="AX64">
        <f t="shared" si="65"/>
        <v>0</v>
      </c>
      <c r="AY64">
        <f t="shared" si="66"/>
        <v>0</v>
      </c>
    </row>
    <row r="65" spans="1:51" x14ac:dyDescent="0.55000000000000004">
      <c r="N65" s="170">
        <v>47</v>
      </c>
      <c r="O65" s="199">
        <f t="shared" si="41"/>
        <v>29.512092266663863</v>
      </c>
      <c r="P65" s="189" t="str">
        <f t="shared" si="32"/>
        <v>1078.86904761905</v>
      </c>
      <c r="Q65" s="160" t="str">
        <f t="shared" si="33"/>
        <v>1+5.79468576606347i</v>
      </c>
      <c r="R65" s="160">
        <f t="shared" si="42"/>
        <v>5.8803386915566849</v>
      </c>
      <c r="S65" s="160">
        <f t="shared" si="43"/>
        <v>1.3999075654727995</v>
      </c>
      <c r="T65" s="160" t="str">
        <f t="shared" si="34"/>
        <v>1+3.70859889028062E-06i</v>
      </c>
      <c r="U65" s="160">
        <f t="shared" si="44"/>
        <v>1.0000000000068767</v>
      </c>
      <c r="V65" s="160">
        <f t="shared" si="45"/>
        <v>3.7085988902636174E-6</v>
      </c>
      <c r="W65" s="98" t="str">
        <f t="shared" si="35"/>
        <v>1-0.00268220706140656i</v>
      </c>
      <c r="X65" s="160">
        <f t="shared" si="46"/>
        <v>1.0000035971108905</v>
      </c>
      <c r="Y65" s="160">
        <f t="shared" si="47"/>
        <v>-2.6822006292919354E-3</v>
      </c>
      <c r="Z65" s="98" t="str">
        <f t="shared" si="36"/>
        <v>0.999998422881684+0.00021305402763109i</v>
      </c>
      <c r="AA65" s="160">
        <f t="shared" si="48"/>
        <v>0.99999844557772877</v>
      </c>
      <c r="AB65" s="160">
        <f t="shared" si="49"/>
        <v>2.1305436041936326E-4</v>
      </c>
      <c r="AC65" s="171" t="str">
        <f t="shared" si="50"/>
        <v>30.6779215854721-180.888527168123i</v>
      </c>
      <c r="AD65" s="190">
        <f t="shared" si="51"/>
        <v>45.271372596394734</v>
      </c>
      <c r="AE65" s="169">
        <f t="shared" si="52"/>
        <v>-80.37446861448575</v>
      </c>
      <c r="AF65" s="98" t="str">
        <f t="shared" si="37"/>
        <v>-9.95024875621891E-06</v>
      </c>
      <c r="AG65" s="98" t="str">
        <f t="shared" si="38"/>
        <v>0.000185615374458545i</v>
      </c>
      <c r="AH65" s="98">
        <f t="shared" si="53"/>
        <v>1.8561537445854501E-4</v>
      </c>
      <c r="AI65" s="98">
        <f t="shared" si="54"/>
        <v>1.5707963267948966</v>
      </c>
      <c r="AJ65" s="98" t="str">
        <f t="shared" si="39"/>
        <v>1+0.00185244699814217i</v>
      </c>
      <c r="AK65" s="98">
        <f t="shared" si="55"/>
        <v>1.0000017157784684</v>
      </c>
      <c r="AL65" s="98">
        <f t="shared" si="56"/>
        <v>1.8524448792189327E-3</v>
      </c>
      <c r="AM65" s="98" t="str">
        <f t="shared" si="40"/>
        <v>1+1.85429944514031i</v>
      </c>
      <c r="AN65" s="98">
        <f t="shared" si="57"/>
        <v>2.1067573263780672</v>
      </c>
      <c r="AO65" s="98">
        <f t="shared" si="58"/>
        <v>1.0762150829346488</v>
      </c>
      <c r="AP65" s="168" t="str">
        <f t="shared" si="59"/>
        <v>-0.0993034399313139+0.0537907678316599i</v>
      </c>
      <c r="AQ65" s="98">
        <f t="shared" si="60"/>
        <v>-18.943324797295407</v>
      </c>
      <c r="AR65" s="169">
        <f t="shared" si="61"/>
        <v>151.55644482711736</v>
      </c>
      <c r="AS65" s="168" t="str">
        <f t="shared" si="62"/>
        <v>6.68370962493092+19.6130419494655i</v>
      </c>
      <c r="AT65" s="190">
        <f t="shared" si="63"/>
        <v>26.328047799099309</v>
      </c>
      <c r="AU65" s="169">
        <f t="shared" si="64"/>
        <v>71.181976212631611</v>
      </c>
      <c r="AV65" s="225"/>
      <c r="AX65">
        <f t="shared" si="65"/>
        <v>0</v>
      </c>
      <c r="AY65">
        <f t="shared" si="66"/>
        <v>0</v>
      </c>
    </row>
    <row r="66" spans="1:51" x14ac:dyDescent="0.55000000000000004">
      <c r="N66" s="170">
        <v>48</v>
      </c>
      <c r="O66" s="199">
        <f t="shared" si="41"/>
        <v>30.199517204020164</v>
      </c>
      <c r="P66" s="189" t="str">
        <f t="shared" si="32"/>
        <v>1078.86904761905</v>
      </c>
      <c r="Q66" s="160" t="str">
        <f t="shared" si="33"/>
        <v>1+5.92966133688178i</v>
      </c>
      <c r="R66" s="160">
        <f t="shared" si="42"/>
        <v>6.0133920186622296</v>
      </c>
      <c r="S66" s="160">
        <f t="shared" si="43"/>
        <v>1.4037246727847161</v>
      </c>
      <c r="T66" s="160" t="str">
        <f t="shared" si="34"/>
        <v>1+3.79498325560434E-06i</v>
      </c>
      <c r="U66" s="160">
        <f t="shared" si="44"/>
        <v>1.0000000000072009</v>
      </c>
      <c r="V66" s="160">
        <f t="shared" si="45"/>
        <v>3.7949832555861214E-6</v>
      </c>
      <c r="W66" s="98" t="str">
        <f t="shared" si="35"/>
        <v>1-0.00274468368978328i</v>
      </c>
      <c r="X66" s="160">
        <f t="shared" si="46"/>
        <v>1.0000037666371846</v>
      </c>
      <c r="Y66" s="160">
        <f t="shared" si="47"/>
        <v>-2.7446767976496878E-3</v>
      </c>
      <c r="Z66" s="98" t="str">
        <f t="shared" si="36"/>
        <v>0.999998348554388+0.000218016693452084i</v>
      </c>
      <c r="AA66" s="160">
        <f t="shared" si="48"/>
        <v>0.99999837232006628</v>
      </c>
      <c r="AB66" s="160">
        <f t="shared" si="49"/>
        <v>2.1801705004116924E-4</v>
      </c>
      <c r="AC66" s="171" t="str">
        <f t="shared" si="50"/>
        <v>29.3118120648135-177.001395676569i</v>
      </c>
      <c r="AD66" s="190">
        <f t="shared" si="51"/>
        <v>45.077031188144247</v>
      </c>
      <c r="AE66" s="169">
        <f t="shared" si="52"/>
        <v>-80.59703176588495</v>
      </c>
      <c r="AF66" s="98" t="str">
        <f t="shared" si="37"/>
        <v>-9.95024875621891E-06</v>
      </c>
      <c r="AG66" s="98" t="str">
        <f t="shared" si="38"/>
        <v>0.000189938911942997i</v>
      </c>
      <c r="AH66" s="98">
        <f t="shared" si="53"/>
        <v>1.8993891194299701E-4</v>
      </c>
      <c r="AI66" s="98">
        <f t="shared" si="54"/>
        <v>1.5707963267948966</v>
      </c>
      <c r="AJ66" s="98" t="str">
        <f t="shared" si="39"/>
        <v>1+0.0018955960317704i</v>
      </c>
      <c r="AK66" s="98">
        <f t="shared" si="55"/>
        <v>1.0000017966405439</v>
      </c>
      <c r="AL66" s="98">
        <f t="shared" si="56"/>
        <v>1.895593761303465E-3</v>
      </c>
      <c r="AM66" s="98" t="str">
        <f t="shared" si="40"/>
        <v>1+1.89749162780217i</v>
      </c>
      <c r="AN66" s="98">
        <f t="shared" si="57"/>
        <v>2.1448716692565384</v>
      </c>
      <c r="AO66" s="98">
        <f t="shared" si="58"/>
        <v>1.0857737192683083</v>
      </c>
      <c r="AP66" s="168" t="str">
        <f t="shared" si="59"/>
        <v>-0.0993034238715789+0.0525748125983496i</v>
      </c>
      <c r="AQ66" s="98">
        <f t="shared" si="60"/>
        <v>-18.987589500540565</v>
      </c>
      <c r="AR66" s="169">
        <f t="shared" si="61"/>
        <v>152.10164209810227</v>
      </c>
      <c r="AS66" s="168" t="str">
        <f t="shared" si="62"/>
        <v>6.39505190942571+19.117907646957i</v>
      </c>
      <c r="AT66" s="190">
        <f t="shared" si="63"/>
        <v>26.089441687603685</v>
      </c>
      <c r="AU66" s="169">
        <f t="shared" si="64"/>
        <v>71.504610332217354</v>
      </c>
      <c r="AV66" s="225"/>
      <c r="AX66">
        <f t="shared" si="65"/>
        <v>0</v>
      </c>
      <c r="AY66">
        <f t="shared" si="66"/>
        <v>0</v>
      </c>
    </row>
    <row r="67" spans="1:51" x14ac:dyDescent="0.55000000000000004">
      <c r="N67" s="170">
        <v>49</v>
      </c>
      <c r="O67" s="199">
        <f t="shared" si="41"/>
        <v>30.902954325135919</v>
      </c>
      <c r="P67" s="189" t="str">
        <f t="shared" si="32"/>
        <v>1078.86904761905</v>
      </c>
      <c r="Q67" s="160" t="str">
        <f t="shared" si="33"/>
        <v>1+6.06778089262925i</v>
      </c>
      <c r="R67" s="160">
        <f t="shared" si="42"/>
        <v>6.1496312865859366</v>
      </c>
      <c r="S67" s="160">
        <f t="shared" si="43"/>
        <v>1.4074596468294454</v>
      </c>
      <c r="T67" s="160" t="str">
        <f t="shared" si="34"/>
        <v>1+3.88337977128272E-06i</v>
      </c>
      <c r="U67" s="160">
        <f t="shared" si="44"/>
        <v>1.0000000000075402</v>
      </c>
      <c r="V67" s="160">
        <f t="shared" si="45"/>
        <v>3.8833797712631981E-6</v>
      </c>
      <c r="W67" s="98" t="str">
        <f t="shared" si="35"/>
        <v>1-0.00280861558578252i</v>
      </c>
      <c r="X67" s="160">
        <f t="shared" si="46"/>
        <v>1.0000039441529762</v>
      </c>
      <c r="Y67" s="160">
        <f t="shared" si="47"/>
        <v>-2.8086082007298951E-3</v>
      </c>
      <c r="Z67" s="98" t="str">
        <f t="shared" si="36"/>
        <v>0.999998270724154+0.000223094954609739i</v>
      </c>
      <c r="AA67" s="160">
        <f t="shared" si="48"/>
        <v>0.99999829560987619</v>
      </c>
      <c r="AB67" s="160">
        <f t="shared" si="49"/>
        <v>2.230953367018571E-4</v>
      </c>
      <c r="AC67" s="171" t="str">
        <f t="shared" si="50"/>
        <v>28.0038593425638-173.187917548993i</v>
      </c>
      <c r="AD67" s="190">
        <f t="shared" si="51"/>
        <v>44.8824421817001</v>
      </c>
      <c r="AE67" s="169">
        <f t="shared" si="52"/>
        <v>-80.814978914459175</v>
      </c>
      <c r="AF67" s="98" t="str">
        <f t="shared" si="37"/>
        <v>-9.95024875621891E-06</v>
      </c>
      <c r="AG67" s="98" t="str">
        <f t="shared" si="38"/>
        <v>0.0001943631575527i</v>
      </c>
      <c r="AH67" s="98">
        <f t="shared" si="53"/>
        <v>1.9436315755269999E-4</v>
      </c>
      <c r="AI67" s="98">
        <f t="shared" si="54"/>
        <v>1.5707963267948966</v>
      </c>
      <c r="AJ67" s="98" t="str">
        <f t="shared" si="39"/>
        <v>1+0.00193975013550585i</v>
      </c>
      <c r="AK67" s="98">
        <f t="shared" si="55"/>
        <v>1.0000018813135245</v>
      </c>
      <c r="AL67" s="98">
        <f t="shared" si="56"/>
        <v>1.9397477026569447E-3</v>
      </c>
      <c r="AM67" s="98" t="str">
        <f t="shared" si="40"/>
        <v>1+1.94168988564136i</v>
      </c>
      <c r="AN67" s="98">
        <f t="shared" si="57"/>
        <v>2.1840695071361531</v>
      </c>
      <c r="AO67" s="98">
        <f t="shared" si="58"/>
        <v>1.09520876101894</v>
      </c>
      <c r="AP67" s="168" t="str">
        <f t="shared" si="59"/>
        <v>-0.0993034070549776+0.0513867332237186i</v>
      </c>
      <c r="AQ67" s="98">
        <f t="shared" si="60"/>
        <v>-19.030287382738166</v>
      </c>
      <c r="AR67" s="169">
        <f t="shared" si="61"/>
        <v>152.63970033545488</v>
      </c>
      <c r="AS67" s="168" t="str">
        <f t="shared" si="62"/>
        <v>6.11868267325653+18.6371771226424i</v>
      </c>
      <c r="AT67" s="190">
        <f t="shared" si="63"/>
        <v>25.852154798961923</v>
      </c>
      <c r="AU67" s="169">
        <f t="shared" si="64"/>
        <v>71.824721420995658</v>
      </c>
      <c r="AV67" s="225"/>
      <c r="AX67">
        <f t="shared" si="65"/>
        <v>0</v>
      </c>
      <c r="AY67">
        <f t="shared" si="66"/>
        <v>0</v>
      </c>
    </row>
    <row r="68" spans="1:51" x14ac:dyDescent="0.55000000000000004">
      <c r="A68" s="214" t="str">
        <f>"Crossover Frequency = "&amp;B68</f>
        <v>Crossover Frequency = 0.5 kHz</v>
      </c>
      <c r="B68" t="str">
        <f>ROUND(D68,1)&amp;" kHz"</f>
        <v>0.5 kHz</v>
      </c>
      <c r="C68" s="215"/>
      <c r="D68" s="216">
        <f>AY12</f>
        <v>0.537031796370253</v>
      </c>
      <c r="N68" s="170">
        <v>50</v>
      </c>
      <c r="O68" s="199">
        <f t="shared" si="41"/>
        <v>31.622776601683803</v>
      </c>
      <c r="P68" s="189" t="str">
        <f t="shared" si="32"/>
        <v>1078.86904761905</v>
      </c>
      <c r="Q68" s="160" t="str">
        <f t="shared" si="33"/>
        <v>1+6.20911766612256i</v>
      </c>
      <c r="R68" s="160">
        <f t="shared" si="42"/>
        <v>6.289128889739442</v>
      </c>
      <c r="S68" s="160">
        <f t="shared" si="43"/>
        <v>1.4111140509052629</v>
      </c>
      <c r="T68" s="160" t="str">
        <f t="shared" si="34"/>
        <v>1+3.97383530631844E-06i</v>
      </c>
      <c r="U68" s="160">
        <f t="shared" si="44"/>
        <v>1.0000000000078957</v>
      </c>
      <c r="V68" s="160">
        <f t="shared" si="45"/>
        <v>3.9738353062975228E-6</v>
      </c>
      <c r="W68" s="98" t="str">
        <f t="shared" si="35"/>
        <v>1-0.00287403664694175i</v>
      </c>
      <c r="X68" s="160">
        <f t="shared" si="46"/>
        <v>1.0000041300347955</v>
      </c>
      <c r="Y68" s="160">
        <f t="shared" si="47"/>
        <v>-2.8740287337170574E-3</v>
      </c>
      <c r="Z68" s="98" t="str">
        <f t="shared" si="36"/>
        <v>0.999998189225894+0.000228291503665338i</v>
      </c>
      <c r="AA68" s="160">
        <f t="shared" si="48"/>
        <v>0.9999982152844461</v>
      </c>
      <c r="AB68" s="160">
        <f t="shared" si="49"/>
        <v>2.2829191308445168E-4</v>
      </c>
      <c r="AC68" s="171" t="str">
        <f t="shared" si="50"/>
        <v>26.7517274120883-169.447348170536i</v>
      </c>
      <c r="AD68" s="190">
        <f t="shared" si="51"/>
        <v>44.687616139744762</v>
      </c>
      <c r="AE68" s="169">
        <f t="shared" si="52"/>
        <v>-81.028401724246891</v>
      </c>
      <c r="AF68" s="98" t="str">
        <f t="shared" si="37"/>
        <v>-9.95024875621891E-06</v>
      </c>
      <c r="AG68" s="98" t="str">
        <f t="shared" si="38"/>
        <v>0.000198890457081238i</v>
      </c>
      <c r="AH68" s="98">
        <f t="shared" si="53"/>
        <v>1.98890457081238E-4</v>
      </c>
      <c r="AI68" s="98">
        <f t="shared" si="54"/>
        <v>1.5707963267948966</v>
      </c>
      <c r="AJ68" s="98" t="str">
        <f t="shared" si="39"/>
        <v>1+0.00198493272043878i</v>
      </c>
      <c r="AK68" s="98">
        <f t="shared" si="55"/>
        <v>1.000001969977012</v>
      </c>
      <c r="AL68" s="98">
        <f t="shared" si="56"/>
        <v>1.9849301135944882E-3</v>
      </c>
      <c r="AM68" s="98" t="str">
        <f t="shared" si="40"/>
        <v>1+1.98691765315922i</v>
      </c>
      <c r="AN68" s="98">
        <f t="shared" si="57"/>
        <v>2.2243744649756576</v>
      </c>
      <c r="AO68" s="98">
        <f t="shared" si="58"/>
        <v>1.1045184906420491</v>
      </c>
      <c r="AP68" s="168" t="str">
        <f t="shared" si="59"/>
        <v>-0.0993033894458401+0.0502258997721513i</v>
      </c>
      <c r="AQ68" s="98">
        <f t="shared" si="60"/>
        <v>-19.071459245105885</v>
      </c>
      <c r="AR68" s="169">
        <f t="shared" si="61"/>
        <v>153.17051978981192</v>
      </c>
      <c r="AS68" s="168" t="str">
        <f t="shared" si="62"/>
        <v>5.8541083203186+18.1703255856751i</v>
      </c>
      <c r="AT68" s="190">
        <f t="shared" si="63"/>
        <v>25.616156894638902</v>
      </c>
      <c r="AU68" s="169">
        <f t="shared" si="64"/>
        <v>72.1421180655651</v>
      </c>
      <c r="AV68" s="225"/>
      <c r="AX68">
        <f t="shared" si="65"/>
        <v>0</v>
      </c>
      <c r="AY68">
        <f t="shared" si="66"/>
        <v>0</v>
      </c>
    </row>
    <row r="69" spans="1:51" x14ac:dyDescent="0.55000000000000004">
      <c r="A69" s="214" t="str">
        <f>"Phase Margin = "&amp;B69</f>
        <v>Phase Margin = 84°</v>
      </c>
      <c r="B69" s="217" t="str">
        <f>ROUND(D69,0)&amp;"°"</f>
        <v>84°</v>
      </c>
      <c r="C69" s="218"/>
      <c r="D69" s="23">
        <f>AY14</f>
        <v>83.902510826215092</v>
      </c>
      <c r="N69" s="170">
        <v>51</v>
      </c>
      <c r="O69" s="199">
        <f t="shared" si="41"/>
        <v>32.359365692962832</v>
      </c>
      <c r="P69" s="189" t="str">
        <f t="shared" si="32"/>
        <v>1078.86904761905</v>
      </c>
      <c r="Q69" s="160" t="str">
        <f t="shared" si="33"/>
        <v>1+6.35374659598984i</v>
      </c>
      <c r="R69" s="160">
        <f t="shared" si="42"/>
        <v>6.4319589400160568</v>
      </c>
      <c r="S69" s="160">
        <f t="shared" si="43"/>
        <v>1.4146894320005141</v>
      </c>
      <c r="T69" s="160" t="str">
        <f t="shared" si="34"/>
        <v>1+0.0000040663978214335i</v>
      </c>
      <c r="U69" s="160">
        <f t="shared" si="44"/>
        <v>1.0000000000082678</v>
      </c>
      <c r="V69" s="160">
        <f t="shared" si="45"/>
        <v>4.0663978214110865E-6</v>
      </c>
      <c r="W69" s="98" t="str">
        <f t="shared" si="35"/>
        <v>1-0.00294098156037357i</v>
      </c>
      <c r="X69" s="160">
        <f t="shared" si="46"/>
        <v>1.0000043246769177</v>
      </c>
      <c r="Y69" s="160">
        <f t="shared" si="47"/>
        <v>-2.9409730812025255E-3</v>
      </c>
      <c r="Z69" s="98" t="str">
        <f t="shared" si="36"/>
        <v>0.99999810388674+0.000233609095897977i</v>
      </c>
      <c r="AA69" s="160">
        <f t="shared" si="48"/>
        <v>0.99999813117339631</v>
      </c>
      <c r="AB69" s="160">
        <f t="shared" si="49"/>
        <v>2.3360953459849784E-4</v>
      </c>
      <c r="AC69" s="171" t="str">
        <f t="shared" si="50"/>
        <v>25.5531620558018-165.778903696042i</v>
      </c>
      <c r="AD69" s="190">
        <f t="shared" si="51"/>
        <v>44.492563199954454</v>
      </c>
      <c r="AE69" s="169">
        <f t="shared" si="52"/>
        <v>-81.237390973557154</v>
      </c>
      <c r="AF69" s="98" t="str">
        <f t="shared" si="37"/>
        <v>-9.95024875621891E-06</v>
      </c>
      <c r="AG69" s="98" t="str">
        <f t="shared" si="38"/>
        <v>0.000203523210962747i</v>
      </c>
      <c r="AH69" s="98">
        <f t="shared" si="53"/>
        <v>2.03523210962747E-4</v>
      </c>
      <c r="AI69" s="98">
        <f t="shared" si="54"/>
        <v>1.5707963267948966</v>
      </c>
      <c r="AJ69" s="98" t="str">
        <f t="shared" si="39"/>
        <v>1+0.00203116774297378i</v>
      </c>
      <c r="AK69" s="98">
        <f t="shared" si="55"/>
        <v>1.0000020628190724</v>
      </c>
      <c r="AL69" s="98">
        <f t="shared" si="56"/>
        <v>2.0311649496901072E-3</v>
      </c>
      <c r="AM69" s="98" t="str">
        <f t="shared" si="40"/>
        <v>1+2.03319891071675i</v>
      </c>
      <c r="AN69" s="98">
        <f t="shared" si="57"/>
        <v>2.2658106298938092</v>
      </c>
      <c r="AO69" s="98">
        <f t="shared" si="58"/>
        <v>1.1137013882961257</v>
      </c>
      <c r="AP69" s="168" t="str">
        <f t="shared" si="59"/>
        <v>-0.0993033710068164+0.0490916967541661i</v>
      </c>
      <c r="AQ69" s="98">
        <f t="shared" si="60"/>
        <v>-19.111145870725</v>
      </c>
      <c r="AR69" s="169">
        <f t="shared" si="61"/>
        <v>153.69401200811637</v>
      </c>
      <c r="AS69" s="168" t="str">
        <f t="shared" si="62"/>
        <v>5.60085253645961+17.7168520615848i</v>
      </c>
      <c r="AT69" s="190">
        <f t="shared" si="63"/>
        <v>25.381417329229436</v>
      </c>
      <c r="AU69" s="169">
        <f t="shared" si="64"/>
        <v>72.456621034559191</v>
      </c>
      <c r="AV69" s="225"/>
      <c r="AX69">
        <f t="shared" si="65"/>
        <v>0</v>
      </c>
      <c r="AY69">
        <f t="shared" si="66"/>
        <v>0</v>
      </c>
    </row>
    <row r="70" spans="1:51" x14ac:dyDescent="0.55000000000000004">
      <c r="N70" s="170">
        <v>52</v>
      </c>
      <c r="O70" s="199">
        <f t="shared" si="41"/>
        <v>33.113112148259127</v>
      </c>
      <c r="P70" s="189" t="str">
        <f t="shared" si="32"/>
        <v>1078.86904761905</v>
      </c>
      <c r="Q70" s="160" t="str">
        <f t="shared" si="33"/>
        <v>1+6.50174436640413i</v>
      </c>
      <c r="R70" s="160">
        <f t="shared" si="42"/>
        <v>6.5781973067146469</v>
      </c>
      <c r="S70" s="160">
        <f t="shared" si="43"/>
        <v>1.4181873200001283</v>
      </c>
      <c r="T70" s="160" t="str">
        <f t="shared" si="34"/>
        <v>1+4.16111639449864E-06i</v>
      </c>
      <c r="U70" s="160">
        <f t="shared" si="44"/>
        <v>1.0000000000086575</v>
      </c>
      <c r="V70" s="160">
        <f t="shared" si="45"/>
        <v>4.1611163944746229E-6</v>
      </c>
      <c r="W70" s="98" t="str">
        <f t="shared" si="35"/>
        <v>1-0.0030094858211572i</v>
      </c>
      <c r="X70" s="160">
        <f t="shared" si="46"/>
        <v>1.0000045284922003</v>
      </c>
      <c r="Y70" s="160">
        <f t="shared" si="47"/>
        <v>-3.0094767355639557E-3</v>
      </c>
      <c r="Z70" s="98" t="str">
        <f t="shared" si="36"/>
        <v>0.999998014525675+0.000239050550765443i</v>
      </c>
      <c r="AA70" s="160">
        <f t="shared" si="48"/>
        <v>0.9999980430983143</v>
      </c>
      <c r="AB70" s="160">
        <f t="shared" si="49"/>
        <v>2.3905102084156152E-4</v>
      </c>
      <c r="AC70" s="171" t="str">
        <f t="shared" si="50"/>
        <v>24.4059890433165-162.181765075907i</v>
      </c>
      <c r="AD70" s="190">
        <f t="shared" si="51"/>
        <v>44.297293089998576</v>
      </c>
      <c r="AE70" s="169">
        <f t="shared" si="52"/>
        <v>-81.442036510642154</v>
      </c>
      <c r="AF70" s="98" t="str">
        <f t="shared" si="37"/>
        <v>-9.95024875621891E-06</v>
      </c>
      <c r="AG70" s="98" t="str">
        <f t="shared" si="38"/>
        <v>0.000208263875544657i</v>
      </c>
      <c r="AH70" s="98">
        <f t="shared" si="53"/>
        <v>2.0826387554465699E-4</v>
      </c>
      <c r="AI70" s="98">
        <f t="shared" si="54"/>
        <v>1.5707963267948966</v>
      </c>
      <c r="AJ70" s="98" t="str">
        <f t="shared" si="39"/>
        <v>1+0.00207847971753179i</v>
      </c>
      <c r="AK70" s="98">
        <f t="shared" si="55"/>
        <v>1.0000021600366353</v>
      </c>
      <c r="AL70" s="98">
        <f t="shared" si="56"/>
        <v>2.0784767244747585E-3</v>
      </c>
      <c r="AM70" s="98" t="str">
        <f t="shared" si="40"/>
        <v>1+2.08055819724932i</v>
      </c>
      <c r="AN70" s="98">
        <f t="shared" si="57"/>
        <v>2.3084025671752619</v>
      </c>
      <c r="AO70" s="98">
        <f t="shared" si="58"/>
        <v>1.1227561271016899</v>
      </c>
      <c r="AP70" s="168" t="str">
        <f t="shared" si="59"/>
        <v>-0.0993033516987957+0.047983522800074i</v>
      </c>
      <c r="AQ70" s="98">
        <f t="shared" si="60"/>
        <v>-19.149387941379786</v>
      </c>
      <c r="AR70" s="169">
        <f t="shared" si="61"/>
        <v>154.21009956125212</v>
      </c>
      <c r="AS70" s="168" t="str">
        <f t="shared" si="62"/>
        <v>5.35845590875062+17.2762781881826i</v>
      </c>
      <c r="AT70" s="190">
        <f t="shared" si="63"/>
        <v>25.147905148618797</v>
      </c>
      <c r="AU70" s="169">
        <f t="shared" si="64"/>
        <v>72.768063050609967</v>
      </c>
      <c r="AV70" s="225"/>
      <c r="AX70">
        <f t="shared" si="65"/>
        <v>0</v>
      </c>
      <c r="AY70">
        <f t="shared" si="66"/>
        <v>0</v>
      </c>
    </row>
    <row r="71" spans="1:51" x14ac:dyDescent="0.55000000000000004">
      <c r="N71" s="170">
        <v>53</v>
      </c>
      <c r="O71" s="199">
        <f t="shared" si="41"/>
        <v>33.884415613920268</v>
      </c>
      <c r="P71" s="189" t="str">
        <f t="shared" si="32"/>
        <v>1078.86904761905</v>
      </c>
      <c r="Q71" s="160" t="str">
        <f t="shared" si="33"/>
        <v>1+6.65318944774219i</v>
      </c>
      <c r="R71" s="160">
        <f t="shared" si="42"/>
        <v>6.7279216573580909</v>
      </c>
      <c r="S71" s="160">
        <f t="shared" si="43"/>
        <v>1.4216092269754399</v>
      </c>
      <c r="T71" s="160" t="str">
        <f t="shared" si="34"/>
        <v>1+0.000004258041246555i</v>
      </c>
      <c r="U71" s="160">
        <f t="shared" si="44"/>
        <v>1.0000000000090654</v>
      </c>
      <c r="V71" s="160">
        <f t="shared" si="45"/>
        <v>4.2580412465292665E-6</v>
      </c>
      <c r="W71" s="98" t="str">
        <f t="shared" si="35"/>
        <v>1-0.00307958575115844i</v>
      </c>
      <c r="X71" s="160">
        <f t="shared" si="46"/>
        <v>1.0000047419129565</v>
      </c>
      <c r="Y71" s="160">
        <f t="shared" si="47"/>
        <v>-3.0795760157723722E-3</v>
      </c>
      <c r="Z71" s="98" t="str">
        <f t="shared" si="36"/>
        <v>0.999997920953153+0.000244618753399132i</v>
      </c>
      <c r="AA71" s="160">
        <f t="shared" si="48"/>
        <v>0.99999795087238208</v>
      </c>
      <c r="AB71" s="160">
        <f t="shared" si="49"/>
        <v>2.4461925709481414E-4</v>
      </c>
      <c r="AC71" s="171" t="str">
        <f t="shared" si="50"/>
        <v>23.3081122666531-158.655081842843i</v>
      </c>
      <c r="AD71" s="190">
        <f t="shared" si="51"/>
        <v>44.10181514219893</v>
      </c>
      <c r="AE71" s="169">
        <f t="shared" si="52"/>
        <v>-81.642427214168421</v>
      </c>
      <c r="AF71" s="98" t="str">
        <f t="shared" si="37"/>
        <v>-9.95024875621891E-06</v>
      </c>
      <c r="AG71" s="98" t="str">
        <f t="shared" si="38"/>
        <v>0.000213114964390078i</v>
      </c>
      <c r="AH71" s="98">
        <f t="shared" si="53"/>
        <v>2.13114964390078E-4</v>
      </c>
      <c r="AI71" s="98">
        <f t="shared" si="54"/>
        <v>1.5707963267948966</v>
      </c>
      <c r="AJ71" s="98" t="str">
        <f t="shared" si="39"/>
        <v>1+0.00212689372954795i</v>
      </c>
      <c r="AK71" s="98">
        <f t="shared" si="55"/>
        <v>1.0000022618359106</v>
      </c>
      <c r="AL71" s="98">
        <f t="shared" si="56"/>
        <v>2.1268905224299511E-3</v>
      </c>
      <c r="AM71" s="98" t="str">
        <f t="shared" si="40"/>
        <v>1+2.1290206232775i</v>
      </c>
      <c r="AN71" s="98">
        <f t="shared" si="57"/>
        <v>2.3521753366492293</v>
      </c>
      <c r="AO71" s="98">
        <f t="shared" si="58"/>
        <v>1.1316815679641459</v>
      </c>
      <c r="AP71" s="168" t="str">
        <f t="shared" si="59"/>
        <v>-0.0993033314808239+0.0469007903411243i</v>
      </c>
      <c r="AQ71" s="98">
        <f t="shared" si="60"/>
        <v>-19.186225959176497</v>
      </c>
      <c r="AR71" s="169">
        <f t="shared" si="61"/>
        <v>154.71871574667139</v>
      </c>
      <c r="AS71" s="168" t="str">
        <f t="shared" si="62"/>
        <v>5.12647553145739+16.8481470700228i</v>
      </c>
      <c r="AT71" s="190">
        <f t="shared" si="63"/>
        <v>24.915589183022448</v>
      </c>
      <c r="AU71" s="169">
        <f t="shared" si="64"/>
        <v>73.076288532503</v>
      </c>
      <c r="AV71" s="225"/>
      <c r="AX71">
        <f t="shared" si="65"/>
        <v>0</v>
      </c>
      <c r="AY71">
        <f t="shared" si="66"/>
        <v>0</v>
      </c>
    </row>
    <row r="72" spans="1:51" x14ac:dyDescent="0.55000000000000004">
      <c r="N72" s="170">
        <v>54</v>
      </c>
      <c r="O72" s="199">
        <f t="shared" si="41"/>
        <v>34.67368504525318</v>
      </c>
      <c r="P72" s="189" t="str">
        <f t="shared" si="32"/>
        <v>1078.86904761905</v>
      </c>
      <c r="Q72" s="160" t="str">
        <f t="shared" si="33"/>
        <v>1+6.80816213819084i</v>
      </c>
      <c r="R72" s="160">
        <f t="shared" si="42"/>
        <v>6.8812114994305533</v>
      </c>
      <c r="S72" s="160">
        <f t="shared" si="43"/>
        <v>1.4249566465523342</v>
      </c>
      <c r="T72" s="160" t="str">
        <f t="shared" si="34"/>
        <v>1+4.35722376844214E-06i</v>
      </c>
      <c r="U72" s="160">
        <f t="shared" si="44"/>
        <v>1.0000000000094929</v>
      </c>
      <c r="V72" s="160">
        <f t="shared" si="45"/>
        <v>4.3572237684145661E-6</v>
      </c>
      <c r="W72" s="98" t="str">
        <f t="shared" si="35"/>
        <v>1-0.0031513185182881i</v>
      </c>
      <c r="X72" s="160">
        <f t="shared" si="46"/>
        <v>1.0000049653918743</v>
      </c>
      <c r="Y72" s="160">
        <f t="shared" si="47"/>
        <v>-3.1513080866367822E-3</v>
      </c>
      <c r="Z72" s="98" t="str">
        <f t="shared" si="36"/>
        <v>0.999997822970693+0.000250316656133785i</v>
      </c>
      <c r="AA72" s="160">
        <f t="shared" si="48"/>
        <v>0.99999785429997479</v>
      </c>
      <c r="AB72" s="160">
        <f t="shared" si="49"/>
        <v>2.5031719585348443E-4</v>
      </c>
      <c r="AC72" s="171" t="str">
        <f t="shared" si="50"/>
        <v>22.2575118254727-155.19797566892i</v>
      </c>
      <c r="AD72" s="190">
        <f t="shared" si="51"/>
        <v>43.906138307839484</v>
      </c>
      <c r="AE72" s="169">
        <f t="shared" si="52"/>
        <v>-81.83865095820309</v>
      </c>
      <c r="AF72" s="98" t="str">
        <f t="shared" si="37"/>
        <v>-9.95024875621891E-06</v>
      </c>
      <c r="AG72" s="98" t="str">
        <f t="shared" si="38"/>
        <v>0.000218079049610529i</v>
      </c>
      <c r="AH72" s="98">
        <f t="shared" si="53"/>
        <v>2.1807904961052899E-4</v>
      </c>
      <c r="AI72" s="98">
        <f t="shared" si="54"/>
        <v>1.5707963267948966</v>
      </c>
      <c r="AJ72" s="98" t="str">
        <f t="shared" si="39"/>
        <v>1+0.0021764354487723i</v>
      </c>
      <c r="AK72" s="98">
        <f t="shared" si="55"/>
        <v>1.0000023684328265</v>
      </c>
      <c r="AL72" s="98">
        <f t="shared" si="56"/>
        <v>2.1764320122838895E-3</v>
      </c>
      <c r="AM72" s="98" t="str">
        <f t="shared" si="40"/>
        <v>1+2.17861188422107i</v>
      </c>
      <c r="AN72" s="98">
        <f t="shared" si="57"/>
        <v>2.3971545094276427</v>
      </c>
      <c r="AO72" s="98">
        <f t="shared" si="58"/>
        <v>1.1404767540148113</v>
      </c>
      <c r="AP72" s="168" t="str">
        <f t="shared" si="59"/>
        <v>-0.0993033103100175+0.0458429252979645i</v>
      </c>
      <c r="AQ72" s="98">
        <f t="shared" si="60"/>
        <v>-19.221700173046415</v>
      </c>
      <c r="AR72" s="169">
        <f t="shared" si="61"/>
        <v>155.21980426912739</v>
      </c>
      <c r="AS72" s="168" t="str">
        <f t="shared" si="62"/>
        <v>4.90448460145181+16.432022189271i</v>
      </c>
      <c r="AT72" s="190">
        <f t="shared" si="63"/>
        <v>24.684438134793055</v>
      </c>
      <c r="AU72" s="169">
        <f t="shared" si="64"/>
        <v>73.38115331092429</v>
      </c>
      <c r="AV72" s="225"/>
      <c r="AX72">
        <f t="shared" si="65"/>
        <v>0</v>
      </c>
      <c r="AY72">
        <f t="shared" si="66"/>
        <v>0</v>
      </c>
    </row>
    <row r="73" spans="1:51" x14ac:dyDescent="0.55000000000000004">
      <c r="N73" s="170">
        <v>55</v>
      </c>
      <c r="O73" s="199">
        <f t="shared" si="41"/>
        <v>35.481338923357555</v>
      </c>
      <c r="P73" s="189" t="str">
        <f t="shared" si="32"/>
        <v>1078.86904761905</v>
      </c>
      <c r="Q73" s="160" t="str">
        <f t="shared" si="33"/>
        <v>1+6.96674460632184i</v>
      </c>
      <c r="R73" s="160">
        <f t="shared" si="42"/>
        <v>7.0381482230565764</v>
      </c>
      <c r="S73" s="160">
        <f t="shared" si="43"/>
        <v>1.4282310533528912</v>
      </c>
      <c r="T73" s="160" t="str">
        <f t="shared" si="34"/>
        <v>1+4.45871654804598E-06i</v>
      </c>
      <c r="U73" s="160">
        <f t="shared" si="44"/>
        <v>1.00000000000994</v>
      </c>
      <c r="V73" s="160">
        <f t="shared" si="45"/>
        <v>4.4587165480164329E-6</v>
      </c>
      <c r="W73" s="98" t="str">
        <f t="shared" si="35"/>
        <v>1-0.00322472215620878i</v>
      </c>
      <c r="X73" s="160">
        <f t="shared" si="46"/>
        <v>1.0000051994029755</v>
      </c>
      <c r="Y73" s="160">
        <f t="shared" si="47"/>
        <v>-3.2247109784961461E-3</v>
      </c>
      <c r="Z73" s="98" t="str">
        <f t="shared" si="36"/>
        <v>0.999997720370463+0.000256147280072854i</v>
      </c>
      <c r="AA73" s="160">
        <f t="shared" si="48"/>
        <v>0.99999775317625172</v>
      </c>
      <c r="AB73" s="160">
        <f t="shared" si="49"/>
        <v>2.5614785839298947E-4</v>
      </c>
      <c r="AC73" s="171" t="str">
        <f t="shared" si="50"/>
        <v>21.252242074117-151.809543702279i</v>
      </c>
      <c r="AD73" s="190">
        <f t="shared" si="51"/>
        <v>43.710271171118087</v>
      </c>
      <c r="AE73" s="169">
        <f t="shared" si="52"/>
        <v>-82.030794581438883</v>
      </c>
      <c r="AF73" s="98" t="str">
        <f t="shared" si="37"/>
        <v>-9.95024875621891E-06</v>
      </c>
      <c r="AG73" s="98" t="str">
        <f t="shared" si="38"/>
        <v>0.000223158763229702i</v>
      </c>
      <c r="AH73" s="98">
        <f t="shared" si="53"/>
        <v>2.2315876322970201E-4</v>
      </c>
      <c r="AI73" s="98">
        <f t="shared" si="54"/>
        <v>1.5707963267948966</v>
      </c>
      <c r="AJ73" s="98" t="str">
        <f t="shared" si="39"/>
        <v>1+0.00222713114288011i</v>
      </c>
      <c r="AK73" s="98">
        <f t="shared" si="55"/>
        <v>1.0000024800534884</v>
      </c>
      <c r="AL73" s="98">
        <f t="shared" si="56"/>
        <v>2.2271274606169289E-3</v>
      </c>
      <c r="AM73" s="98" t="str">
        <f t="shared" si="40"/>
        <v>1+2.22935827402299i</v>
      </c>
      <c r="AN73" s="98">
        <f t="shared" si="57"/>
        <v>2.4433661849904458</v>
      </c>
      <c r="AO73" s="98">
        <f t="shared" si="58"/>
        <v>1.1491409047231456</v>
      </c>
      <c r="AP73" s="168" t="str">
        <f t="shared" si="59"/>
        <v>-0.0993032881414709+0.044809366776256i</v>
      </c>
      <c r="AQ73" s="98">
        <f t="shared" si="60"/>
        <v>-19.255850510193927</v>
      </c>
      <c r="AR73" s="169">
        <f t="shared" si="61"/>
        <v>155.71331890255024</v>
      </c>
      <c r="AS73" s="168" t="str">
        <f t="shared" si="62"/>
        <v>4.69207200555315+16.0274863708095i</v>
      </c>
      <c r="AT73" s="190">
        <f t="shared" si="63"/>
        <v>24.45442066092415</v>
      </c>
      <c r="AU73" s="169">
        <f t="shared" si="64"/>
        <v>73.682524321111345</v>
      </c>
      <c r="AV73" s="225"/>
      <c r="AX73">
        <f t="shared" si="65"/>
        <v>0</v>
      </c>
      <c r="AY73">
        <f t="shared" si="66"/>
        <v>0</v>
      </c>
    </row>
    <row r="74" spans="1:51" x14ac:dyDescent="0.55000000000000004">
      <c r="N74" s="170">
        <v>56</v>
      </c>
      <c r="O74" s="199">
        <f t="shared" si="41"/>
        <v>36.307805477010156</v>
      </c>
      <c r="P74" s="189" t="str">
        <f t="shared" si="32"/>
        <v>1078.86904761905</v>
      </c>
      <c r="Q74" s="160" t="str">
        <f t="shared" si="33"/>
        <v>1+7.12902093465891i</v>
      </c>
      <c r="R74" s="160">
        <f t="shared" si="42"/>
        <v>7.1988151446474165</v>
      </c>
      <c r="S74" s="160">
        <f t="shared" si="43"/>
        <v>1.4314339025059504</v>
      </c>
      <c r="T74" s="160" t="str">
        <f t="shared" si="34"/>
        <v>1+0.0000045625733981817i</v>
      </c>
      <c r="U74" s="160">
        <f t="shared" si="44"/>
        <v>1.0000000000104086</v>
      </c>
      <c r="V74" s="160">
        <f t="shared" si="45"/>
        <v>4.5625733981500405E-6</v>
      </c>
      <c r="W74" s="98" t="str">
        <f t="shared" si="35"/>
        <v>1-0.00329983558450093i</v>
      </c>
      <c r="X74" s="160">
        <f t="shared" si="46"/>
        <v>1.0000054444426214</v>
      </c>
      <c r="Y74" s="160">
        <f t="shared" si="47"/>
        <v>-3.2998236073695764E-3</v>
      </c>
      <c r="Z74" s="98" t="str">
        <f t="shared" si="36"/>
        <v>0.999997612934833+0.000262113716690328i</v>
      </c>
      <c r="AA74" s="160">
        <f t="shared" si="48"/>
        <v>0.9999976472867147</v>
      </c>
      <c r="AB74" s="160">
        <f t="shared" si="49"/>
        <v>2.6211433637158296E-4</v>
      </c>
      <c r="AC74" s="171" t="str">
        <f t="shared" si="50"/>
        <v>20.2904296411286-148.488861692933i</v>
      </c>
      <c r="AD74" s="190">
        <f t="shared" si="51"/>
        <v>43.514221962734652</v>
      </c>
      <c r="AE74" s="169">
        <f t="shared" si="52"/>
        <v>-82.218943860396379</v>
      </c>
      <c r="AF74" s="98" t="str">
        <f t="shared" si="37"/>
        <v>-9.95024875621891E-06</v>
      </c>
      <c r="AG74" s="98" t="str">
        <f t="shared" si="38"/>
        <v>0.000228356798578994i</v>
      </c>
      <c r="AH74" s="98">
        <f t="shared" si="53"/>
        <v>2.2835679857899401E-4</v>
      </c>
      <c r="AI74" s="98">
        <f t="shared" si="54"/>
        <v>1.5707963267948966</v>
      </c>
      <c r="AJ74" s="98" t="str">
        <f t="shared" si="39"/>
        <v>1+0.00227900769139945i</v>
      </c>
      <c r="AK74" s="98">
        <f t="shared" si="55"/>
        <v>1.0000025969346567</v>
      </c>
      <c r="AL74" s="98">
        <f t="shared" si="56"/>
        <v>2.2790037457839181E-3</v>
      </c>
      <c r="AM74" s="98" t="str">
        <f t="shared" si="40"/>
        <v>1+2.28128669909085i</v>
      </c>
      <c r="AN74" s="98">
        <f t="shared" si="57"/>
        <v>2.4908370086075133</v>
      </c>
      <c r="AO74" s="98">
        <f t="shared" si="58"/>
        <v>1.1576734097316572</v>
      </c>
      <c r="AP74" s="168" t="str">
        <f t="shared" si="59"/>
        <v>-0.0993032649281642+0.0437995667692797i</v>
      </c>
      <c r="AQ74" s="98">
        <f t="shared" si="60"/>
        <v>-19.288716512510604</v>
      </c>
      <c r="AR74" s="169">
        <f t="shared" si="61"/>
        <v>156.19922313601529</v>
      </c>
      <c r="AS74" s="168" t="str">
        <f t="shared" si="62"/>
        <v>4.48884190205469+15.6341407994188i</v>
      </c>
      <c r="AT74" s="190">
        <f t="shared" si="63"/>
        <v>24.225505450224027</v>
      </c>
      <c r="AU74" s="169">
        <f t="shared" si="64"/>
        <v>73.980279275618884</v>
      </c>
      <c r="AV74" s="225"/>
      <c r="AX74">
        <f t="shared" si="65"/>
        <v>0</v>
      </c>
      <c r="AY74">
        <f t="shared" si="66"/>
        <v>0</v>
      </c>
    </row>
    <row r="75" spans="1:51" x14ac:dyDescent="0.55000000000000004">
      <c r="N75" s="170">
        <v>57</v>
      </c>
      <c r="O75" s="199">
        <f t="shared" si="41"/>
        <v>37.15352290971726</v>
      </c>
      <c r="P75" s="189" t="str">
        <f t="shared" si="32"/>
        <v>1078.86904761905</v>
      </c>
      <c r="Q75" s="160" t="str">
        <f t="shared" si="33"/>
        <v>1+7.29507716425925i</v>
      </c>
      <c r="R75" s="160">
        <f t="shared" si="42"/>
        <v>7.3632975515387651</v>
      </c>
      <c r="S75" s="160">
        <f t="shared" si="43"/>
        <v>1.4345666292221833</v>
      </c>
      <c r="T75" s="160" t="str">
        <f t="shared" si="34"/>
        <v>1+4.66884938512592E-06i</v>
      </c>
      <c r="U75" s="160">
        <f t="shared" si="44"/>
        <v>1.0000000000108991</v>
      </c>
      <c r="V75" s="160">
        <f t="shared" si="45"/>
        <v>4.6688493850919954E-6</v>
      </c>
      <c r="W75" s="98" t="str">
        <f t="shared" si="35"/>
        <v>1-0.00337669862929847i</v>
      </c>
      <c r="X75" s="160">
        <f t="shared" si="46"/>
        <v>1.0000057010305656</v>
      </c>
      <c r="Y75" s="160">
        <f t="shared" si="47"/>
        <v>-3.3766857955749548E-3</v>
      </c>
      <c r="Z75" s="98" t="str">
        <f t="shared" si="36"/>
        <v>0.999997500435917+0.000268219129469875i</v>
      </c>
      <c r="AA75" s="160">
        <f t="shared" si="48"/>
        <v>0.99999753640675704</v>
      </c>
      <c r="AB75" s="160">
        <f t="shared" si="49"/>
        <v>2.6821979347037631E-4</v>
      </c>
      <c r="AC75" s="171" t="str">
        <f t="shared" si="50"/>
        <v>19.3702714308928-145.234986916996i</v>
      </c>
      <c r="AD75" s="190">
        <f t="shared" si="51"/>
        <v>43.317998573110501</v>
      </c>
      <c r="AE75" s="169">
        <f t="shared" si="52"/>
        <v>-82.403183486350969</v>
      </c>
      <c r="AF75" s="98" t="str">
        <f t="shared" si="37"/>
        <v>-9.95024875621891E-06</v>
      </c>
      <c r="AG75" s="98" t="str">
        <f t="shared" si="38"/>
        <v>0.000233675911725552i</v>
      </c>
      <c r="AH75" s="98">
        <f t="shared" si="53"/>
        <v>2.3367591172555199E-4</v>
      </c>
      <c r="AI75" s="98">
        <f t="shared" si="54"/>
        <v>1.5707963267948966</v>
      </c>
      <c r="AJ75" s="98" t="str">
        <f t="shared" si="39"/>
        <v>1+0.002332092599963i</v>
      </c>
      <c r="AK75" s="98">
        <f t="shared" si="55"/>
        <v>1.00000271932425</v>
      </c>
      <c r="AL75" s="98">
        <f t="shared" si="56"/>
        <v>2.3320883721604075E-3</v>
      </c>
      <c r="AM75" s="98" t="str">
        <f t="shared" si="40"/>
        <v>1+2.33442469256296i</v>
      </c>
      <c r="AN75" s="98">
        <f t="shared" si="57"/>
        <v>2.5395941890876323</v>
      </c>
      <c r="AO75" s="98">
        <f t="shared" si="58"/>
        <v>1.1660738224628642</v>
      </c>
      <c r="AP75" s="168" t="str">
        <f t="shared" si="59"/>
        <v>-0.0993032406208595+0.0428129898673724i</v>
      </c>
      <c r="AQ75" s="98">
        <f t="shared" si="60"/>
        <v>-19.320337277940919</v>
      </c>
      <c r="AR75" s="169">
        <f t="shared" si="61"/>
        <v>156.67748980663305</v>
      </c>
      <c r="AS75" s="168" t="str">
        <f t="shared" si="62"/>
        <v>4.294413298472+15.2516040868849i</v>
      </c>
      <c r="AT75" s="190">
        <f t="shared" si="63"/>
        <v>23.997661295169578</v>
      </c>
      <c r="AU75" s="169">
        <f t="shared" si="64"/>
        <v>74.274306320282108</v>
      </c>
      <c r="AV75" s="225"/>
      <c r="AX75">
        <f t="shared" si="65"/>
        <v>0</v>
      </c>
      <c r="AY75">
        <f t="shared" si="66"/>
        <v>0</v>
      </c>
    </row>
    <row r="76" spans="1:51" x14ac:dyDescent="0.55000000000000004">
      <c r="N76" s="170">
        <v>58</v>
      </c>
      <c r="O76" s="199">
        <f t="shared" si="41"/>
        <v>38.018939632056139</v>
      </c>
      <c r="P76" s="189" t="str">
        <f t="shared" si="32"/>
        <v>1078.86904761905</v>
      </c>
      <c r="Q76" s="160" t="str">
        <f t="shared" si="33"/>
        <v>1+7.46500134033384i</v>
      </c>
      <c r="R76" s="160">
        <f t="shared" si="42"/>
        <v>7.531682747645843</v>
      </c>
      <c r="S76" s="160">
        <f t="shared" si="43"/>
        <v>1.4376306484294841</v>
      </c>
      <c r="T76" s="160" t="str">
        <f t="shared" si="34"/>
        <v>1+4.77760085781366E-06i</v>
      </c>
      <c r="U76" s="160">
        <f t="shared" si="44"/>
        <v>1.0000000000114126</v>
      </c>
      <c r="V76" s="160">
        <f t="shared" si="45"/>
        <v>4.7776008577773093E-6</v>
      </c>
      <c r="W76" s="98" t="str">
        <f t="shared" si="35"/>
        <v>1-0.00345535204440515i</v>
      </c>
      <c r="X76" s="160">
        <f t="shared" si="46"/>
        <v>1.0000059697110566</v>
      </c>
      <c r="Y76" s="160">
        <f t="shared" si="47"/>
        <v>-3.4553382928270791E-3</v>
      </c>
      <c r="Z76" s="98" t="str">
        <f t="shared" si="36"/>
        <v>0.999997382635091+0.000274466755582168i</v>
      </c>
      <c r="AA76" s="160">
        <f t="shared" si="48"/>
        <v>0.99999742030118877</v>
      </c>
      <c r="AB76" s="160">
        <f t="shared" si="49"/>
        <v>2.7446746707160603E-4</v>
      </c>
      <c r="AC76" s="171" t="str">
        <f t="shared" si="50"/>
        <v>18.4900326160732-142.046960908607i</v>
      </c>
      <c r="AD76" s="190">
        <f t="shared" si="51"/>
        <v>43.12160856523721</v>
      </c>
      <c r="AE76" s="169">
        <f t="shared" si="52"/>
        <v>-82.583597045745719</v>
      </c>
      <c r="AF76" s="98" t="str">
        <f t="shared" si="37"/>
        <v>-9.95024875621891E-06</v>
      </c>
      <c r="AG76" s="98" t="str">
        <f t="shared" si="38"/>
        <v>0.000239118922933574i</v>
      </c>
      <c r="AH76" s="98">
        <f t="shared" si="53"/>
        <v>2.3911892293357399E-4</v>
      </c>
      <c r="AI76" s="98">
        <f t="shared" si="54"/>
        <v>1.5707963267948966</v>
      </c>
      <c r="AJ76" s="98" t="str">
        <f t="shared" si="39"/>
        <v>1+0.00238641401489194i</v>
      </c>
      <c r="AK76" s="98">
        <f t="shared" si="55"/>
        <v>1.0000028474818712</v>
      </c>
      <c r="AL76" s="98">
        <f t="shared" si="56"/>
        <v>2.3864094847205401E-3</v>
      </c>
      <c r="AM76" s="98" t="str">
        <f t="shared" si="40"/>
        <v>1+2.38880042890683i</v>
      </c>
      <c r="AN76" s="98">
        <f t="shared" si="57"/>
        <v>2.5896655168468099</v>
      </c>
      <c r="AO76" s="98">
        <f t="shared" si="58"/>
        <v>1.174341853545493</v>
      </c>
      <c r="AP76" s="168" t="str">
        <f t="shared" si="59"/>
        <v>-0.0993032151679991+0.0418491129740452i</v>
      </c>
      <c r="AQ76" s="98">
        <f t="shared" si="60"/>
        <v>-19.350751406749893</v>
      </c>
      <c r="AR76" s="169">
        <f t="shared" si="61"/>
        <v>157.14810072206245</v>
      </c>
      <c r="AS76" s="168" t="str">
        <f t="shared" si="62"/>
        <v>4.10841962734684+14.8795113869116i</v>
      </c>
      <c r="AT76" s="190">
        <f t="shared" si="63"/>
        <v>23.770857158487324</v>
      </c>
      <c r="AU76" s="169">
        <f t="shared" si="64"/>
        <v>74.564503676316761</v>
      </c>
      <c r="AV76" s="225"/>
      <c r="AX76">
        <f t="shared" si="65"/>
        <v>0</v>
      </c>
      <c r="AY76">
        <f t="shared" si="66"/>
        <v>0</v>
      </c>
    </row>
    <row r="77" spans="1:51" x14ac:dyDescent="0.55000000000000004">
      <c r="N77" s="170">
        <v>59</v>
      </c>
      <c r="O77" s="199">
        <f t="shared" si="41"/>
        <v>38.904514499428053</v>
      </c>
      <c r="P77" s="189" t="str">
        <f t="shared" si="32"/>
        <v>1078.86904761905</v>
      </c>
      <c r="Q77" s="160" t="str">
        <f t="shared" si="33"/>
        <v>1+7.63888355893006i</v>
      </c>
      <c r="R77" s="160">
        <f t="shared" si="42"/>
        <v>7.7040601001609526</v>
      </c>
      <c r="S77" s="160">
        <f t="shared" si="43"/>
        <v>1.4406273544646608</v>
      </c>
      <c r="T77" s="160" t="str">
        <f t="shared" si="34"/>
        <v>1+4.88888547771524E-06i</v>
      </c>
      <c r="U77" s="160">
        <f t="shared" si="44"/>
        <v>1.0000000000119504</v>
      </c>
      <c r="V77" s="160">
        <f t="shared" si="45"/>
        <v>4.8888854776762902E-6</v>
      </c>
      <c r="W77" s="98" t="str">
        <f t="shared" si="35"/>
        <v>1-0.00353583753290277i</v>
      </c>
      <c r="X77" s="160">
        <f t="shared" si="46"/>
        <v>1.0000062510539918</v>
      </c>
      <c r="Y77" s="160">
        <f t="shared" si="47"/>
        <v>-3.5358227978263641E-3</v>
      </c>
      <c r="Z77" s="98" t="str">
        <f t="shared" si="36"/>
        <v>0.999997259282484+0.000280859907601267i</v>
      </c>
      <c r="AA77" s="160">
        <f t="shared" si="48"/>
        <v>0.99999729872373511</v>
      </c>
      <c r="AB77" s="160">
        <f t="shared" si="49"/>
        <v>2.8086066997602726E-4</v>
      </c>
      <c r="AC77" s="171" t="str">
        <f t="shared" si="50"/>
        <v>17.6480446286187-138.923812008669i</v>
      </c>
      <c r="AD77" s="190">
        <f t="shared" si="51"/>
        <v>42.925059187154311</v>
      </c>
      <c r="AE77" s="169">
        <f t="shared" si="52"/>
        <v>-82.760267003860349</v>
      </c>
      <c r="AF77" s="98" t="str">
        <f t="shared" si="37"/>
        <v>-9.95024875621891E-06</v>
      </c>
      <c r="AG77" s="98" t="str">
        <f t="shared" si="38"/>
        <v>0.000244688718159647i</v>
      </c>
      <c r="AH77" s="98">
        <f t="shared" si="53"/>
        <v>2.44688718159647E-4</v>
      </c>
      <c r="AI77" s="98">
        <f t="shared" si="54"/>
        <v>1.5707963267948966</v>
      </c>
      <c r="AJ77" s="98" t="str">
        <f t="shared" si="39"/>
        <v>1+0.0024420007381195i</v>
      </c>
      <c r="AK77" s="98">
        <f t="shared" si="55"/>
        <v>1.0000029816793574</v>
      </c>
      <c r="AL77" s="98">
        <f t="shared" si="56"/>
        <v>2.4419958839541709E-3</v>
      </c>
      <c r="AM77" s="98" t="str">
        <f t="shared" si="40"/>
        <v>1+2.44444273885762i</v>
      </c>
      <c r="AN77" s="98">
        <f t="shared" si="57"/>
        <v>2.641079382289321</v>
      </c>
      <c r="AO77" s="98">
        <f t="shared" si="58"/>
        <v>1.1824773641045274</v>
      </c>
      <c r="AP77" s="168" t="str">
        <f t="shared" si="59"/>
        <v>-0.0993031885155971+0.0409074250286287i</v>
      </c>
      <c r="AQ77" s="98">
        <f t="shared" si="60"/>
        <v>-19.379996952615176</v>
      </c>
      <c r="AR77" s="169">
        <f t="shared" si="61"/>
        <v>157.61104627520484</v>
      </c>
      <c r="AS77" s="168" t="str">
        <f t="shared" si="62"/>
        <v>3.93050832174854+14.5175135557493i</v>
      </c>
      <c r="AT77" s="190">
        <f t="shared" si="63"/>
        <v>23.545062234539106</v>
      </c>
      <c r="AU77" s="169">
        <f t="shared" si="64"/>
        <v>74.850779271344464</v>
      </c>
      <c r="AV77" s="225"/>
      <c r="AX77">
        <f t="shared" si="65"/>
        <v>0</v>
      </c>
      <c r="AY77">
        <f t="shared" si="66"/>
        <v>0</v>
      </c>
    </row>
    <row r="78" spans="1:51" x14ac:dyDescent="0.55000000000000004">
      <c r="N78" s="170">
        <v>60</v>
      </c>
      <c r="O78" s="199">
        <f t="shared" si="41"/>
        <v>39.810717055349755</v>
      </c>
      <c r="P78" s="189" t="str">
        <f t="shared" si="32"/>
        <v>1078.86904761905</v>
      </c>
      <c r="Q78" s="160" t="str">
        <f t="shared" si="33"/>
        <v>1+7.81681601470178i</v>
      </c>
      <c r="R78" s="160">
        <f t="shared" si="42"/>
        <v>7.880521087320191</v>
      </c>
      <c r="S78" s="160">
        <f t="shared" si="43"/>
        <v>1.4435581208176258</v>
      </c>
      <c r="T78" s="160" t="str">
        <f t="shared" si="34"/>
        <v>1+5.00276224940914E-06i</v>
      </c>
      <c r="U78" s="160">
        <f t="shared" si="44"/>
        <v>1.0000000000125138</v>
      </c>
      <c r="V78" s="160">
        <f t="shared" si="45"/>
        <v>5.0027622493674043E-6</v>
      </c>
      <c r="W78" s="98" t="str">
        <f t="shared" si="35"/>
        <v>1-0.00361819776926267i</v>
      </c>
      <c r="X78" s="160">
        <f t="shared" si="46"/>
        <v>1.000006545656126</v>
      </c>
      <c r="Y78" s="160">
        <f t="shared" si="47"/>
        <v>-3.6181819803494187E-3</v>
      </c>
      <c r="Z78" s="98" t="str">
        <f t="shared" si="36"/>
        <v>0.999997130116446+0.000287401975260996i</v>
      </c>
      <c r="AA78" s="160">
        <f t="shared" si="48"/>
        <v>0.99999717141651134</v>
      </c>
      <c r="AB78" s="160">
        <f t="shared" si="49"/>
        <v>2.8740279216037324E-4</v>
      </c>
      <c r="AC78" s="171" t="str">
        <f t="shared" si="50"/>
        <v>16.8427031562784-135.864557739329i</v>
      </c>
      <c r="AD78" s="190">
        <f t="shared" si="51"/>
        <v>42.728357384055549</v>
      </c>
      <c r="AE78" s="169">
        <f t="shared" si="52"/>
        <v>-82.933274691518733</v>
      </c>
      <c r="AF78" s="98" t="str">
        <f t="shared" si="37"/>
        <v>-9.95024875621891E-06</v>
      </c>
      <c r="AG78" s="98" t="str">
        <f t="shared" si="38"/>
        <v>0.000250388250582928i</v>
      </c>
      <c r="AH78" s="98">
        <f t="shared" si="53"/>
        <v>2.5038825058292799E-4</v>
      </c>
      <c r="AI78" s="98">
        <f t="shared" si="54"/>
        <v>1.5707963267948966</v>
      </c>
      <c r="AJ78" s="98" t="str">
        <f t="shared" si="39"/>
        <v>1+0.00249888224246211i</v>
      </c>
      <c r="AK78" s="98">
        <f t="shared" si="55"/>
        <v>1.0000031222013568</v>
      </c>
      <c r="AL78" s="98">
        <f t="shared" si="56"/>
        <v>2.4988770411311259E-3</v>
      </c>
      <c r="AM78" s="98" t="str">
        <f t="shared" si="40"/>
        <v>1+2.50138112470457i</v>
      </c>
      <c r="AN78" s="98">
        <f t="shared" si="57"/>
        <v>2.6938647944966165</v>
      </c>
      <c r="AO78" s="98">
        <f t="shared" si="58"/>
        <v>1.1904803589570829</v>
      </c>
      <c r="AP78" s="168" t="str">
        <f t="shared" si="59"/>
        <v>-0.0993031606071205+0.0399874267352996i</v>
      </c>
      <c r="AQ78" s="98">
        <f t="shared" si="60"/>
        <v>-19.408111378439134</v>
      </c>
      <c r="AR78" s="169">
        <f t="shared" si="61"/>
        <v>158.06632505348114</v>
      </c>
      <c r="AS78" s="168" t="str">
        <f t="shared" si="62"/>
        <v>3.76034039193933+14.1652763564901i</v>
      </c>
      <c r="AT78" s="190">
        <f t="shared" si="63"/>
        <v>23.320246005616433</v>
      </c>
      <c r="AU78" s="169">
        <f t="shared" si="64"/>
        <v>75.133050361962461</v>
      </c>
      <c r="AV78" s="225"/>
      <c r="AX78">
        <f t="shared" si="65"/>
        <v>0</v>
      </c>
      <c r="AY78">
        <f t="shared" si="66"/>
        <v>0</v>
      </c>
    </row>
    <row r="79" spans="1:51" x14ac:dyDescent="0.55000000000000004">
      <c r="N79" s="170">
        <v>61</v>
      </c>
      <c r="O79" s="199">
        <f t="shared" si="41"/>
        <v>40.738027780411279</v>
      </c>
      <c r="P79" s="189" t="str">
        <f t="shared" si="32"/>
        <v>1078.86904761905</v>
      </c>
      <c r="Q79" s="160" t="str">
        <f t="shared" si="33"/>
        <v>1+7.99889304979231i</v>
      </c>
      <c r="R79" s="160">
        <f t="shared" si="42"/>
        <v>8.0611593472661056</v>
      </c>
      <c r="S79" s="160">
        <f t="shared" si="43"/>
        <v>1.4464242999244574</v>
      </c>
      <c r="T79" s="160" t="str">
        <f t="shared" si="34"/>
        <v>1+5.11929155186708E-06i</v>
      </c>
      <c r="U79" s="160">
        <f t="shared" si="44"/>
        <v>1.0000000000131035</v>
      </c>
      <c r="V79" s="160">
        <f t="shared" si="45"/>
        <v>5.1192915518223595E-6</v>
      </c>
      <c r="W79" s="98" t="str">
        <f t="shared" si="35"/>
        <v>1-0.00370247642197235i</v>
      </c>
      <c r="X79" s="160">
        <f t="shared" si="46"/>
        <v>1.0000068541423381</v>
      </c>
      <c r="Y79" s="160">
        <f t="shared" si="47"/>
        <v>-3.7024595038532551E-3</v>
      </c>
      <c r="Z79" s="98" t="str">
        <f t="shared" si="36"/>
        <v>0.999996994863001+0.000294096427252224i</v>
      </c>
      <c r="AA79" s="160">
        <f t="shared" si="48"/>
        <v>0.99999703810948415</v>
      </c>
      <c r="AB79" s="160">
        <f t="shared" si="49"/>
        <v>2.940973025757932E-4</v>
      </c>
      <c r="AC79" s="171" t="str">
        <f t="shared" si="50"/>
        <v>16.072466150788-132.868207012931i</v>
      </c>
      <c r="AD79" s="190">
        <f t="shared" si="51"/>
        <v>42.531509810025398</v>
      </c>
      <c r="AE79" s="169">
        <f t="shared" si="52"/>
        <v>-83.102700294628832</v>
      </c>
      <c r="AF79" s="98" t="str">
        <f t="shared" si="37"/>
        <v>-9.95024875621891E-06</v>
      </c>
      <c r="AG79" s="98" t="str">
        <f t="shared" si="38"/>
        <v>0.000256220542170947i</v>
      </c>
      <c r="AH79" s="98">
        <f t="shared" si="53"/>
        <v>2.5622054217094701E-4</v>
      </c>
      <c r="AI79" s="98">
        <f t="shared" si="54"/>
        <v>1.5707963267948966</v>
      </c>
      <c r="AJ79" s="98" t="str">
        <f t="shared" si="39"/>
        <v>1+0.00255708868724629i</v>
      </c>
      <c r="AK79" s="98">
        <f t="shared" si="55"/>
        <v>1.0000032693459329</v>
      </c>
      <c r="AL79" s="98">
        <f t="shared" si="56"/>
        <v>2.5570831139207118E-3</v>
      </c>
      <c r="AM79" s="98" t="str">
        <f t="shared" si="40"/>
        <v>1+2.55964577593354i</v>
      </c>
      <c r="AN79" s="98">
        <f t="shared" si="57"/>
        <v>2.7480514002206022</v>
      </c>
      <c r="AO79" s="98">
        <f t="shared" si="58"/>
        <v>1.1983509797532714</v>
      </c>
      <c r="AP79" s="168" t="str">
        <f t="shared" si="59"/>
        <v>-0.0993031313833757+0.0390886302983468i</v>
      </c>
      <c r="AQ79" s="98">
        <f t="shared" si="60"/>
        <v>-19.435131516752023</v>
      </c>
      <c r="AR79" s="169">
        <f t="shared" si="61"/>
        <v>158.51394344493778</v>
      </c>
      <c r="AS79" s="168" t="str">
        <f t="shared" si="62"/>
        <v>3.59759000450611+13.8224797050295i</v>
      </c>
      <c r="AT79" s="190">
        <f t="shared" si="63"/>
        <v>23.096378293273368</v>
      </c>
      <c r="AU79" s="169">
        <f t="shared" si="64"/>
        <v>75.411243150308934</v>
      </c>
      <c r="AV79" s="225"/>
      <c r="AX79">
        <f t="shared" si="65"/>
        <v>0</v>
      </c>
      <c r="AY79">
        <f t="shared" si="66"/>
        <v>0</v>
      </c>
    </row>
    <row r="80" spans="1:51" x14ac:dyDescent="0.55000000000000004">
      <c r="N80" s="170">
        <v>62</v>
      </c>
      <c r="O80" s="199">
        <f t="shared" si="41"/>
        <v>41.686938347033561</v>
      </c>
      <c r="P80" s="189" t="str">
        <f t="shared" si="32"/>
        <v>1078.86904761905</v>
      </c>
      <c r="Q80" s="160" t="str">
        <f t="shared" si="33"/>
        <v>1+8.18521120385572i</v>
      </c>
      <c r="R80" s="160">
        <f t="shared" si="42"/>
        <v>8.2460707280331516</v>
      </c>
      <c r="S80" s="160">
        <f t="shared" si="43"/>
        <v>1.4492272230058905</v>
      </c>
      <c r="T80" s="160" t="str">
        <f t="shared" si="34"/>
        <v>1+5.23853517046766E-06i</v>
      </c>
      <c r="U80" s="160">
        <f t="shared" si="44"/>
        <v>1.000000000013721</v>
      </c>
      <c r="V80" s="160">
        <f t="shared" si="45"/>
        <v>5.2385351704197406E-6</v>
      </c>
      <c r="W80" s="98" t="str">
        <f t="shared" si="35"/>
        <v>1-0.00378871817668903i</v>
      </c>
      <c r="X80" s="160">
        <f t="shared" si="46"/>
        <v>1.0000071771669552</v>
      </c>
      <c r="Y80" s="160">
        <f t="shared" si="47"/>
        <v>-3.7887000486048388E-3</v>
      </c>
      <c r="Z80" s="98" t="str">
        <f t="shared" si="36"/>
        <v>0.999996853235258+0.000300946813062008i</v>
      </c>
      <c r="AA80" s="160">
        <f t="shared" si="48"/>
        <v>0.9999968985198916</v>
      </c>
      <c r="AB80" s="160">
        <f t="shared" si="49"/>
        <v>3.0094775098824086E-4</v>
      </c>
      <c r="AC80" s="171" t="str">
        <f t="shared" si="50"/>
        <v>15.3358518531814-129.933762183958i</v>
      </c>
      <c r="AD80" s="190">
        <f t="shared" si="51"/>
        <v>42.334522839409189</v>
      </c>
      <c r="AE80" s="169">
        <f t="shared" si="52"/>
        <v>-83.26862284635763</v>
      </c>
      <c r="AF80" s="98" t="str">
        <f t="shared" si="37"/>
        <v>-9.95024875621891E-06</v>
      </c>
      <c r="AG80" s="98" t="str">
        <f t="shared" si="38"/>
        <v>0.000262188685281906i</v>
      </c>
      <c r="AH80" s="98">
        <f t="shared" si="53"/>
        <v>2.6218868528190599E-4</v>
      </c>
      <c r="AI80" s="98">
        <f t="shared" si="54"/>
        <v>1.5707963267948966</v>
      </c>
      <c r="AJ80" s="98" t="str">
        <f t="shared" si="39"/>
        <v>1+0.00261665093429953i</v>
      </c>
      <c r="AK80" s="98">
        <f t="shared" si="55"/>
        <v>1.000003423425196</v>
      </c>
      <c r="AL80" s="98">
        <f t="shared" si="56"/>
        <v>2.6166449623746826E-3</v>
      </c>
      <c r="AM80" s="98" t="str">
        <f t="shared" si="40"/>
        <v>1+2.61926758523383i</v>
      </c>
      <c r="AN80" s="98">
        <f t="shared" si="57"/>
        <v>2.8036695031791212</v>
      </c>
      <c r="AO80" s="98">
        <f t="shared" si="58"/>
        <v>1.2060894980983003</v>
      </c>
      <c r="AP80" s="168" t="str">
        <f t="shared" si="59"/>
        <v>-0.0993031007823762+0.0382105591635317i</v>
      </c>
      <c r="AQ80" s="98">
        <f t="shared" si="60"/>
        <v>-19.461093534560902</v>
      </c>
      <c r="AR80" s="169">
        <f t="shared" si="61"/>
        <v>158.95391524325606</v>
      </c>
      <c r="AS80" s="168" t="str">
        <f t="shared" si="62"/>
        <v>3.44194406511032+13.488816955746i</v>
      </c>
      <c r="AT80" s="190">
        <f t="shared" si="63"/>
        <v>22.873429304848266</v>
      </c>
      <c r="AU80" s="169">
        <f t="shared" si="64"/>
        <v>75.685292396898419</v>
      </c>
      <c r="AV80" s="225"/>
      <c r="AX80">
        <f t="shared" si="65"/>
        <v>0</v>
      </c>
      <c r="AY80">
        <f t="shared" si="66"/>
        <v>0</v>
      </c>
    </row>
    <row r="81" spans="14:51" x14ac:dyDescent="0.55000000000000004">
      <c r="N81" s="170">
        <v>63</v>
      </c>
      <c r="O81" s="199">
        <f t="shared" si="41"/>
        <v>42.657951880159267</v>
      </c>
      <c r="P81" s="189" t="str">
        <f t="shared" si="32"/>
        <v>1078.86904761905</v>
      </c>
      <c r="Q81" s="160" t="str">
        <f t="shared" si="33"/>
        <v>1+8.37586926524347i</v>
      </c>
      <c r="R81" s="160">
        <f t="shared" si="42"/>
        <v>8.4353533386841715</v>
      </c>
      <c r="S81" s="160">
        <f t="shared" si="43"/>
        <v>1.4519681999479799</v>
      </c>
      <c r="T81" s="160" t="str">
        <f t="shared" si="34"/>
        <v>1+5.36055632975582E-06i</v>
      </c>
      <c r="U81" s="160">
        <f t="shared" si="44"/>
        <v>1.0000000000143676</v>
      </c>
      <c r="V81" s="160">
        <f t="shared" si="45"/>
        <v>5.3605563297044733E-6</v>
      </c>
      <c r="W81" s="98" t="str">
        <f t="shared" si="35"/>
        <v>1-0.0038769687599326i</v>
      </c>
      <c r="X81" s="160">
        <f t="shared" si="46"/>
        <v>1.000007515415142</v>
      </c>
      <c r="Y81" s="160">
        <f t="shared" si="47"/>
        <v>-3.8769493353483062E-3</v>
      </c>
      <c r="Z81" s="98" t="str">
        <f t="shared" si="36"/>
        <v>0.999996704932805+0.000307956764855579i</v>
      </c>
      <c r="AA81" s="160">
        <f t="shared" si="48"/>
        <v>0.99999675235164465</v>
      </c>
      <c r="AB81" s="160">
        <f t="shared" si="49"/>
        <v>3.0795776986179056E-4</v>
      </c>
      <c r="AC81" s="171" t="str">
        <f t="shared" si="50"/>
        <v>14.6314368410153-127.060220952207i</v>
      </c>
      <c r="AD81" s="190">
        <f t="shared" si="51"/>
        <v>42.137402577819991</v>
      </c>
      <c r="AE81" s="169">
        <f t="shared" si="52"/>
        <v>-83.431120221755791</v>
      </c>
      <c r="AF81" s="98" t="str">
        <f t="shared" si="37"/>
        <v>-9.95024875621891E-06</v>
      </c>
      <c r="AG81" s="98" t="str">
        <f t="shared" si="38"/>
        <v>0.000268295844304278i</v>
      </c>
      <c r="AH81" s="98">
        <f t="shared" si="53"/>
        <v>2.6829584430427801E-4</v>
      </c>
      <c r="AI81" s="98">
        <f t="shared" si="54"/>
        <v>1.5707963267948966</v>
      </c>
      <c r="AJ81" s="98" t="str">
        <f t="shared" si="39"/>
        <v>1+0.0026776005643136i</v>
      </c>
      <c r="AK81" s="98">
        <f t="shared" si="55"/>
        <v>1.0000035847659658</v>
      </c>
      <c r="AL81" s="98">
        <f t="shared" si="56"/>
        <v>2.6775941652820751E-3</v>
      </c>
      <c r="AM81" s="98" t="str">
        <f t="shared" si="40"/>
        <v>1+2.68027816487791i</v>
      </c>
      <c r="AN81" s="98">
        <f t="shared" si="57"/>
        <v>2.8607500836531137</v>
      </c>
      <c r="AO81" s="98">
        <f t="shared" si="58"/>
        <v>1.2136963086891737</v>
      </c>
      <c r="AP81" s="168" t="str">
        <f t="shared" si="59"/>
        <v>-0.0993030687392164+0.0373527477654125i</v>
      </c>
      <c r="AQ81" s="98">
        <f t="shared" si="60"/>
        <v>-19.486032902478254</v>
      </c>
      <c r="AR81" s="169">
        <f t="shared" si="61"/>
        <v>159.38626125357723</v>
      </c>
      <c r="AS81" s="168" t="str">
        <f t="shared" si="62"/>
        <v>3.29310180586852+13.163994225005i</v>
      </c>
      <c r="AT81" s="190">
        <f t="shared" si="63"/>
        <v>22.651369675341705</v>
      </c>
      <c r="AU81" s="169">
        <f t="shared" si="64"/>
        <v>75.955141031821427</v>
      </c>
      <c r="AV81" s="225"/>
      <c r="AX81">
        <f t="shared" si="65"/>
        <v>0</v>
      </c>
      <c r="AY81">
        <f t="shared" si="66"/>
        <v>0</v>
      </c>
    </row>
    <row r="82" spans="14:51" x14ac:dyDescent="0.55000000000000004">
      <c r="N82" s="170">
        <v>64</v>
      </c>
      <c r="O82" s="199">
        <f t="shared" si="41"/>
        <v>43.651583224016633</v>
      </c>
      <c r="P82" s="189" t="str">
        <f t="shared" si="32"/>
        <v>1078.86904761905</v>
      </c>
      <c r="Q82" s="160" t="str">
        <f t="shared" si="33"/>
        <v>1+8.57096832338338i</v>
      </c>
      <c r="R82" s="160">
        <f t="shared" si="42"/>
        <v>8.6291076016260977</v>
      </c>
      <c r="S82" s="160">
        <f t="shared" si="43"/>
        <v>1.4546485192218486</v>
      </c>
      <c r="T82" s="160" t="str">
        <f t="shared" si="34"/>
        <v>1+5.48541972696536E-06i</v>
      </c>
      <c r="U82" s="160">
        <f t="shared" si="44"/>
        <v>1.0000000000150449</v>
      </c>
      <c r="V82" s="160">
        <f t="shared" si="45"/>
        <v>5.4854197269103417E-6</v>
      </c>
      <c r="W82" s="98" t="str">
        <f t="shared" si="35"/>
        <v>1-0.00396727496333043i</v>
      </c>
      <c r="X82" s="160">
        <f t="shared" si="46"/>
        <v>1.000007869604352</v>
      </c>
      <c r="Y82" s="160">
        <f t="shared" si="47"/>
        <v>-3.9672541495222096E-3</v>
      </c>
      <c r="Z82" s="98" t="str">
        <f t="shared" si="36"/>
        <v>0.999996549641072+0.000315129999402165i</v>
      </c>
      <c r="AA82" s="160">
        <f t="shared" si="48"/>
        <v>0.99999659929470042</v>
      </c>
      <c r="AB82" s="160">
        <f t="shared" si="49"/>
        <v>3.1513107628588669E-4</v>
      </c>
      <c r="AC82" s="171" t="str">
        <f t="shared" si="50"/>
        <v>13.9578541016927-124.24657812519i</v>
      </c>
      <c r="AD82" s="190">
        <f t="shared" si="51"/>
        <v>41.940154872786486</v>
      </c>
      <c r="AE82" s="169">
        <f t="shared" si="52"/>
        <v>-83.590269134655514</v>
      </c>
      <c r="AF82" s="98" t="str">
        <f t="shared" si="37"/>
        <v>-9.95024875621891E-06</v>
      </c>
      <c r="AG82" s="98" t="str">
        <f t="shared" si="38"/>
        <v>0.000274545257334617i</v>
      </c>
      <c r="AH82" s="98">
        <f t="shared" si="53"/>
        <v>2.74545257334617E-4</v>
      </c>
      <c r="AI82" s="98">
        <f t="shared" si="54"/>
        <v>1.5707963267948966</v>
      </c>
      <c r="AJ82" s="98" t="str">
        <f t="shared" si="39"/>
        <v>1+0.00273996989358909i</v>
      </c>
      <c r="AK82" s="98">
        <f t="shared" si="55"/>
        <v>1.0000037537104638</v>
      </c>
      <c r="AL82" s="98">
        <f t="shared" si="56"/>
        <v>2.7399630369046666E-3</v>
      </c>
      <c r="AM82" s="98" t="str">
        <f t="shared" si="40"/>
        <v>1+2.74270986348268i</v>
      </c>
      <c r="AN82" s="98">
        <f t="shared" si="57"/>
        <v>2.9193248183861251</v>
      </c>
      <c r="AO82" s="98">
        <f t="shared" si="58"/>
        <v>1.2211719224963915</v>
      </c>
      <c r="AP82" s="168" t="str">
        <f t="shared" si="59"/>
        <v>-0.0993030351859304+0.0365147412804911i</v>
      </c>
      <c r="AQ82" s="98">
        <f t="shared" si="60"/>
        <v>-19.509984367954711</v>
      </c>
      <c r="AR82" s="169">
        <f t="shared" si="61"/>
        <v>159.81100890088359</v>
      </c>
      <c r="AS82" s="168" t="str">
        <f t="shared" si="62"/>
        <v>3.15077437824716+12.8477297506513i</v>
      </c>
      <c r="AT82" s="190">
        <f t="shared" si="63"/>
        <v>22.43017050483175</v>
      </c>
      <c r="AU82" s="169">
        <f t="shared" si="64"/>
        <v>76.220739766228064</v>
      </c>
      <c r="AV82" s="225"/>
      <c r="AX82">
        <f t="shared" si="65"/>
        <v>0</v>
      </c>
      <c r="AY82">
        <f t="shared" si="66"/>
        <v>0</v>
      </c>
    </row>
    <row r="83" spans="14:51" x14ac:dyDescent="0.55000000000000004">
      <c r="N83" s="170">
        <v>65</v>
      </c>
      <c r="O83" s="199">
        <f t="shared" si="41"/>
        <v>44.668359215096324</v>
      </c>
      <c r="P83" s="189" t="str">
        <f t="shared" ref="P83:P146" si="67">COMPLEX(Adc,0)</f>
        <v>1078.86904761905</v>
      </c>
      <c r="Q83" s="160" t="str">
        <f t="shared" ref="Q83:Q146" si="68">IMSUM(COMPLEX(1,0),IMDIV(COMPLEX(0,2*PI()*O83),COMPLEX(wp_lf,0)))</f>
        <v>1+8.77061182237853i</v>
      </c>
      <c r="R83" s="160">
        <f t="shared" si="42"/>
        <v>8.8274363061336256</v>
      </c>
      <c r="S83" s="160">
        <f t="shared" si="43"/>
        <v>1.4572694478395942</v>
      </c>
      <c r="T83" s="160" t="str">
        <f t="shared" ref="T83:T146" si="69">IMSUM(COMPLEX(1,0),IMDIV(COMPLEX(0,2*PI()*O83),COMPLEX(wz_esr,0)))</f>
        <v>1+5.61319156632226E-06i</v>
      </c>
      <c r="U83" s="160">
        <f t="shared" si="44"/>
        <v>1.0000000000157541</v>
      </c>
      <c r="V83" s="160">
        <f t="shared" si="45"/>
        <v>5.6131915662633061E-6</v>
      </c>
      <c r="W83" s="98" t="str">
        <f t="shared" ref="W83:W146" si="70">IMSUB(COMPLEX(1,0),IMDIV(COMPLEX(0,2*PI()*O83),COMPLEX(wz_rhp,0)))</f>
        <v>1-0.00405968466842691i</v>
      </c>
      <c r="X83" s="160">
        <f t="shared" si="46"/>
        <v>1.0000082404858508</v>
      </c>
      <c r="Y83" s="160">
        <f t="shared" si="47"/>
        <v>-4.0596623660395124E-3</v>
      </c>
      <c r="Z83" s="98" t="str">
        <f t="shared" ref="Z83:Z146" si="71">IF(Dc_Mode_Loop="CCM",IMSUM(COMPLEX(1,0),IMDIV(COMPLEX(0,2*PI()*O83),COMPLEX(Q*(wsl/2),0)),IMDIV(IMPOWER(COMPLEX(0,2*PI()*O83),2),IMPOWER(COMPLEX(wsl/2,0),2))),COMPLEX(1,0))</f>
        <v>0.999996387030666+0.000322470320045674i</v>
      </c>
      <c r="AA83" s="160">
        <f t="shared" si="48"/>
        <v>0.99999643902440616</v>
      </c>
      <c r="AB83" s="160">
        <f t="shared" si="49"/>
        <v>3.2247147394755509E-4</v>
      </c>
      <c r="AC83" s="171" t="str">
        <f t="shared" si="50"/>
        <v>13.3137911355144-121.491827247487i</v>
      </c>
      <c r="AD83" s="190">
        <f t="shared" si="51"/>
        <v>41.742785324047702</v>
      </c>
      <c r="AE83" s="169">
        <f t="shared" si="52"/>
        <v>-83.746145136674983</v>
      </c>
      <c r="AF83" s="98" t="str">
        <f t="shared" ref="AF83:AF146" si="72">COMPLEX(Adc_ea,0)</f>
        <v>-9.95024875621891E-06</v>
      </c>
      <c r="AG83" s="98" t="str">
        <f t="shared" ref="AG83:AG146" si="73">COMPLEX(0,2*PI()*O83*wp0_ea)</f>
        <v>0.000280940237894429i</v>
      </c>
      <c r="AH83" s="98">
        <f t="shared" si="53"/>
        <v>2.8094023789442901E-4</v>
      </c>
      <c r="AI83" s="98">
        <f t="shared" si="54"/>
        <v>1.5707963267948966</v>
      </c>
      <c r="AJ83" s="98" t="str">
        <f t="shared" ref="AJ83:AJ146" si="74">IMSUM(COMPLEX(1,0),IMDIV(COMPLEX(0,2*PI()*O83),COMPLEX(wp1_ea,0)))</f>
        <v>1+0.00280379199116996i</v>
      </c>
      <c r="AK83" s="98">
        <f t="shared" si="55"/>
        <v>1.0000039306170401</v>
      </c>
      <c r="AL83" s="98">
        <f t="shared" si="56"/>
        <v>2.8037846441017898E-3</v>
      </c>
      <c r="AM83" s="98" t="str">
        <f t="shared" ref="AM83:AM146" si="75">IMSUM(COMPLEX(1,0),IMDIV(COMPLEX(0,2*PI()*O83),COMPLEX(wz_ea,0)))</f>
        <v>1+2.80659578316113i</v>
      </c>
      <c r="AN83" s="98">
        <f t="shared" si="57"/>
        <v>2.9794261007881762</v>
      </c>
      <c r="AO83" s="98">
        <f t="shared" si="58"/>
        <v>1.2285169600181529</v>
      </c>
      <c r="AP83" s="168" t="str">
        <f t="shared" si="59"/>
        <v>-0.099303000051352+0.0356960953860588i</v>
      </c>
      <c r="AQ83" s="98">
        <f t="shared" si="60"/>
        <v>-19.532981932426249</v>
      </c>
      <c r="AR83" s="169">
        <f t="shared" si="61"/>
        <v>160.22819184251168</v>
      </c>
      <c r="AS83" s="168" t="str">
        <f t="shared" si="62"/>
        <v>3.0146844522392+12.5397532857194i</v>
      </c>
      <c r="AT83" s="190">
        <f t="shared" si="63"/>
        <v>22.209803391621428</v>
      </c>
      <c r="AU83" s="169">
        <f t="shared" si="64"/>
        <v>76.482046705836652</v>
      </c>
      <c r="AV83" s="225"/>
      <c r="AX83">
        <f t="shared" si="65"/>
        <v>0</v>
      </c>
      <c r="AY83">
        <f t="shared" si="66"/>
        <v>0</v>
      </c>
    </row>
    <row r="84" spans="14:51" x14ac:dyDescent="0.55000000000000004">
      <c r="N84" s="170">
        <v>66</v>
      </c>
      <c r="O84" s="199">
        <f t="shared" ref="O84:O118" si="76">10^(1+(N84/100))</f>
        <v>45.70881896148753</v>
      </c>
      <c r="P84" s="189" t="str">
        <f t="shared" si="67"/>
        <v>1078.86904761905</v>
      </c>
      <c r="Q84" s="160" t="str">
        <f t="shared" si="68"/>
        <v>1+8.97490561585469i</v>
      </c>
      <c r="R84" s="160">
        <f t="shared" ref="R84:R147" si="77">IMABS(Q84)</f>
        <v>9.0304446631104511</v>
      </c>
      <c r="S84" s="160">
        <f t="shared" ref="S84:S147" si="78">IMARGUMENT(Q84)</f>
        <v>1.4598322313436034</v>
      </c>
      <c r="T84" s="160" t="str">
        <f t="shared" si="69"/>
        <v>1+0.000005743939594147i</v>
      </c>
      <c r="U84" s="160">
        <f t="shared" ref="U84:U147" si="79">IMABS(T84)</f>
        <v>1.0000000000164966</v>
      </c>
      <c r="V84" s="160">
        <f t="shared" ref="V84:V147" si="80">IMARGUMENT(T84)</f>
        <v>5.7439395940838296E-6</v>
      </c>
      <c r="W84" s="98" t="str">
        <f t="shared" si="70"/>
        <v>1-0.00415424687207088i</v>
      </c>
      <c r="X84" s="160">
        <f t="shared" ref="X84:X147" si="81">IMABS(W84)</f>
        <v>1.0000086288463086</v>
      </c>
      <c r="Y84" s="160">
        <f t="shared" ref="Y84:Y147" si="82">IMARGUMENT(W84)</f>
        <v>-4.1542229746433677E-3</v>
      </c>
      <c r="Z84" s="98" t="str">
        <f t="shared" si="71"/>
        <v>0.999996216756667+0.00032998161872127i</v>
      </c>
      <c r="AA84" s="160">
        <f t="shared" ref="AA84:AA147" si="83">IMABS(Z84)</f>
        <v>0.99999627120080581</v>
      </c>
      <c r="AB84" s="160">
        <f t="shared" ref="AB84:AB147" si="84">IMARGUMENT(Z84)</f>
        <v>3.2998285514961853E-4</v>
      </c>
      <c r="AC84" s="171" t="str">
        <f t="shared" ref="AC84:AC147" si="85">(IMDIV(IMPRODUCT(P84,T84,W84),IMPRODUCT(Q84,Z84)))</f>
        <v>12.697988091578-118.794962104493i</v>
      </c>
      <c r="AD84" s="190">
        <f t="shared" ref="AD84:AD147" si="86">20*LOG(IMABS(AC84))</f>
        <v>41.545299293500484</v>
      </c>
      <c r="AE84" s="169">
        <f t="shared" ref="AE84:AE147" si="87">(180/PI())*IMARGUMENT(AC84)</f>
        <v>-83.898822618172645</v>
      </c>
      <c r="AF84" s="98" t="str">
        <f t="shared" si="72"/>
        <v>-9.95024875621891E-06</v>
      </c>
      <c r="AG84" s="98" t="str">
        <f t="shared" si="73"/>
        <v>0.000287484176687058i</v>
      </c>
      <c r="AH84" s="98">
        <f t="shared" ref="AH84:AH147" si="88">IMABS(AG84)</f>
        <v>2.8748417668705801E-4</v>
      </c>
      <c r="AI84" s="98">
        <f t="shared" ref="AI84:AI147" si="89">IMARGUMENT(AG84)</f>
        <v>1.5707963267948966</v>
      </c>
      <c r="AJ84" s="98" t="str">
        <f t="shared" si="74"/>
        <v>1+0.00286910069637712i</v>
      </c>
      <c r="AK84" s="98">
        <f t="shared" ref="AK84:AK147" si="90">IMABS(AJ84)</f>
        <v>1.0000041158609327</v>
      </c>
      <c r="AL84" s="98">
        <f t="shared" ref="AL84:AL147" si="91">IMARGUMENT(AJ84)</f>
        <v>2.8690928238534891E-3</v>
      </c>
      <c r="AM84" s="98" t="str">
        <f t="shared" si="75"/>
        <v>1+2.8719697970735i</v>
      </c>
      <c r="AN84" s="98">
        <f t="shared" ref="AN84:AN147" si="92">IMABS(AM84)</f>
        <v>3.0410870614473371</v>
      </c>
      <c r="AO84" s="98">
        <f t="shared" ref="AO84:AO147" si="93">IMARGUMENT(AM84)</f>
        <v>1.2357321446317238</v>
      </c>
      <c r="AP84" s="168" t="str">
        <f t="shared" ref="AP84:AP147" si="94">IMPRODUCT(AF84,IMDIV(AM84,IMPRODUCT(AG84,AJ84)))</f>
        <v>-0.0993029632609579+0.0348963760246061i</v>
      </c>
      <c r="AQ84" s="98">
        <f t="shared" ref="AQ84:AQ147" si="95">20*LOG(IMABS(AP84))</f>
        <v>-19.555058832181178</v>
      </c>
      <c r="AR84" s="169">
        <f t="shared" ref="AR84:AR147" si="96">(180/PI())*IMARGUMENT(AP84)</f>
        <v>160.63784958620954</v>
      </c>
      <c r="AS84" s="168" t="str">
        <f t="shared" ref="AS84:AS147" si="97">IMPRODUCT(AC84,AP84)</f>
        <v>2.88456582248117+12.239805524649i</v>
      </c>
      <c r="AT84" s="190">
        <f t="shared" ref="AT84:AT147" si="98">20*LOG(IMABS(AS84))</f>
        <v>21.990240461319281</v>
      </c>
      <c r="AU84" s="169">
        <f t="shared" ref="AU84:AU147" si="99">(180/PI())*IMARGUMENT(AS84)</f>
        <v>76.739026968036853</v>
      </c>
      <c r="AV84" s="225"/>
      <c r="AX84">
        <f t="shared" ref="AX84:AX147" si="100">SUM((AT85&lt;0)*(AT84&gt;0))*O84</f>
        <v>0</v>
      </c>
      <c r="AY84">
        <f t="shared" ref="AY84:AY147" si="101">IF(AX84&gt;0,AU84,0)</f>
        <v>0</v>
      </c>
    </row>
    <row r="85" spans="14:51" x14ac:dyDescent="0.55000000000000004">
      <c r="N85" s="170">
        <v>67</v>
      </c>
      <c r="O85" s="199">
        <f t="shared" si="76"/>
        <v>46.773514128719818</v>
      </c>
      <c r="P85" s="189" t="str">
        <f t="shared" si="67"/>
        <v>1078.86904761905</v>
      </c>
      <c r="Q85" s="160" t="str">
        <f t="shared" si="68"/>
        <v>1+9.18395802308528i</v>
      </c>
      <c r="R85" s="160">
        <f t="shared" si="77"/>
        <v>9.2382403611181534</v>
      </c>
      <c r="S85" s="160">
        <f t="shared" si="78"/>
        <v>1.4623380938266666</v>
      </c>
      <c r="T85" s="160" t="str">
        <f t="shared" si="69"/>
        <v>1+5.87773313477458E-06i</v>
      </c>
      <c r="U85" s="160">
        <f t="shared" si="79"/>
        <v>1.0000000000172737</v>
      </c>
      <c r="V85" s="160">
        <f t="shared" si="80"/>
        <v>5.8777331347068928E-6</v>
      </c>
      <c r="W85" s="98" t="str">
        <f t="shared" si="70"/>
        <v>1-0.00425101171239437i</v>
      </c>
      <c r="X85" s="160">
        <f t="shared" si="81"/>
        <v>1.0000090355094693</v>
      </c>
      <c r="Y85" s="160">
        <f t="shared" si="82"/>
        <v>-4.2509861058519401E-3</v>
      </c>
      <c r="Z85" s="98" t="str">
        <f t="shared" si="71"/>
        <v>0.999996038457901+0.000337667878018935i</v>
      </c>
      <c r="AA85" s="160">
        <f t="shared" si="83"/>
        <v>0.99999609546792323</v>
      </c>
      <c r="AB85" s="160">
        <f t="shared" si="84"/>
        <v>3.3766920287601197E-4</v>
      </c>
      <c r="AC85" s="171" t="str">
        <f t="shared" si="85"/>
        <v>12.1092359391777-116.154978107691i</v>
      </c>
      <c r="AD85" s="190">
        <f t="shared" si="86"/>
        <v>41.347701914804986</v>
      </c>
      <c r="AE85" s="169">
        <f t="shared" si="87"/>
        <v>-84.048374811002446</v>
      </c>
      <c r="AF85" s="98" t="str">
        <f t="shared" si="72"/>
        <v>-9.95024875621891E-06</v>
      </c>
      <c r="AG85" s="98" t="str">
        <f t="shared" si="73"/>
        <v>0.000294180543395468i</v>
      </c>
      <c r="AH85" s="98">
        <f t="shared" si="88"/>
        <v>2.9418054339546801E-4</v>
      </c>
      <c r="AI85" s="98">
        <f t="shared" si="89"/>
        <v>1.5707963267948966</v>
      </c>
      <c r="AJ85" s="98" t="str">
        <f t="shared" si="74"/>
        <v>1+0.00293593063675054i</v>
      </c>
      <c r="AK85" s="98">
        <f t="shared" si="90"/>
        <v>1.0000043098350646</v>
      </c>
      <c r="AL85" s="98">
        <f t="shared" si="91"/>
        <v>2.9359222011914525E-3</v>
      </c>
      <c r="AM85" s="98" t="str">
        <f t="shared" si="75"/>
        <v>1+2.93886656738729i</v>
      </c>
      <c r="AN85" s="98">
        <f t="shared" si="92"/>
        <v>3.1043415889535666</v>
      </c>
      <c r="AO85" s="98">
        <f t="shared" si="93"/>
        <v>1.2428182960638658</v>
      </c>
      <c r="AP85" s="168" t="str">
        <f t="shared" si="94"/>
        <v>-0.0993029247367156+0.0341151591736781i</v>
      </c>
      <c r="AQ85" s="98">
        <f t="shared" si="95"/>
        <v>-19.57624752274317</v>
      </c>
      <c r="AR85" s="169">
        <f t="shared" si="96"/>
        <v>161.04002711499285</v>
      </c>
      <c r="AS85" s="168" t="str">
        <f t="shared" si="97"/>
        <v>2.76016302187168+11.9476375603596i</v>
      </c>
      <c r="AT85" s="190">
        <f t="shared" si="98"/>
        <v>21.771454392061848</v>
      </c>
      <c r="AU85" s="169">
        <f t="shared" si="99"/>
        <v>76.991652303990463</v>
      </c>
      <c r="AV85" s="225"/>
      <c r="AX85">
        <f t="shared" si="100"/>
        <v>0</v>
      </c>
      <c r="AY85">
        <f t="shared" si="101"/>
        <v>0</v>
      </c>
    </row>
    <row r="86" spans="14:51" x14ac:dyDescent="0.55000000000000004">
      <c r="N86" s="170">
        <v>68</v>
      </c>
      <c r="O86" s="199">
        <f t="shared" si="76"/>
        <v>47.863009232263877</v>
      </c>
      <c r="P86" s="189" t="str">
        <f t="shared" si="67"/>
        <v>1078.86904761905</v>
      </c>
      <c r="Q86" s="160" t="str">
        <f t="shared" si="68"/>
        <v>1+9.39787988642378i</v>
      </c>
      <c r="R86" s="160">
        <f t="shared" si="77"/>
        <v>9.4509336237034631</v>
      </c>
      <c r="S86" s="160">
        <f t="shared" si="78"/>
        <v>1.4647882379804418</v>
      </c>
      <c r="T86" s="160" t="str">
        <f t="shared" si="69"/>
        <v>1+6.01464312731122E-06i</v>
      </c>
      <c r="U86" s="160">
        <f t="shared" si="79"/>
        <v>1.000000000018088</v>
      </c>
      <c r="V86" s="160">
        <f t="shared" si="80"/>
        <v>6.0146431272386916E-6</v>
      </c>
      <c r="W86" s="98" t="str">
        <f t="shared" si="70"/>
        <v>1-0.00435003049539657i</v>
      </c>
      <c r="X86" s="160">
        <f t="shared" si="81"/>
        <v>1.0000094613378969</v>
      </c>
      <c r="Y86" s="160">
        <f t="shared" si="82"/>
        <v>-4.3500030575060362E-3</v>
      </c>
      <c r="Z86" s="98" t="str">
        <f t="shared" si="71"/>
        <v>0.999995851756174+0.000345533173295089i</v>
      </c>
      <c r="AA86" s="160">
        <f t="shared" si="83"/>
        <v>0.9999959114530067</v>
      </c>
      <c r="AB86" s="160">
        <f t="shared" si="84"/>
        <v>3.4553459290528351E-4</v>
      </c>
      <c r="AC86" s="171" t="str">
        <f t="shared" si="85"/>
        <v>11.5463746769385-113.57087356834i</v>
      </c>
      <c r="AD86" s="190">
        <f t="shared" si="86"/>
        <v>41.149998102656568</v>
      </c>
      <c r="AE86" s="169">
        <f t="shared" si="87"/>
        <v>-84.194873792930608</v>
      </c>
      <c r="AF86" s="98" t="str">
        <f t="shared" si="72"/>
        <v>-9.95024875621891E-06</v>
      </c>
      <c r="AG86" s="98" t="str">
        <f t="shared" si="73"/>
        <v>0.000301032888521927i</v>
      </c>
      <c r="AH86" s="98">
        <f t="shared" si="88"/>
        <v>3.01032888521927E-4</v>
      </c>
      <c r="AI86" s="98">
        <f t="shared" si="89"/>
        <v>1.5707963267948966</v>
      </c>
      <c r="AJ86" s="98" t="str">
        <f t="shared" si="74"/>
        <v>1+0.0030043172464092i</v>
      </c>
      <c r="AK86" s="98">
        <f t="shared" si="90"/>
        <v>1.0000045129508752</v>
      </c>
      <c r="AL86" s="98">
        <f t="shared" si="91"/>
        <v>3.0043082075469902E-3</v>
      </c>
      <c r="AM86" s="98" t="str">
        <f t="shared" si="75"/>
        <v>1+3.00732156365561i</v>
      </c>
      <c r="AN86" s="98">
        <f t="shared" si="92"/>
        <v>3.1692243510404912</v>
      </c>
      <c r="AO86" s="98">
        <f t="shared" si="93"/>
        <v>1.2497763239995476</v>
      </c>
      <c r="AP86" s="168" t="str">
        <f t="shared" si="94"/>
        <v>-0.0993028843969137+0.0333520306210477i</v>
      </c>
      <c r="AQ86" s="98">
        <f t="shared" si="95"/>
        <v>-19.596579666566779</v>
      </c>
      <c r="AR86" s="169">
        <f t="shared" si="96"/>
        <v>161.43477451989966</v>
      </c>
      <c r="AS86" s="168" t="str">
        <f t="shared" si="97"/>
        <v>2.64123094316294+11.6630103706007i</v>
      </c>
      <c r="AT86" s="190">
        <f t="shared" si="98"/>
        <v>21.553418436089778</v>
      </c>
      <c r="AU86" s="169">
        <f t="shared" si="99"/>
        <v>77.239900726969012</v>
      </c>
      <c r="AV86" s="225"/>
      <c r="AX86">
        <f t="shared" si="100"/>
        <v>0</v>
      </c>
      <c r="AY86">
        <f t="shared" si="101"/>
        <v>0</v>
      </c>
    </row>
    <row r="87" spans="14:51" x14ac:dyDescent="0.55000000000000004">
      <c r="N87" s="170">
        <v>69</v>
      </c>
      <c r="O87" s="199">
        <f t="shared" si="76"/>
        <v>48.977881936844632</v>
      </c>
      <c r="P87" s="189" t="str">
        <f t="shared" si="67"/>
        <v>1078.86904761905</v>
      </c>
      <c r="Q87" s="160" t="str">
        <f t="shared" si="68"/>
        <v>1+9.61678463007372i</v>
      </c>
      <c r="R87" s="160">
        <f t="shared" si="77"/>
        <v>9.6686372680550043</v>
      </c>
      <c r="S87" s="160">
        <f t="shared" si="78"/>
        <v>1.4671838451699566</v>
      </c>
      <c r="T87" s="160" t="str">
        <f t="shared" si="69"/>
        <v>1+6.15474216324718E-06i</v>
      </c>
      <c r="U87" s="160">
        <f t="shared" si="79"/>
        <v>1.0000000000189404</v>
      </c>
      <c r="V87" s="160">
        <f t="shared" si="80"/>
        <v>6.1547421631694645E-6</v>
      </c>
      <c r="W87" s="98" t="str">
        <f t="shared" si="70"/>
        <v>1-0.00445135572214689i</v>
      </c>
      <c r="X87" s="160">
        <f t="shared" si="81"/>
        <v>1.0000099072348059</v>
      </c>
      <c r="Y87" s="160">
        <f t="shared" si="82"/>
        <v>-4.4513263219332199E-3</v>
      </c>
      <c r="Z87" s="98" t="str">
        <f t="shared" si="71"/>
        <v>0.999995656255466+0.000353581674833396i</v>
      </c>
      <c r="AA87" s="160">
        <f t="shared" si="83"/>
        <v>0.9999957187657359</v>
      </c>
      <c r="AB87" s="160">
        <f t="shared" si="84"/>
        <v>3.5358319597341678E-4</v>
      </c>
      <c r="AC87" s="171" t="str">
        <f t="shared" si="85"/>
        <v>11.0082915815287-111.04165086613i</v>
      </c>
      <c r="AD87" s="190">
        <f t="shared" si="86"/>
        <v>40.952192561729831</v>
      </c>
      <c r="AE87" s="169">
        <f t="shared" si="87"/>
        <v>-84.338390493582509</v>
      </c>
      <c r="AF87" s="98" t="str">
        <f t="shared" si="72"/>
        <v>-9.95024875621891E-06</v>
      </c>
      <c r="AG87" s="98" t="str">
        <f t="shared" si="73"/>
        <v>0.000308044845270521i</v>
      </c>
      <c r="AH87" s="98">
        <f t="shared" si="88"/>
        <v>3.08044845270521E-4</v>
      </c>
      <c r="AI87" s="98">
        <f t="shared" si="89"/>
        <v>1.5707963267948966</v>
      </c>
      <c r="AJ87" s="98" t="str">
        <f t="shared" si="74"/>
        <v>1+0.00307429678483875i</v>
      </c>
      <c r="AK87" s="98">
        <f t="shared" si="90"/>
        <v>1.0000047256391948</v>
      </c>
      <c r="AL87" s="98">
        <f t="shared" si="91"/>
        <v>3.0742870995258669E-3</v>
      </c>
      <c r="AM87" s="98" t="str">
        <f t="shared" si="75"/>
        <v>1+3.07737108162359i</v>
      </c>
      <c r="AN87" s="98">
        <f t="shared" si="92"/>
        <v>3.2357708160518945</v>
      </c>
      <c r="AO87" s="98">
        <f t="shared" si="93"/>
        <v>1.2566072218456144</v>
      </c>
      <c r="AP87" s="168" t="str">
        <f t="shared" si="94"/>
        <v>-0.0993028421559908+0.0326065857450927i</v>
      </c>
      <c r="AQ87" s="98">
        <f t="shared" si="95"/>
        <v>-19.616086123837295</v>
      </c>
      <c r="AR87" s="169">
        <f t="shared" si="96"/>
        <v>161.82214664159889</v>
      </c>
      <c r="AS87" s="168" t="str">
        <f t="shared" si="97"/>
        <v>2.52753446891545+11.38569433206i</v>
      </c>
      <c r="AT87" s="190">
        <f t="shared" si="98"/>
        <v>21.336106437892507</v>
      </c>
      <c r="AU87" s="169">
        <f t="shared" si="99"/>
        <v>77.48375614801634</v>
      </c>
      <c r="AV87" s="225"/>
      <c r="AX87">
        <f t="shared" si="100"/>
        <v>0</v>
      </c>
      <c r="AY87">
        <f t="shared" si="101"/>
        <v>0</v>
      </c>
    </row>
    <row r="88" spans="14:51" x14ac:dyDescent="0.55000000000000004">
      <c r="N88" s="170">
        <v>70</v>
      </c>
      <c r="O88" s="199">
        <f t="shared" si="76"/>
        <v>50.118723362727238</v>
      </c>
      <c r="P88" s="189" t="str">
        <f t="shared" si="67"/>
        <v>1078.86904761905</v>
      </c>
      <c r="Q88" s="160" t="str">
        <f t="shared" si="68"/>
        <v>1+9.84078832022769i</v>
      </c>
      <c r="R88" s="160">
        <f t="shared" si="77"/>
        <v>9.8914667650217414</v>
      </c>
      <c r="S88" s="160">
        <f t="shared" si="78"/>
        <v>1.4695260755319748</v>
      </c>
      <c r="T88" s="160" t="str">
        <f t="shared" si="69"/>
        <v>1+6.29810452494572E-06i</v>
      </c>
      <c r="U88" s="160">
        <f t="shared" si="79"/>
        <v>1.000000000019833</v>
      </c>
      <c r="V88" s="160">
        <f t="shared" si="80"/>
        <v>6.2981045248624462E-6</v>
      </c>
      <c r="W88" s="98" t="str">
        <f t="shared" si="70"/>
        <v>1-0.00455504111662175i</v>
      </c>
      <c r="X88" s="160">
        <f t="shared" si="81"/>
        <v>1.0000103741459756</v>
      </c>
      <c r="Y88" s="160">
        <f t="shared" si="82"/>
        <v>-4.5550096137428747E-3</v>
      </c>
      <c r="Z88" s="98" t="str">
        <f t="shared" si="71"/>
        <v>0.999995451541093+0.000361817650055906i</v>
      </c>
      <c r="AA88" s="160">
        <f t="shared" si="83"/>
        <v>0.99999551699739453</v>
      </c>
      <c r="AB88" s="160">
        <f t="shared" si="84"/>
        <v>3.618192799871315E-4</v>
      </c>
      <c r="AC88" s="171" t="str">
        <f t="shared" si="85"/>
        <v>10.4939194974507-108.566317519107i</v>
      </c>
      <c r="AD88" s="190">
        <f t="shared" si="86"/>
        <v>40.754289795303585</v>
      </c>
      <c r="AE88" s="169">
        <f t="shared" si="87"/>
        <v>-84.478994701795685</v>
      </c>
      <c r="AF88" s="98" t="str">
        <f t="shared" si="72"/>
        <v>-9.95024875621891E-06</v>
      </c>
      <c r="AG88" s="98" t="str">
        <f t="shared" si="73"/>
        <v>0.000315220131473533i</v>
      </c>
      <c r="AH88" s="98">
        <f t="shared" si="88"/>
        <v>3.1522013147353302E-4</v>
      </c>
      <c r="AI88" s="98">
        <f t="shared" si="89"/>
        <v>1.5707963267948966</v>
      </c>
      <c r="AJ88" s="98" t="str">
        <f t="shared" si="74"/>
        <v>1+0.00314590635611674i</v>
      </c>
      <c r="AK88" s="98">
        <f t="shared" si="90"/>
        <v>1.0000049483511577</v>
      </c>
      <c r="AL88" s="98">
        <f t="shared" si="91"/>
        <v>3.1458959781197815E-3</v>
      </c>
      <c r="AM88" s="98" t="str">
        <f t="shared" si="75"/>
        <v>1+3.14905226247286i</v>
      </c>
      <c r="AN88" s="98">
        <f t="shared" si="92"/>
        <v>3.3040172747407723</v>
      </c>
      <c r="AO88" s="98">
        <f t="shared" si="93"/>
        <v>1.2633120606636721</v>
      </c>
      <c r="AP88" s="168" t="str">
        <f t="shared" si="94"/>
        <v>-0.0993027979243528+0.0318784293002554i</v>
      </c>
      <c r="AQ88" s="98">
        <f t="shared" si="95"/>
        <v>-19.634796946169221</v>
      </c>
      <c r="AR88" s="169">
        <f t="shared" si="96"/>
        <v>162.20220272167003</v>
      </c>
      <c r="AS88" s="168" t="str">
        <f t="shared" si="97"/>
        <v>2.41884811013216+11.1154687607731i</v>
      </c>
      <c r="AT88" s="190">
        <f t="shared" si="98"/>
        <v>21.119492849134396</v>
      </c>
      <c r="AU88" s="169">
        <f t="shared" si="99"/>
        <v>77.723208019874392</v>
      </c>
      <c r="AV88" s="225"/>
      <c r="AX88">
        <f t="shared" si="100"/>
        <v>0</v>
      </c>
      <c r="AY88">
        <f t="shared" si="101"/>
        <v>0</v>
      </c>
    </row>
    <row r="89" spans="14:51" x14ac:dyDescent="0.55000000000000004">
      <c r="N89" s="170">
        <v>71</v>
      </c>
      <c r="O89" s="199">
        <f t="shared" si="76"/>
        <v>51.28613839913649</v>
      </c>
      <c r="P89" s="189" t="str">
        <f t="shared" si="67"/>
        <v>1078.86904761905</v>
      </c>
      <c r="Q89" s="160" t="str">
        <f t="shared" si="68"/>
        <v>1+10.0700097266073i</v>
      </c>
      <c r="R89" s="160">
        <f t="shared" si="77"/>
        <v>10.11954030052579</v>
      </c>
      <c r="S89" s="160">
        <f t="shared" si="78"/>
        <v>1.4718160680951904</v>
      </c>
      <c r="T89" s="160" t="str">
        <f t="shared" si="69"/>
        <v>1+6.44480622502866E-06i</v>
      </c>
      <c r="U89" s="160">
        <f t="shared" si="79"/>
        <v>1.0000000000207678</v>
      </c>
      <c r="V89" s="160">
        <f t="shared" si="80"/>
        <v>6.4448062249394301E-6</v>
      </c>
      <c r="W89" s="98" t="str">
        <f t="shared" si="70"/>
        <v>1-0.00466114165418973i</v>
      </c>
      <c r="X89" s="160">
        <f t="shared" si="81"/>
        <v>1.0000108630617572</v>
      </c>
      <c r="Y89" s="160">
        <f t="shared" si="82"/>
        <v>-4.6611078982666488E-3</v>
      </c>
      <c r="Z89" s="98" t="str">
        <f t="shared" si="71"/>
        <v>0.999995237178829+0.000370245465785699i</v>
      </c>
      <c r="AA89" s="160">
        <f t="shared" si="83"/>
        <v>0.9999953057200055</v>
      </c>
      <c r="AB89" s="160">
        <f t="shared" si="84"/>
        <v>3.7024721228884057E-4</v>
      </c>
      <c r="AC89" s="171" t="str">
        <f t="shared" si="85"/>
        <v>10.0022351690901-106.143887160861i</v>
      </c>
      <c r="AD89" s="190">
        <f t="shared" si="86"/>
        <v>40.556294113573649</v>
      </c>
      <c r="AE89" s="169">
        <f t="shared" si="87"/>
        <v>-84.616755074263736</v>
      </c>
      <c r="AF89" s="98" t="str">
        <f t="shared" si="72"/>
        <v>-9.95024875621891E-06</v>
      </c>
      <c r="AG89" s="98" t="str">
        <f t="shared" si="73"/>
        <v>0.000322562551562685i</v>
      </c>
      <c r="AH89" s="98">
        <f t="shared" si="88"/>
        <v>3.2256255156268499E-4</v>
      </c>
      <c r="AI89" s="98">
        <f t="shared" si="89"/>
        <v>1.5707963267948966</v>
      </c>
      <c r="AJ89" s="98" t="str">
        <f t="shared" si="74"/>
        <v>1+0.00321918392858574i</v>
      </c>
      <c r="AK89" s="98">
        <f t="shared" si="90"/>
        <v>1.0000051815591586</v>
      </c>
      <c r="AL89" s="98">
        <f t="shared" si="91"/>
        <v>3.2191728083647616E-3</v>
      </c>
      <c r="AM89" s="98" t="str">
        <f t="shared" si="75"/>
        <v>1+3.22240311251433i</v>
      </c>
      <c r="AN89" s="98">
        <f t="shared" si="92"/>
        <v>3.3740008624097957</v>
      </c>
      <c r="AO89" s="98">
        <f t="shared" si="93"/>
        <v>1.2698919832841622</v>
      </c>
      <c r="AP89" s="168" t="str">
        <f t="shared" si="94"/>
        <v>-0.0993027516081839+0.0311671752074749i</v>
      </c>
      <c r="AQ89" s="98">
        <f t="shared" si="95"/>
        <v>-19.652741372998371</v>
      </c>
      <c r="AR89" s="169">
        <f t="shared" si="96"/>
        <v>162.57500606423764</v>
      </c>
      <c r="AS89" s="168" t="str">
        <f t="shared" si="97"/>
        <v>2.3149556538222+10.8521214774435i</v>
      </c>
      <c r="AT89" s="190">
        <f t="shared" si="98"/>
        <v>20.903552740575289</v>
      </c>
      <c r="AU89" s="169">
        <f t="shared" si="99"/>
        <v>77.958250989973962</v>
      </c>
      <c r="AV89" s="225"/>
      <c r="AX89">
        <f t="shared" si="100"/>
        <v>0</v>
      </c>
      <c r="AY89">
        <f t="shared" si="101"/>
        <v>0</v>
      </c>
    </row>
    <row r="90" spans="14:51" x14ac:dyDescent="0.55000000000000004">
      <c r="N90" s="170">
        <v>72</v>
      </c>
      <c r="O90" s="199">
        <f t="shared" si="76"/>
        <v>52.480746024977286</v>
      </c>
      <c r="P90" s="189" t="str">
        <f t="shared" si="67"/>
        <v>1078.86904761905</v>
      </c>
      <c r="Q90" s="160" t="str">
        <f t="shared" si="68"/>
        <v>1+10.3045703854363i</v>
      </c>
      <c r="R90" s="160">
        <f t="shared" si="77"/>
        <v>10.352978838402541</v>
      </c>
      <c r="S90" s="160">
        <f t="shared" si="78"/>
        <v>1.4740549409203241</v>
      </c>
      <c r="T90" s="160" t="str">
        <f t="shared" si="69"/>
        <v>1+6.59492504667922E-06i</v>
      </c>
      <c r="U90" s="160">
        <f t="shared" si="79"/>
        <v>1.0000000000217466</v>
      </c>
      <c r="V90" s="160">
        <f t="shared" si="80"/>
        <v>6.5949250465836088E-6</v>
      </c>
      <c r="W90" s="98" t="str">
        <f t="shared" si="70"/>
        <v>1-0.00476971359076028i</v>
      </c>
      <c r="X90" s="160">
        <f t="shared" si="81"/>
        <v>1.0000113750191735</v>
      </c>
      <c r="Y90" s="160">
        <f t="shared" si="82"/>
        <v>-4.7696774206592539E-3</v>
      </c>
      <c r="Z90" s="98" t="str">
        <f t="shared" si="71"/>
        <v>0.999995012713982+0.00037886959056223i</v>
      </c>
      <c r="AA90" s="160">
        <f t="shared" si="83"/>
        <v>0.99999508448542052</v>
      </c>
      <c r="AB90" s="160">
        <f t="shared" si="84"/>
        <v>3.7887146197447508E-4</v>
      </c>
      <c r="AC90" s="171" t="str">
        <f t="shared" si="85"/>
        <v>9.53225761592412-103.773380430703i</v>
      </c>
      <c r="AD90" s="190">
        <f t="shared" si="86"/>
        <v>40.358209641662071</v>
      </c>
      <c r="AE90" s="169">
        <f t="shared" si="87"/>
        <v>-84.751739145360858</v>
      </c>
      <c r="AF90" s="98" t="str">
        <f t="shared" si="72"/>
        <v>-9.95024875621891E-06</v>
      </c>
      <c r="AG90" s="98" t="str">
        <f t="shared" si="73"/>
        <v>0.000330075998586295i</v>
      </c>
      <c r="AH90" s="98">
        <f t="shared" si="88"/>
        <v>3.3007599858629502E-4</v>
      </c>
      <c r="AI90" s="98">
        <f t="shared" si="89"/>
        <v>1.5707963267948966</v>
      </c>
      <c r="AJ90" s="98" t="str">
        <f t="shared" si="74"/>
        <v>1+0.00329416835498463i</v>
      </c>
      <c r="AK90" s="98">
        <f t="shared" si="90"/>
        <v>1.0000054257578561</v>
      </c>
      <c r="AL90" s="98">
        <f t="shared" si="91"/>
        <v>3.2941564394566645E-3</v>
      </c>
      <c r="AM90" s="98" t="str">
        <f t="shared" si="75"/>
        <v>1+3.29746252333961i</v>
      </c>
      <c r="AN90" s="98">
        <f t="shared" si="92"/>
        <v>3.4457595814028044</v>
      </c>
      <c r="AO90" s="98">
        <f t="shared" si="93"/>
        <v>1.2763481986114515</v>
      </c>
      <c r="AP90" s="168" t="str">
        <f t="shared" si="94"/>
        <v>-0.099302703109248+0.0304724463494785i</v>
      </c>
      <c r="AQ90" s="98">
        <f t="shared" si="95"/>
        <v>-19.669947830466516</v>
      </c>
      <c r="AR90" s="169">
        <f t="shared" si="96"/>
        <v>162.94062370852484</v>
      </c>
      <c r="AS90" s="168" t="str">
        <f t="shared" si="97"/>
        <v>2.21564981968364+10.5954483963438i</v>
      </c>
      <c r="AT90" s="190">
        <f t="shared" si="98"/>
        <v>20.688261811195559</v>
      </c>
      <c r="AU90" s="169">
        <f t="shared" si="99"/>
        <v>78.188884563163981</v>
      </c>
      <c r="AV90" s="225"/>
      <c r="AX90">
        <f t="shared" si="100"/>
        <v>0</v>
      </c>
      <c r="AY90">
        <f t="shared" si="101"/>
        <v>0</v>
      </c>
    </row>
    <row r="91" spans="14:51" x14ac:dyDescent="0.55000000000000004">
      <c r="N91" s="170">
        <v>73</v>
      </c>
      <c r="O91" s="199">
        <f t="shared" si="76"/>
        <v>53.703179637025293</v>
      </c>
      <c r="P91" s="189" t="str">
        <f t="shared" si="67"/>
        <v>1078.86904761905</v>
      </c>
      <c r="Q91" s="160" t="str">
        <f t="shared" si="68"/>
        <v>1+10.5445946638807i</v>
      </c>
      <c r="R91" s="160">
        <f t="shared" si="77"/>
        <v>10.591906184702607</v>
      </c>
      <c r="S91" s="160">
        <f t="shared" si="78"/>
        <v>1.4762437912583324</v>
      </c>
      <c r="T91" s="160" t="str">
        <f t="shared" si="69"/>
        <v>1+6.74854058488366E-06i</v>
      </c>
      <c r="U91" s="160">
        <f t="shared" si="79"/>
        <v>1.0000000000227716</v>
      </c>
      <c r="V91" s="160">
        <f t="shared" si="80"/>
        <v>6.7485405847812105E-6</v>
      </c>
      <c r="W91" s="98" t="str">
        <f t="shared" si="70"/>
        <v>1-0.00488081449261126i</v>
      </c>
      <c r="X91" s="160">
        <f t="shared" si="81"/>
        <v>1.0000119111041184</v>
      </c>
      <c r="Y91" s="160">
        <f t="shared" si="82"/>
        <v>-4.88077573567467E-3</v>
      </c>
      <c r="Z91" s="98" t="str">
        <f t="shared" si="71"/>
        <v>0.999994777670433+0.000387694597010608i</v>
      </c>
      <c r="AA91" s="160">
        <f t="shared" si="83"/>
        <v>0.99999485282437284</v>
      </c>
      <c r="AB91" s="160">
        <f t="shared" si="84"/>
        <v>3.87696602265419E-4</v>
      </c>
      <c r="AC91" s="171" t="str">
        <f t="shared" si="85"/>
        <v>9.08304655152882-101.45382578227i</v>
      </c>
      <c r="AD91" s="190">
        <f t="shared" si="86"/>
        <v>40.160040327329966</v>
      </c>
      <c r="AE91" s="169">
        <f t="shared" si="87"/>
        <v>-84.884013338046117</v>
      </c>
      <c r="AF91" s="98" t="str">
        <f t="shared" si="72"/>
        <v>-9.95024875621891E-06</v>
      </c>
      <c r="AG91" s="98" t="str">
        <f t="shared" si="73"/>
        <v>0.000337764456273428i</v>
      </c>
      <c r="AH91" s="98">
        <f t="shared" si="88"/>
        <v>3.37764456273428E-4</v>
      </c>
      <c r="AI91" s="98">
        <f t="shared" si="89"/>
        <v>1.5707963267948966</v>
      </c>
      <c r="AJ91" s="98" t="str">
        <f t="shared" si="74"/>
        <v>1+0.00337089939304878i</v>
      </c>
      <c r="AK91" s="98">
        <f t="shared" si="90"/>
        <v>1.0000056814652196</v>
      </c>
      <c r="AL91" s="98">
        <f t="shared" si="91"/>
        <v>3.3708866253344505E-3</v>
      </c>
      <c r="AM91" s="98" t="str">
        <f t="shared" si="75"/>
        <v>1+3.37427029244183i</v>
      </c>
      <c r="AN91" s="98">
        <f t="shared" si="92"/>
        <v>3.519332323957979</v>
      </c>
      <c r="AO91" s="98">
        <f t="shared" si="93"/>
        <v>1.2826819761277886</v>
      </c>
      <c r="AP91" s="168" t="str">
        <f t="shared" si="94"/>
        <v>-0.0993026523246779+0.0297938743708244i</v>
      </c>
      <c r="AQ91" s="98">
        <f t="shared" si="95"/>
        <v>-19.686443932601911</v>
      </c>
      <c r="AR91" s="169">
        <f t="shared" si="96"/>
        <v>163.29912611277371</v>
      </c>
      <c r="AS91" s="168" t="str">
        <f t="shared" si="97"/>
        <v>2.12073192604113+10.3452531365258i</v>
      </c>
      <c r="AT91" s="190">
        <f t="shared" si="98"/>
        <v>20.473596394728052</v>
      </c>
      <c r="AU91" s="169">
        <f t="shared" si="99"/>
        <v>78.415112774727589</v>
      </c>
      <c r="AV91" s="225"/>
      <c r="AX91">
        <f t="shared" si="100"/>
        <v>0</v>
      </c>
      <c r="AY91">
        <f t="shared" si="101"/>
        <v>0</v>
      </c>
    </row>
    <row r="92" spans="14:51" x14ac:dyDescent="0.55000000000000004">
      <c r="N92" s="170">
        <v>74</v>
      </c>
      <c r="O92" s="199">
        <f t="shared" si="76"/>
        <v>54.95408738576247</v>
      </c>
      <c r="P92" s="189" t="str">
        <f t="shared" si="67"/>
        <v>1078.86904761905</v>
      </c>
      <c r="Q92" s="160" t="str">
        <f t="shared" si="68"/>
        <v>1+10.7902098259902i</v>
      </c>
      <c r="R92" s="160">
        <f t="shared" si="77"/>
        <v>10.836449053490513</v>
      </c>
      <c r="S92" s="160">
        <f t="shared" si="78"/>
        <v>1.4783836957250442</v>
      </c>
      <c r="T92" s="160" t="str">
        <f t="shared" si="69"/>
        <v>1+6.90573428863372E-06i</v>
      </c>
      <c r="U92" s="160">
        <f t="shared" si="79"/>
        <v>1.0000000000238445</v>
      </c>
      <c r="V92" s="160">
        <f t="shared" si="80"/>
        <v>6.9057342885239438E-6</v>
      </c>
      <c r="W92" s="98" t="str">
        <f t="shared" si="70"/>
        <v>1-0.00499450326691145i</v>
      </c>
      <c r="X92" s="160">
        <f t="shared" si="81"/>
        <v>1.0000124724536605</v>
      </c>
      <c r="Y92" s="160">
        <f t="shared" si="82"/>
        <v>-4.994461738133657E-3</v>
      </c>
      <c r="Z92" s="98" t="str">
        <f t="shared" si="71"/>
        <v>0.999994531549624+0.000396725164266067i</v>
      </c>
      <c r="AA92" s="160">
        <f t="shared" si="83"/>
        <v>0.99999461024547942</v>
      </c>
      <c r="AB92" s="160">
        <f t="shared" si="84"/>
        <v>3.9672731293582719E-4</v>
      </c>
      <c r="AC92" s="171" t="str">
        <f t="shared" si="85"/>
        <v>8.6537008468006-99.1842602157504i</v>
      </c>
      <c r="AD92" s="190">
        <f t="shared" si="86"/>
        <v>39.961789948403286</v>
      </c>
      <c r="AE92" s="169">
        <f t="shared" si="87"/>
        <v>-85.013642975752177</v>
      </c>
      <c r="AF92" s="98" t="str">
        <f t="shared" si="72"/>
        <v>-9.95024875621891E-06</v>
      </c>
      <c r="AG92" s="98" t="str">
        <f t="shared" si="73"/>
        <v>0.000345632001146118i</v>
      </c>
      <c r="AH92" s="98">
        <f t="shared" si="88"/>
        <v>3.4563200114611799E-4</v>
      </c>
      <c r="AI92" s="98">
        <f t="shared" si="89"/>
        <v>1.5707963267948966</v>
      </c>
      <c r="AJ92" s="98" t="str">
        <f t="shared" si="74"/>
        <v>1+0.00344941772659027i</v>
      </c>
      <c r="AK92" s="98">
        <f t="shared" si="90"/>
        <v>1.0000059492236295</v>
      </c>
      <c r="AL92" s="98">
        <f t="shared" si="91"/>
        <v>3.4494040457422781E-3</v>
      </c>
      <c r="AM92" s="98" t="str">
        <f t="shared" si="75"/>
        <v>1+3.45286714431686i</v>
      </c>
      <c r="AN92" s="98">
        <f t="shared" si="92"/>
        <v>3.5947588954341385</v>
      </c>
      <c r="AO92" s="98">
        <f t="shared" si="93"/>
        <v>1.2888946406021433</v>
      </c>
      <c r="AP92" s="168" t="str">
        <f t="shared" si="94"/>
        <v>-0.0993025991467609+0.0291310994825904i</v>
      </c>
      <c r="AQ92" s="98">
        <f t="shared" si="95"/>
        <v>-19.702256484603641</v>
      </c>
      <c r="AR92" s="169">
        <f t="shared" si="96"/>
        <v>163.65058684987744</v>
      </c>
      <c r="AS92" s="168" t="str">
        <f t="shared" si="97"/>
        <v>2.03001156512633+10.1013466541334i</v>
      </c>
      <c r="AT92" s="190">
        <f t="shared" si="98"/>
        <v>20.259533463799638</v>
      </c>
      <c r="AU92" s="169">
        <f t="shared" si="99"/>
        <v>78.636943874125265</v>
      </c>
      <c r="AV92" s="225"/>
      <c r="AX92">
        <f t="shared" si="100"/>
        <v>0</v>
      </c>
      <c r="AY92">
        <f t="shared" si="101"/>
        <v>0</v>
      </c>
    </row>
    <row r="93" spans="14:51" x14ac:dyDescent="0.55000000000000004">
      <c r="N93" s="170">
        <v>75</v>
      </c>
      <c r="O93" s="199">
        <f t="shared" si="76"/>
        <v>56.234132519034915</v>
      </c>
      <c r="P93" s="189" t="str">
        <f t="shared" si="67"/>
        <v>1078.86904761905</v>
      </c>
      <c r="Q93" s="160" t="str">
        <f t="shared" si="68"/>
        <v>1+11.0415461001747i</v>
      </c>
      <c r="R93" s="160">
        <f t="shared" si="77"/>
        <v>11.086737134174468</v>
      </c>
      <c r="S93" s="160">
        <f t="shared" si="78"/>
        <v>1.480475710490639</v>
      </c>
      <c r="T93" s="160" t="str">
        <f t="shared" si="69"/>
        <v>1+0.0000070665895041118i</v>
      </c>
      <c r="U93" s="160">
        <f t="shared" si="79"/>
        <v>1.0000000000249685</v>
      </c>
      <c r="V93" s="160">
        <f t="shared" si="80"/>
        <v>7.0665895039941727E-6</v>
      </c>
      <c r="W93" s="98" t="str">
        <f t="shared" si="70"/>
        <v>1-0.00511084019295382i</v>
      </c>
      <c r="X93" s="160">
        <f t="shared" si="81"/>
        <v>1.0000130602584538</v>
      </c>
      <c r="Y93" s="160">
        <f t="shared" si="82"/>
        <v>-5.1107956940980789E-3</v>
      </c>
      <c r="Z93" s="98" t="str">
        <f t="shared" si="71"/>
        <v>0.999994273829497+0.000405966080454897i</v>
      </c>
      <c r="AA93" s="160">
        <f t="shared" si="83"/>
        <v>0.99999435623419475</v>
      </c>
      <c r="AB93" s="160">
        <f t="shared" si="84"/>
        <v>4.0596838279660787E-4</v>
      </c>
      <c r="AC93" s="171" t="str">
        <f t="shared" si="85"/>
        <v>8.24335703760422-96.9637299386428i</v>
      </c>
      <c r="AD93" s="190">
        <f t="shared" si="86"/>
        <v>39.763462119919701</v>
      </c>
      <c r="AE93" s="169">
        <f t="shared" si="87"/>
        <v>-85.140692295166886</v>
      </c>
      <c r="AF93" s="98" t="str">
        <f t="shared" si="72"/>
        <v>-9.95024875621891E-06</v>
      </c>
      <c r="AG93" s="98" t="str">
        <f t="shared" si="73"/>
        <v>0.000353682804680796i</v>
      </c>
      <c r="AH93" s="98">
        <f t="shared" si="88"/>
        <v>3.5368280468079597E-4</v>
      </c>
      <c r="AI93" s="98">
        <f t="shared" si="89"/>
        <v>1.5707963267948966</v>
      </c>
      <c r="AJ93" s="98" t="str">
        <f t="shared" si="74"/>
        <v>1+0.00352976498706883i</v>
      </c>
      <c r="AK93" s="98">
        <f t="shared" si="90"/>
        <v>1.0000062296010279</v>
      </c>
      <c r="AL93" s="98">
        <f t="shared" si="91"/>
        <v>3.5297503277810266E-3</v>
      </c>
      <c r="AM93" s="98" t="str">
        <f t="shared" si="75"/>
        <v>1+3.5332947520559i</v>
      </c>
      <c r="AN93" s="98">
        <f t="shared" si="92"/>
        <v>3.6720800379220719</v>
      </c>
      <c r="AO93" s="98">
        <f t="shared" si="93"/>
        <v>1.294987567008226</v>
      </c>
      <c r="AP93" s="168" t="str">
        <f t="shared" si="94"/>
        <v>-0.0993025434627069+0.0284837702716034i</v>
      </c>
      <c r="AQ93" s="98">
        <f t="shared" si="95"/>
        <v>-19.717411488045833</v>
      </c>
      <c r="AR93" s="169">
        <f t="shared" si="96"/>
        <v>163.99508231496947</v>
      </c>
      <c r="AS93" s="168" t="str">
        <f t="shared" si="97"/>
        <v>1.94330628774479+9.86354689466417i</v>
      </c>
      <c r="AT93" s="190">
        <f t="shared" si="98"/>
        <v>20.046050631873861</v>
      </c>
      <c r="AU93" s="169">
        <f t="shared" si="99"/>
        <v>78.85439001980258</v>
      </c>
      <c r="AV93" s="225"/>
      <c r="AX93">
        <f t="shared" si="100"/>
        <v>0</v>
      </c>
      <c r="AY93">
        <f t="shared" si="101"/>
        <v>0</v>
      </c>
    </row>
    <row r="94" spans="14:51" x14ac:dyDescent="0.55000000000000004">
      <c r="N94" s="170">
        <v>76</v>
      </c>
      <c r="O94" s="199">
        <f t="shared" si="76"/>
        <v>57.543993733715695</v>
      </c>
      <c r="P94" s="189" t="str">
        <f t="shared" si="67"/>
        <v>1078.86904761905</v>
      </c>
      <c r="Q94" s="160" t="str">
        <f t="shared" si="68"/>
        <v>1+11.2987367482537i</v>
      </c>
      <c r="R94" s="160">
        <f t="shared" si="77"/>
        <v>11.342903160405566</v>
      </c>
      <c r="S94" s="160">
        <f t="shared" si="78"/>
        <v>1.4825208714825093</v>
      </c>
      <c r="T94" s="160" t="str">
        <f t="shared" si="69"/>
        <v>1+7.23119151888234E-06i</v>
      </c>
      <c r="U94" s="160">
        <f t="shared" si="79"/>
        <v>1.0000000000261451</v>
      </c>
      <c r="V94" s="160">
        <f t="shared" si="80"/>
        <v>7.2311915187562999E-6</v>
      </c>
      <c r="W94" s="98" t="str">
        <f t="shared" si="70"/>
        <v>1-0.00522988695411647i</v>
      </c>
      <c r="X94" s="160">
        <f t="shared" si="81"/>
        <v>1.0000136757652631</v>
      </c>
      <c r="Y94" s="160">
        <f t="shared" si="82"/>
        <v>-5.2298392727687009E-3</v>
      </c>
      <c r="Z94" s="98" t="str">
        <f t="shared" si="71"/>
        <v>0.999994003963396+0.000415422245233181i</v>
      </c>
      <c r="AA94" s="160">
        <f t="shared" si="83"/>
        <v>0.99999409025173069</v>
      </c>
      <c r="AB94" s="160">
        <f t="shared" si="84"/>
        <v>4.1542471223742416E-4</v>
      </c>
      <c r="AC94" s="171" t="str">
        <f t="shared" si="85"/>
        <v>7.85118787686887-94.7912909596995i</v>
      </c>
      <c r="AD94" s="190">
        <f t="shared" si="86"/>
        <v>39.565060301003342</v>
      </c>
      <c r="AE94" s="169">
        <f t="shared" si="87"/>
        <v>-85.265224459827678</v>
      </c>
      <c r="AF94" s="98" t="str">
        <f t="shared" si="72"/>
        <v>-9.95024875621891E-06</v>
      </c>
      <c r="AG94" s="98" t="str">
        <f t="shared" si="73"/>
        <v>0.000361921135520061i</v>
      </c>
      <c r="AH94" s="98">
        <f t="shared" si="88"/>
        <v>3.6192113552006101E-4</v>
      </c>
      <c r="AI94" s="98">
        <f t="shared" si="89"/>
        <v>1.5707963267948966</v>
      </c>
      <c r="AJ94" s="98" t="str">
        <f t="shared" si="74"/>
        <v>1+0.0036119837756655i</v>
      </c>
      <c r="AK94" s="98">
        <f t="shared" si="90"/>
        <v>1.0000065231921218</v>
      </c>
      <c r="AL94" s="98">
        <f t="shared" si="91"/>
        <v>3.611968067961152E-3</v>
      </c>
      <c r="AM94" s="98" t="str">
        <f t="shared" si="75"/>
        <v>1+3.61559575944117i</v>
      </c>
      <c r="AN94" s="98">
        <f t="shared" si="92"/>
        <v>3.7513374542540121</v>
      </c>
      <c r="AO94" s="98">
        <f t="shared" si="93"/>
        <v>1.3009621756544933</v>
      </c>
      <c r="AP94" s="168" t="str">
        <f t="shared" si="94"/>
        <v>-0.0993024851544112+0.0278515435141107i</v>
      </c>
      <c r="AQ94" s="98">
        <f t="shared" si="95"/>
        <v>-19.731934147822557</v>
      </c>
      <c r="AR94" s="169">
        <f t="shared" si="96"/>
        <v>164.33269144512951</v>
      </c>
      <c r="AS94" s="168" t="str">
        <f t="shared" si="97"/>
        <v>1.86044129733553+9.6316784640831i</v>
      </c>
      <c r="AT94" s="190">
        <f t="shared" si="98"/>
        <v>19.833126153180775</v>
      </c>
      <c r="AU94" s="169">
        <f t="shared" si="99"/>
        <v>79.067466985301877</v>
      </c>
      <c r="AV94" s="225"/>
      <c r="AX94">
        <f t="shared" si="100"/>
        <v>0</v>
      </c>
      <c r="AY94">
        <f t="shared" si="101"/>
        <v>0</v>
      </c>
    </row>
    <row r="95" spans="14:51" x14ac:dyDescent="0.55000000000000004">
      <c r="N95" s="170">
        <v>77</v>
      </c>
      <c r="O95" s="199">
        <f t="shared" si="76"/>
        <v>58.884365535558949</v>
      </c>
      <c r="P95" s="189" t="str">
        <f t="shared" si="67"/>
        <v>1078.86904761905</v>
      </c>
      <c r="Q95" s="160" t="str">
        <f t="shared" si="68"/>
        <v>1+11.561918136113i</v>
      </c>
      <c r="R95" s="160">
        <f t="shared" si="77"/>
        <v>11.605082980581342</v>
      </c>
      <c r="S95" s="160">
        <f t="shared" si="78"/>
        <v>1.484520194600111</v>
      </c>
      <c r="T95" s="160" t="str">
        <f t="shared" si="69"/>
        <v>1+7.39962760711232E-06i</v>
      </c>
      <c r="U95" s="160">
        <f t="shared" si="79"/>
        <v>1.0000000000273772</v>
      </c>
      <c r="V95" s="160">
        <f t="shared" si="80"/>
        <v>7.3996276069772658E-6</v>
      </c>
      <c r="W95" s="98" t="str">
        <f t="shared" si="70"/>
        <v>1-0.00535170667056792i</v>
      </c>
      <c r="X95" s="160">
        <f t="shared" si="81"/>
        <v>1.0000143202796086</v>
      </c>
      <c r="Y95" s="160">
        <f t="shared" si="82"/>
        <v>-5.3516555791227995E-3</v>
      </c>
      <c r="Z95" s="98" t="str">
        <f t="shared" si="71"/>
        <v>0.999993721378896+0.000425098672384651i</v>
      </c>
      <c r="AA95" s="160">
        <f t="shared" si="83"/>
        <v>0.9999938117338999</v>
      </c>
      <c r="AB95" s="160">
        <f t="shared" si="84"/>
        <v>4.2510131582805663E-4</v>
      </c>
      <c r="AC95" s="171" t="str">
        <f t="shared" si="85"/>
        <v>7.47640093100549-92.6660096204948i</v>
      </c>
      <c r="AD95" s="190">
        <f t="shared" si="86"/>
        <v>39.36658780147787</v>
      </c>
      <c r="AE95" s="169">
        <f t="shared" si="87"/>
        <v>-85.387301574447974</v>
      </c>
      <c r="AF95" s="98" t="str">
        <f t="shared" si="72"/>
        <v>-9.95024875621891E-06</v>
      </c>
      <c r="AG95" s="98" t="str">
        <f t="shared" si="73"/>
        <v>0.000370351361735972i</v>
      </c>
      <c r="AH95" s="98">
        <f t="shared" si="88"/>
        <v>3.7035136173597201E-4</v>
      </c>
      <c r="AI95" s="98">
        <f t="shared" si="89"/>
        <v>1.5707963267948966</v>
      </c>
      <c r="AJ95" s="98" t="str">
        <f t="shared" si="74"/>
        <v>1+0.00369611768587029i</v>
      </c>
      <c r="AK95" s="98">
        <f t="shared" si="90"/>
        <v>1.0000068306196452</v>
      </c>
      <c r="AL95" s="98">
        <f t="shared" si="91"/>
        <v>3.6961008547680492E-3</v>
      </c>
      <c r="AM95" s="98" t="str">
        <f t="shared" si="75"/>
        <v>1+3.69981380355616i</v>
      </c>
      <c r="AN95" s="98">
        <f t="shared" si="92"/>
        <v>3.8325738324244583</v>
      </c>
      <c r="AO95" s="98">
        <f t="shared" si="93"/>
        <v>1.3068199275275025</v>
      </c>
      <c r="AP95" s="168" t="str">
        <f t="shared" si="94"/>
        <v>-0.0993024240982033+0.0272340839937916i</v>
      </c>
      <c r="AQ95" s="98">
        <f t="shared" si="95"/>
        <v>-19.74584888066363</v>
      </c>
      <c r="AR95" s="169">
        <f t="shared" si="96"/>
        <v>164.66349545128506</v>
      </c>
      <c r="AS95" s="168" t="str">
        <f t="shared" si="97"/>
        <v>1.78124915339515+9.40557231774883i</v>
      </c>
      <c r="AT95" s="190">
        <f t="shared" si="98"/>
        <v>19.62073892081424</v>
      </c>
      <c r="AU95" s="169">
        <f t="shared" si="99"/>
        <v>79.276193876837056</v>
      </c>
      <c r="AV95" s="225"/>
      <c r="AX95">
        <f t="shared" si="100"/>
        <v>0</v>
      </c>
      <c r="AY95">
        <f t="shared" si="101"/>
        <v>0</v>
      </c>
    </row>
    <row r="96" spans="14:51" x14ac:dyDescent="0.55000000000000004">
      <c r="N96" s="170">
        <v>78</v>
      </c>
      <c r="O96" s="199">
        <f t="shared" si="76"/>
        <v>60.255958607435822</v>
      </c>
      <c r="P96" s="189" t="str">
        <f t="shared" si="67"/>
        <v>1078.86904761905</v>
      </c>
      <c r="Q96" s="160" t="str">
        <f t="shared" si="68"/>
        <v>1+11.8312298060082i</v>
      </c>
      <c r="R96" s="160">
        <f t="shared" si="77"/>
        <v>11.87341562999362</v>
      </c>
      <c r="S96" s="160">
        <f t="shared" si="78"/>
        <v>1.4864746759405332</v>
      </c>
      <c r="T96" s="160" t="str">
        <f t="shared" si="69"/>
        <v>1+7.57198707584524E-06i</v>
      </c>
      <c r="U96" s="160">
        <f t="shared" si="79"/>
        <v>1.0000000000286675</v>
      </c>
      <c r="V96" s="160">
        <f t="shared" si="80"/>
        <v>7.5719870757005271E-6</v>
      </c>
      <c r="W96" s="98" t="str">
        <f t="shared" si="70"/>
        <v>1-0.00547636393273431i</v>
      </c>
      <c r="X96" s="160">
        <f t="shared" si="81"/>
        <v>1.0000149951685342</v>
      </c>
      <c r="Y96" s="160">
        <f t="shared" si="82"/>
        <v>-5.4763091873088667E-3</v>
      </c>
      <c r="Z96" s="98" t="str">
        <f t="shared" si="71"/>
        <v>0.9999934254766+0.000435000492479065i</v>
      </c>
      <c r="AA96" s="160">
        <f t="shared" si="83"/>
        <v>0.9999935200899317</v>
      </c>
      <c r="AB96" s="160">
        <f t="shared" si="84"/>
        <v>4.3500332498052832E-4</v>
      </c>
      <c r="AC96" s="171" t="str">
        <f t="shared" si="85"/>
        <v>7.11823722036693-90.5869630687872i</v>
      </c>
      <c r="AD96" s="190">
        <f t="shared" si="86"/>
        <v>39.168047788224783</v>
      </c>
      <c r="AE96" s="169">
        <f t="shared" si="87"/>
        <v>-85.506984699904393</v>
      </c>
      <c r="AF96" s="98" t="str">
        <f t="shared" si="72"/>
        <v>-9.95024875621891E-06</v>
      </c>
      <c r="AG96" s="98" t="str">
        <f t="shared" si="73"/>
        <v>0.000378977953146054i</v>
      </c>
      <c r="AH96" s="98">
        <f t="shared" si="88"/>
        <v>3.7897795314605401E-4</v>
      </c>
      <c r="AI96" s="98">
        <f t="shared" si="89"/>
        <v>1.5707963267948966</v>
      </c>
      <c r="AJ96" s="98" t="str">
        <f t="shared" si="74"/>
        <v>1+0.00378221132659602i</v>
      </c>
      <c r="AK96" s="98">
        <f t="shared" si="90"/>
        <v>1.0000071525356802</v>
      </c>
      <c r="AL96" s="98">
        <f t="shared" si="91"/>
        <v>3.7821932917520076E-3</v>
      </c>
      <c r="AM96" s="98" t="str">
        <f t="shared" si="75"/>
        <v>1+3.78599353792262i</v>
      </c>
      <c r="AN96" s="98">
        <f t="shared" si="92"/>
        <v>3.9158328704366121</v>
      </c>
      <c r="AO96" s="98">
        <f t="shared" si="93"/>
        <v>1.3125623198487593</v>
      </c>
      <c r="AP96" s="168" t="str">
        <f t="shared" si="94"/>
        <v>-0.0993023601645858+0.0266310643240152i</v>
      </c>
      <c r="AQ96" s="98">
        <f t="shared" si="95"/>
        <v>-19.759179325058184</v>
      </c>
      <c r="AR96" s="169">
        <f t="shared" si="96"/>
        <v>164.98757756231427</v>
      </c>
      <c r="AS96" s="168" t="str">
        <f t="shared" si="97"/>
        <v>1.70556948420822+9.18506546616193i</v>
      </c>
      <c r="AT96" s="190">
        <f t="shared" si="98"/>
        <v>19.408868463166598</v>
      </c>
      <c r="AU96" s="169">
        <f t="shared" si="99"/>
        <v>79.480592862409921</v>
      </c>
      <c r="AV96" s="225"/>
      <c r="AX96">
        <f t="shared" si="100"/>
        <v>0</v>
      </c>
      <c r="AY96">
        <f t="shared" si="101"/>
        <v>0</v>
      </c>
    </row>
    <row r="97" spans="14:51" x14ac:dyDescent="0.55000000000000004">
      <c r="N97" s="170">
        <v>79</v>
      </c>
      <c r="O97" s="199">
        <f t="shared" si="76"/>
        <v>61.659500186148257</v>
      </c>
      <c r="P97" s="189" t="str">
        <f t="shared" si="67"/>
        <v>1078.86904761905</v>
      </c>
      <c r="Q97" s="160" t="str">
        <f t="shared" si="68"/>
        <v>1+12.1068145505514i</v>
      </c>
      <c r="R97" s="160">
        <f t="shared" si="77"/>
        <v>12.148043404657519</v>
      </c>
      <c r="S97" s="160">
        <f t="shared" si="78"/>
        <v>1.4883852920335723</v>
      </c>
      <c r="T97" s="160" t="str">
        <f t="shared" si="69"/>
        <v>1+7.74836131235288E-06i</v>
      </c>
      <c r="U97" s="160">
        <f t="shared" si="79"/>
        <v>1.0000000000300187</v>
      </c>
      <c r="V97" s="160">
        <f t="shared" si="80"/>
        <v>7.7483613121978166E-6</v>
      </c>
      <c r="W97" s="98" t="str">
        <f t="shared" si="70"/>
        <v>1-0.0056039248355461i</v>
      </c>
      <c r="X97" s="160">
        <f t="shared" si="81"/>
        <v>1.000015701863507</v>
      </c>
      <c r="Y97" s="160">
        <f t="shared" si="82"/>
        <v>-5.6038661748156098E-3</v>
      </c>
      <c r="Z97" s="98" t="str">
        <f t="shared" si="71"/>
        <v>0.999993115628858+0.000445132955592505i</v>
      </c>
      <c r="AA97" s="160">
        <f t="shared" si="83"/>
        <v>0.99999321470120928</v>
      </c>
      <c r="AB97" s="160">
        <f t="shared" si="84"/>
        <v>4.4513599067342745E-4</v>
      </c>
      <c r="AC97" s="171" t="str">
        <f t="shared" si="85"/>
        <v>6.77596990335173-88.5532396776312i</v>
      </c>
      <c r="AD97" s="190">
        <f t="shared" si="86"/>
        <v>38.969443291295299</v>
      </c>
      <c r="AE97" s="169">
        <f t="shared" si="87"/>
        <v>-85.62433386881689</v>
      </c>
      <c r="AF97" s="98" t="str">
        <f t="shared" si="72"/>
        <v>-9.95024875621891E-06</v>
      </c>
      <c r="AG97" s="98" t="str">
        <f t="shared" si="73"/>
        <v>0.000387805483683261i</v>
      </c>
      <c r="AH97" s="98">
        <f t="shared" si="88"/>
        <v>3.87805483683261E-4</v>
      </c>
      <c r="AI97" s="98">
        <f t="shared" si="89"/>
        <v>1.5707963267948966</v>
      </c>
      <c r="AJ97" s="98" t="str">
        <f t="shared" si="74"/>
        <v>1+0.00387031034583061i</v>
      </c>
      <c r="AK97" s="98">
        <f t="shared" si="90"/>
        <v>1.0000074896230393</v>
      </c>
      <c r="AL97" s="98">
        <f t="shared" si="91"/>
        <v>3.8702910211549004E-3</v>
      </c>
      <c r="AM97" s="98" t="str">
        <f t="shared" si="75"/>
        <v>1+3.87418065617644i</v>
      </c>
      <c r="AN97" s="98">
        <f t="shared" si="92"/>
        <v>4.0011593015889417</v>
      </c>
      <c r="AO97" s="98">
        <f t="shared" si="93"/>
        <v>1.3181908818440584</v>
      </c>
      <c r="AP97" s="168" t="str">
        <f t="shared" si="94"/>
        <v>-0.0993022932179579+0.0260421647742493i</v>
      </c>
      <c r="AQ97" s="98">
        <f t="shared" si="95"/>
        <v>-19.771948352431931</v>
      </c>
      <c r="AR97" s="169">
        <f t="shared" si="96"/>
        <v>165.30502278129313</v>
      </c>
      <c r="AS97" s="168" t="str">
        <f t="shared" si="97"/>
        <v>1.63324870879977+8.97000069659668i</v>
      </c>
      <c r="AT97" s="190">
        <f t="shared" si="98"/>
        <v>19.197494938863372</v>
      </c>
      <c r="AU97" s="169">
        <f t="shared" si="99"/>
        <v>79.680688912476271</v>
      </c>
      <c r="AV97" s="225"/>
      <c r="AX97">
        <f t="shared" si="100"/>
        <v>0</v>
      </c>
      <c r="AY97">
        <f t="shared" si="101"/>
        <v>0</v>
      </c>
    </row>
    <row r="98" spans="14:51" x14ac:dyDescent="0.55000000000000004">
      <c r="N98" s="170">
        <v>80</v>
      </c>
      <c r="O98" s="199">
        <f t="shared" si="76"/>
        <v>63.095734448019364</v>
      </c>
      <c r="P98" s="189" t="str">
        <f t="shared" si="67"/>
        <v>1078.86904761905</v>
      </c>
      <c r="Q98" s="160" t="str">
        <f t="shared" si="68"/>
        <v>1+12.3888184884219i</v>
      </c>
      <c r="R98" s="160">
        <f t="shared" si="77"/>
        <v>12.429111936862757</v>
      </c>
      <c r="S98" s="160">
        <f t="shared" si="78"/>
        <v>1.4902530000852077</v>
      </c>
      <c r="T98" s="160" t="str">
        <f t="shared" si="69"/>
        <v>1+0.00000792884383259i</v>
      </c>
      <c r="U98" s="160">
        <f t="shared" si="79"/>
        <v>1.0000000000314333</v>
      </c>
      <c r="V98" s="160">
        <f t="shared" si="80"/>
        <v>7.9288438324238485E-6</v>
      </c>
      <c r="W98" s="98" t="str">
        <f t="shared" si="70"/>
        <v>1-0.00573445701348239i</v>
      </c>
      <c r="X98" s="160">
        <f t="shared" si="81"/>
        <v>1.0000164418634523</v>
      </c>
      <c r="Y98" s="160">
        <f t="shared" si="82"/>
        <v>-5.7343941574330261E-3</v>
      </c>
      <c r="Z98" s="98" t="str">
        <f t="shared" si="71"/>
        <v>0.999992791178442+0.00045550143409103i</v>
      </c>
      <c r="AA98" s="160">
        <f t="shared" si="83"/>
        <v>0.99999289491996268</v>
      </c>
      <c r="AB98" s="160">
        <f t="shared" si="84"/>
        <v>4.5550468623986617E-4</v>
      </c>
      <c r="AC98" s="171" t="str">
        <f t="shared" si="85"/>
        <v>6.44890300364377-86.563939413979i</v>
      </c>
      <c r="AD98" s="190">
        <f t="shared" si="86"/>
        <v>38.770777209784484</v>
      </c>
      <c r="AE98" s="169">
        <f t="shared" si="87"/>
        <v>-85.739408101658867</v>
      </c>
      <c r="AF98" s="98" t="str">
        <f t="shared" si="72"/>
        <v>-9.95024875621891E-06</v>
      </c>
      <c r="AG98" s="98" t="str">
        <f t="shared" si="73"/>
        <v>0.00039683863382113i</v>
      </c>
      <c r="AH98" s="98">
        <f t="shared" si="88"/>
        <v>3.9683863382113002E-4</v>
      </c>
      <c r="AI98" s="98">
        <f t="shared" si="89"/>
        <v>1.5707963267948966</v>
      </c>
      <c r="AJ98" s="98" t="str">
        <f t="shared" si="74"/>
        <v>1+0.00396046145484016i</v>
      </c>
      <c r="AK98" s="98">
        <f t="shared" si="90"/>
        <v>1.0000078425967145</v>
      </c>
      <c r="AL98" s="98">
        <f t="shared" si="91"/>
        <v>3.9604407480858406E-3</v>
      </c>
      <c r="AM98" s="98" t="str">
        <f t="shared" si="75"/>
        <v>1+3.964421916295i</v>
      </c>
      <c r="AN98" s="98">
        <f t="shared" si="92"/>
        <v>4.088598920217061</v>
      </c>
      <c r="AO98" s="98">
        <f t="shared" si="93"/>
        <v>1.3237071707233365</v>
      </c>
      <c r="AP98" s="168" t="str">
        <f t="shared" si="94"/>
        <v>-0.099302223116329+0.0254670731005269i</v>
      </c>
      <c r="AQ98" s="98">
        <f t="shared" si="95"/>
        <v>-19.784178079431612</v>
      </c>
      <c r="AR98" s="169">
        <f t="shared" si="96"/>
        <v>165.61591765377332</v>
      </c>
      <c r="AS98" s="168" t="str">
        <f t="shared" si="97"/>
        <v>1.56413976800199+8.76022630972733i</v>
      </c>
      <c r="AT98" s="190">
        <f t="shared" si="98"/>
        <v>18.986599130352868</v>
      </c>
      <c r="AU98" s="169">
        <f t="shared" si="99"/>
        <v>79.876509552114456</v>
      </c>
      <c r="AV98" s="225"/>
      <c r="AX98">
        <f t="shared" si="100"/>
        <v>0</v>
      </c>
      <c r="AY98">
        <f t="shared" si="101"/>
        <v>0</v>
      </c>
    </row>
    <row r="99" spans="14:51" x14ac:dyDescent="0.55000000000000004">
      <c r="N99" s="170">
        <v>81</v>
      </c>
      <c r="O99" s="199">
        <f t="shared" si="76"/>
        <v>64.565422903465588</v>
      </c>
      <c r="P99" s="189" t="str">
        <f t="shared" si="67"/>
        <v>1078.86904761905</v>
      </c>
      <c r="Q99" s="160" t="str">
        <f t="shared" si="68"/>
        <v>1+12.6773911418403i</v>
      </c>
      <c r="R99" s="160">
        <f t="shared" si="77"/>
        <v>12.716770272487071</v>
      </c>
      <c r="S99" s="160">
        <f t="shared" si="78"/>
        <v>1.4920787382284297</v>
      </c>
      <c r="T99" s="160" t="str">
        <f t="shared" si="69"/>
        <v>1+8.11353033077782E-06i</v>
      </c>
      <c r="U99" s="160">
        <f t="shared" si="79"/>
        <v>1.0000000000329146</v>
      </c>
      <c r="V99" s="160">
        <f t="shared" si="80"/>
        <v>8.1135303305997832E-6</v>
      </c>
      <c r="W99" s="98" t="str">
        <f t="shared" si="70"/>
        <v>1-0.00586802967643175i</v>
      </c>
      <c r="X99" s="160">
        <f t="shared" si="81"/>
        <v>1.0000172167379338</v>
      </c>
      <c r="Y99" s="160">
        <f t="shared" si="82"/>
        <v>-5.867962325024032E-3</v>
      </c>
      <c r="Z99" s="98" t="str">
        <f t="shared" si="71"/>
        <v>0.999992451437149+0.000466111425479184i</v>
      </c>
      <c r="AA99" s="160">
        <f t="shared" si="83"/>
        <v>0.99999256006789361</v>
      </c>
      <c r="AB99" s="160">
        <f t="shared" si="84"/>
        <v>4.6611491022060657E-4</v>
      </c>
      <c r="AC99" s="171" t="str">
        <f t="shared" si="85"/>
        <v>6.13637017998459-84.6181741602923i</v>
      </c>
      <c r="AD99" s="190">
        <f t="shared" si="86"/>
        <v>38.572052317475119</v>
      </c>
      <c r="AE99" s="169">
        <f t="shared" si="87"/>
        <v>-85.852265423338707</v>
      </c>
      <c r="AF99" s="98" t="str">
        <f t="shared" si="72"/>
        <v>-9.95024875621891E-06</v>
      </c>
      <c r="AG99" s="98" t="str">
        <f t="shared" si="73"/>
        <v>0.00040608219305543i</v>
      </c>
      <c r="AH99" s="98">
        <f t="shared" si="88"/>
        <v>4.0608219305542998E-4</v>
      </c>
      <c r="AI99" s="98">
        <f t="shared" si="89"/>
        <v>1.5707963267948966</v>
      </c>
      <c r="AJ99" s="98" t="str">
        <f t="shared" si="74"/>
        <v>1+0.00405271245293597i</v>
      </c>
      <c r="AK99" s="98">
        <f t="shared" si="90"/>
        <v>1.0000082122053928</v>
      </c>
      <c r="AL99" s="98">
        <f t="shared" si="91"/>
        <v>4.0526902652588091E-3</v>
      </c>
      <c r="AM99" s="98" t="str">
        <f t="shared" si="75"/>
        <v>1+4.05676516538891i</v>
      </c>
      <c r="AN99" s="98">
        <f t="shared" si="92"/>
        <v>4.1781986079066318</v>
      </c>
      <c r="AO99" s="98">
        <f t="shared" si="93"/>
        <v>1.3291127678681842</v>
      </c>
      <c r="AP99" s="168" t="str">
        <f t="shared" si="94"/>
        <v>-0.0993021497110186+0.0249054843798835i</v>
      </c>
      <c r="AQ99" s="98">
        <f t="shared" si="95"/>
        <v>-19.795889881179047</v>
      </c>
      <c r="AR99" s="169">
        <f t="shared" si="96"/>
        <v>165.92035004792496</v>
      </c>
      <c r="AS99" s="168" t="str">
        <f t="shared" si="97"/>
        <v>1.49810186450836+8.55559587040518i</v>
      </c>
      <c r="AT99" s="190">
        <f t="shared" si="98"/>
        <v>18.776162436296072</v>
      </c>
      <c r="AU99" s="169">
        <f t="shared" si="99"/>
        <v>80.068084624586234</v>
      </c>
      <c r="AV99" s="225"/>
      <c r="AX99">
        <f t="shared" si="100"/>
        <v>0</v>
      </c>
      <c r="AY99">
        <f t="shared" si="101"/>
        <v>0</v>
      </c>
    </row>
    <row r="100" spans="14:51" x14ac:dyDescent="0.55000000000000004">
      <c r="N100" s="170">
        <v>82</v>
      </c>
      <c r="O100" s="199">
        <f t="shared" si="76"/>
        <v>66.069344800759623</v>
      </c>
      <c r="P100" s="189" t="str">
        <f t="shared" si="67"/>
        <v>1078.86904761905</v>
      </c>
      <c r="Q100" s="160" t="str">
        <f t="shared" si="68"/>
        <v>1+12.9726855158473i</v>
      </c>
      <c r="R100" s="160">
        <f t="shared" si="77"/>
        <v>13.01117095011338</v>
      </c>
      <c r="S100" s="160">
        <f t="shared" si="78"/>
        <v>1.4938634257804586</v>
      </c>
      <c r="T100" s="160" t="str">
        <f t="shared" si="69"/>
        <v>1+0.0000083025187301423i</v>
      </c>
      <c r="U100" s="160">
        <f t="shared" si="79"/>
        <v>1.0000000000344658</v>
      </c>
      <c r="V100" s="160">
        <f t="shared" si="80"/>
        <v>8.3025187299515316E-6</v>
      </c>
      <c r="W100" s="98" t="str">
        <f t="shared" si="70"/>
        <v>1-0.00600471364638812i</v>
      </c>
      <c r="X100" s="160">
        <f t="shared" si="81"/>
        <v>1.0000180281304809</v>
      </c>
      <c r="Y100" s="160">
        <f t="shared" si="82"/>
        <v>-6.0046414781247826E-3</v>
      </c>
      <c r="Z100" s="98" t="str">
        <f t="shared" si="71"/>
        <v>0.999992095684342+0.000476968555314843i</v>
      </c>
      <c r="AA100" s="160">
        <f t="shared" si="83"/>
        <v>0.99999220943473588</v>
      </c>
      <c r="AB100" s="160">
        <f t="shared" si="84"/>
        <v>4.7697228928385386E-4</v>
      </c>
      <c r="AC100" s="171" t="str">
        <f t="shared" si="85"/>
        <v>5.8377335377946-82.715067992484i</v>
      </c>
      <c r="AD100" s="190">
        <f t="shared" si="86"/>
        <v>38.373271268258939</v>
      </c>
      <c r="AE100" s="169">
        <f t="shared" si="87"/>
        <v>-85.96296288019883</v>
      </c>
      <c r="AF100" s="98" t="str">
        <f t="shared" si="72"/>
        <v>-9.95024875621891E-06</v>
      </c>
      <c r="AG100" s="98" t="str">
        <f t="shared" si="73"/>
        <v>0.000415541062443622i</v>
      </c>
      <c r="AH100" s="98">
        <f t="shared" si="88"/>
        <v>4.1554106244362201E-4</v>
      </c>
      <c r="AI100" s="98">
        <f t="shared" si="89"/>
        <v>1.5707963267948966</v>
      </c>
      <c r="AJ100" s="98" t="str">
        <f t="shared" si="74"/>
        <v>1+0.00414711225281833i</v>
      </c>
      <c r="AK100" s="98">
        <f t="shared" si="90"/>
        <v>1.0000085992330454</v>
      </c>
      <c r="AL100" s="98">
        <f t="shared" si="91"/>
        <v>4.1470884783049548E-3</v>
      </c>
      <c r="AM100" s="98" t="str">
        <f t="shared" si="75"/>
        <v>1+4.15125936507115i</v>
      </c>
      <c r="AN100" s="98">
        <f t="shared" si="92"/>
        <v>4.2700063601932641</v>
      </c>
      <c r="AO100" s="98">
        <f t="shared" si="93"/>
        <v>1.3344092752233949</v>
      </c>
      <c r="AP100" s="168" t="str">
        <f t="shared" si="94"/>
        <v>-0.0993020728463387+0.0243571008486737i</v>
      </c>
      <c r="AQ100" s="98">
        <f t="shared" si="95"/>
        <v>-19.807104405365937</v>
      </c>
      <c r="AR100" s="169">
        <f t="shared" si="96"/>
        <v>166.21840894633741</v>
      </c>
      <c r="AS100" s="168" t="str">
        <f t="shared" si="97"/>
        <v>1.43500021177024+8.35596797178725i</v>
      </c>
      <c r="AT100" s="190">
        <f t="shared" si="98"/>
        <v>18.566166862892999</v>
      </c>
      <c r="AU100" s="169">
        <f t="shared" si="99"/>
        <v>80.255446066138575</v>
      </c>
      <c r="AV100" s="225"/>
      <c r="AX100">
        <f t="shared" si="100"/>
        <v>0</v>
      </c>
      <c r="AY100">
        <f t="shared" si="101"/>
        <v>0</v>
      </c>
    </row>
    <row r="101" spans="14:51" x14ac:dyDescent="0.55000000000000004">
      <c r="N101" s="170">
        <v>83</v>
      </c>
      <c r="O101" s="199">
        <f t="shared" si="76"/>
        <v>67.60829753919819</v>
      </c>
      <c r="P101" s="189" t="str">
        <f t="shared" si="67"/>
        <v>1078.86904761905</v>
      </c>
      <c r="Q101" s="160" t="str">
        <f t="shared" si="68"/>
        <v>1+13.2748581794286i</v>
      </c>
      <c r="R101" s="160">
        <f t="shared" si="77"/>
        <v>13.312470081992387</v>
      </c>
      <c r="S101" s="160">
        <f t="shared" si="78"/>
        <v>1.4956079635054518</v>
      </c>
      <c r="T101" s="160" t="str">
        <f t="shared" si="69"/>
        <v>1+8.49590923483432E-06i</v>
      </c>
      <c r="U101" s="160">
        <f t="shared" si="79"/>
        <v>1.0000000000360902</v>
      </c>
      <c r="V101" s="160">
        <f t="shared" si="80"/>
        <v>8.4959092346299076E-6</v>
      </c>
      <c r="W101" s="98" t="str">
        <f t="shared" si="70"/>
        <v>1-0.00614458139500158i</v>
      </c>
      <c r="X101" s="160">
        <f t="shared" si="81"/>
        <v>1.0000188777620749</v>
      </c>
      <c r="Y101" s="160">
        <f t="shared" si="82"/>
        <v>-6.144504065393029E-3</v>
      </c>
      <c r="Z101" s="98" t="str">
        <f t="shared" si="71"/>
        <v>0.999991723165421+0.000488078580191954i</v>
      </c>
      <c r="AA101" s="160">
        <f t="shared" si="83"/>
        <v>0.99999184227674998</v>
      </c>
      <c r="AB101" s="160">
        <f t="shared" si="84"/>
        <v>4.8808258121329649E-4</v>
      </c>
      <c r="AC101" s="171" t="str">
        <f t="shared" si="85"/>
        <v>5.55238248189178-80.8537574173382i</v>
      </c>
      <c r="AD101" s="190">
        <f t="shared" si="86"/>
        <v>38.174436601344667</v>
      </c>
      <c r="AE101" s="169">
        <f t="shared" si="87"/>
        <v>-86.071556557381541</v>
      </c>
      <c r="AF101" s="98" t="str">
        <f t="shared" si="72"/>
        <v>-9.95024875621891E-06</v>
      </c>
      <c r="AG101" s="98" t="str">
        <f t="shared" si="73"/>
        <v>0.000425220257203458i</v>
      </c>
      <c r="AH101" s="98">
        <f t="shared" si="88"/>
        <v>4.2522025720345799E-4</v>
      </c>
      <c r="AI101" s="98">
        <f t="shared" si="89"/>
        <v>1.5707963267948966</v>
      </c>
      <c r="AJ101" s="98" t="str">
        <f t="shared" si="74"/>
        <v>1+0.00424371090651065i</v>
      </c>
      <c r="AK101" s="98">
        <f t="shared" si="90"/>
        <v>1.0000090045005885</v>
      </c>
      <c r="AL101" s="98">
        <f t="shared" si="91"/>
        <v>4.2436854316729852E-3</v>
      </c>
      <c r="AM101" s="98" t="str">
        <f t="shared" si="75"/>
        <v>1+4.24795461741716i</v>
      </c>
      <c r="AN101" s="98">
        <f t="shared" si="92"/>
        <v>4.3640713137660541</v>
      </c>
      <c r="AO101" s="98">
        <f t="shared" si="93"/>
        <v>1.3395983118882944</v>
      </c>
      <c r="AP101" s="168" t="str">
        <f t="shared" si="94"/>
        <v>-0.0993019923592655+0.0238216317446848i</v>
      </c>
      <c r="AQ101" s="98">
        <f t="shared" si="95"/>
        <v>-19.817841587067871</v>
      </c>
      <c r="AR101" s="169">
        <f t="shared" si="96"/>
        <v>166.51018424923299</v>
      </c>
      <c r="AS101" s="168" t="str">
        <f t="shared" si="97"/>
        <v>1.37470579157737+8.16120601206369i</v>
      </c>
      <c r="AT101" s="190">
        <f t="shared" si="98"/>
        <v>18.356595014276799</v>
      </c>
      <c r="AU101" s="169">
        <f t="shared" si="99"/>
        <v>80.438627691851465</v>
      </c>
      <c r="AV101" s="225"/>
      <c r="AX101">
        <f t="shared" si="100"/>
        <v>0</v>
      </c>
      <c r="AY101">
        <f t="shared" si="101"/>
        <v>0</v>
      </c>
    </row>
    <row r="102" spans="14:51" x14ac:dyDescent="0.55000000000000004">
      <c r="N102" s="170">
        <v>84</v>
      </c>
      <c r="O102" s="199">
        <f t="shared" si="76"/>
        <v>69.183097091893657</v>
      </c>
      <c r="P102" s="189" t="str">
        <f t="shared" si="67"/>
        <v>1078.86904761905</v>
      </c>
      <c r="Q102" s="160" t="str">
        <f t="shared" si="68"/>
        <v>1+13.5840693485302i</v>
      </c>
      <c r="R102" s="160">
        <f t="shared" si="77"/>
        <v>13.620827436895222</v>
      </c>
      <c r="S102" s="160">
        <f t="shared" si="78"/>
        <v>1.4973132338818733</v>
      </c>
      <c r="T102" s="160" t="str">
        <f t="shared" si="69"/>
        <v>1+0.0000086938043830593i</v>
      </c>
      <c r="U102" s="160">
        <f t="shared" si="79"/>
        <v>1.0000000000377911</v>
      </c>
      <c r="V102" s="160">
        <f t="shared" si="80"/>
        <v>8.6938043828402682E-6</v>
      </c>
      <c r="W102" s="98" t="str">
        <f t="shared" si="70"/>
        <v>1-0.00628770708200381i</v>
      </c>
      <c r="X102" s="160">
        <f t="shared" si="81"/>
        <v>1.0000197674347988</v>
      </c>
      <c r="Y102" s="160">
        <f t="shared" si="82"/>
        <v>-6.2876242219238425E-3</v>
      </c>
      <c r="Z102" s="98" t="str">
        <f t="shared" si="71"/>
        <v>0.999991333090225+0.000499447390792766i</v>
      </c>
      <c r="AA102" s="160">
        <f t="shared" si="83"/>
        <v>0.9999914578151462</v>
      </c>
      <c r="AB102" s="160">
        <f t="shared" si="84"/>
        <v>4.9945167796601518E-4</v>
      </c>
      <c r="AC102" s="171" t="str">
        <f t="shared" si="85"/>
        <v>5.27973260949447-79.033391572326i</v>
      </c>
      <c r="AD102" s="190">
        <f t="shared" si="86"/>
        <v>37.975550746257539</v>
      </c>
      <c r="AE102" s="169">
        <f t="shared" si="87"/>
        <v>-86.178101596515688</v>
      </c>
      <c r="AF102" s="98" t="str">
        <f t="shared" si="72"/>
        <v>-9.95024875621891E-06</v>
      </c>
      <c r="AG102" s="98" t="str">
        <f t="shared" si="73"/>
        <v>0.000435124909372118i</v>
      </c>
      <c r="AH102" s="98">
        <f t="shared" si="88"/>
        <v>4.3512490937211798E-4</v>
      </c>
      <c r="AI102" s="98">
        <f t="shared" si="89"/>
        <v>1.5707963267948966</v>
      </c>
      <c r="AJ102" s="98" t="str">
        <f t="shared" si="74"/>
        <v>1+0.00434255963189775i</v>
      </c>
      <c r="AK102" s="98">
        <f t="shared" si="90"/>
        <v>1.0000094288676267</v>
      </c>
      <c r="AL102" s="98">
        <f t="shared" si="91"/>
        <v>4.3425323351312939E-3</v>
      </c>
      <c r="AM102" s="98" t="str">
        <f t="shared" si="75"/>
        <v>1+4.34690219152965i</v>
      </c>
      <c r="AN102" s="98">
        <f t="shared" si="92"/>
        <v>4.4604437741916749</v>
      </c>
      <c r="AO102" s="98">
        <f t="shared" si="93"/>
        <v>1.3446815109030295</v>
      </c>
      <c r="AP102" s="168" t="str">
        <f t="shared" si="94"/>
        <v>-0.0993019080790934+0.0232987931529609i</v>
      </c>
      <c r="AQ102" s="98">
        <f t="shared" si="95"/>
        <v>-19.82812066416539</v>
      </c>
      <c r="AR102" s="169">
        <f t="shared" si="96"/>
        <v>166.79576658881624</v>
      </c>
      <c r="AS102" s="168" t="str">
        <f t="shared" si="97"/>
        <v>1.31709512015037+7.97117798306567i</v>
      </c>
      <c r="AT102" s="190">
        <f t="shared" si="98"/>
        <v>18.147430082092157</v>
      </c>
      <c r="AU102" s="169">
        <f t="shared" si="99"/>
        <v>80.617664992300604</v>
      </c>
      <c r="AV102" s="225"/>
      <c r="AX102">
        <f t="shared" si="100"/>
        <v>0</v>
      </c>
      <c r="AY102">
        <f t="shared" si="101"/>
        <v>0</v>
      </c>
    </row>
    <row r="103" spans="14:51" x14ac:dyDescent="0.55000000000000004">
      <c r="N103" s="170">
        <v>85</v>
      </c>
      <c r="O103" s="199">
        <f t="shared" si="76"/>
        <v>70.794578438413865</v>
      </c>
      <c r="P103" s="189" t="str">
        <f t="shared" si="67"/>
        <v>1078.86904761905</v>
      </c>
      <c r="Q103" s="160" t="str">
        <f t="shared" si="68"/>
        <v>1+13.9004829710067i</v>
      </c>
      <c r="R103" s="160">
        <f t="shared" si="77"/>
        <v>13.936406524898993</v>
      </c>
      <c r="S103" s="160">
        <f t="shared" si="78"/>
        <v>1.4989801013737467</v>
      </c>
      <c r="T103" s="160" t="str">
        <f t="shared" si="69"/>
        <v>1+0.0000088963091014443i</v>
      </c>
      <c r="U103" s="160">
        <f t="shared" si="79"/>
        <v>1.0000000000395721</v>
      </c>
      <c r="V103" s="160">
        <f t="shared" si="80"/>
        <v>8.8963091012096031E-6</v>
      </c>
      <c r="W103" s="98" t="str">
        <f t="shared" si="70"/>
        <v>1-0.00643416659452858i</v>
      </c>
      <c r="X103" s="160">
        <f t="shared" si="81"/>
        <v>1.0000206990356582</v>
      </c>
      <c r="Y103" s="160">
        <f t="shared" si="82"/>
        <v>-6.4340778084525157E-3</v>
      </c>
      <c r="Z103" s="98" t="str">
        <f t="shared" si="71"/>
        <v>0.999990924631351+0.000511081015011146i</v>
      </c>
      <c r="AA103" s="160">
        <f t="shared" si="83"/>
        <v>0.99999105523442977</v>
      </c>
      <c r="AB103" s="160">
        <f t="shared" si="84"/>
        <v>5.1108560880188802E-4</v>
      </c>
      <c r="AC103" s="171" t="str">
        <f t="shared" si="85"/>
        <v>5.01922464265191-77.253132390624i</v>
      </c>
      <c r="AD103" s="190">
        <f t="shared" si="86"/>
        <v>37.776616027641374</v>
      </c>
      <c r="AE103" s="169">
        <f t="shared" si="87"/>
        <v>-86.282652213680549</v>
      </c>
      <c r="AF103" s="98" t="str">
        <f t="shared" si="72"/>
        <v>-9.95024875621891E-06</v>
      </c>
      <c r="AG103" s="98" t="str">
        <f t="shared" si="73"/>
        <v>0.000445260270527287i</v>
      </c>
      <c r="AH103" s="98">
        <f t="shared" si="88"/>
        <v>4.4526027052728699E-4</v>
      </c>
      <c r="AI103" s="98">
        <f t="shared" si="89"/>
        <v>1.5707963267948966</v>
      </c>
      <c r="AJ103" s="98" t="str">
        <f t="shared" si="74"/>
        <v>1+0.00444371083988227i</v>
      </c>
      <c r="AK103" s="98">
        <f t="shared" si="90"/>
        <v>1.0000098732342739</v>
      </c>
      <c r="AL103" s="98">
        <f t="shared" si="91"/>
        <v>4.4436815908856387E-3</v>
      </c>
      <c r="AM103" s="98" t="str">
        <f t="shared" si="75"/>
        <v>1+4.44815455072215i</v>
      </c>
      <c r="AN103" s="98">
        <f t="shared" si="92"/>
        <v>4.5591752441763163</v>
      </c>
      <c r="AO103" s="98">
        <f t="shared" si="93"/>
        <v>1.3496605162245363</v>
      </c>
      <c r="AP103" s="168" t="str">
        <f t="shared" si="94"/>
        <v>-0.0993018198270725+0.0227883078552567i</v>
      </c>
      <c r="AQ103" s="98">
        <f t="shared" si="95"/>
        <v>-19.837960193267406</v>
      </c>
      <c r="AR103" s="169">
        <f t="shared" si="96"/>
        <v>167.07524715445618</v>
      </c>
      <c r="AS103" s="168" t="str">
        <f t="shared" si="97"/>
        <v>1.26205002256422+7.78575627008216i</v>
      </c>
      <c r="AT103" s="190">
        <f t="shared" si="98"/>
        <v>17.938655834373961</v>
      </c>
      <c r="AU103" s="169">
        <f t="shared" si="99"/>
        <v>80.792594940775643</v>
      </c>
      <c r="AV103" s="225"/>
      <c r="AX103">
        <f t="shared" si="100"/>
        <v>0</v>
      </c>
      <c r="AY103">
        <f t="shared" si="101"/>
        <v>0</v>
      </c>
    </row>
    <row r="104" spans="14:51" x14ac:dyDescent="0.55000000000000004">
      <c r="N104" s="170">
        <v>86</v>
      </c>
      <c r="O104" s="199">
        <f t="shared" si="76"/>
        <v>72.443596007499011</v>
      </c>
      <c r="P104" s="189" t="str">
        <f t="shared" si="67"/>
        <v>1078.86904761905</v>
      </c>
      <c r="Q104" s="160" t="str">
        <f t="shared" si="68"/>
        <v>1+14.2242668135491i</v>
      </c>
      <c r="R104" s="160">
        <f t="shared" si="77"/>
        <v>14.259374684151974</v>
      </c>
      <c r="S104" s="160">
        <f t="shared" si="78"/>
        <v>1.5006094127050829</v>
      </c>
      <c r="T104" s="160" t="str">
        <f t="shared" si="69"/>
        <v>1+9.10353076067142E-06i</v>
      </c>
      <c r="U104" s="160">
        <f t="shared" si="79"/>
        <v>1.0000000000414371</v>
      </c>
      <c r="V104" s="160">
        <f t="shared" si="80"/>
        <v>9.1035307604199377E-6</v>
      </c>
      <c r="W104" s="98" t="str">
        <f t="shared" si="70"/>
        <v>1-0.006584037587348i</v>
      </c>
      <c r="X104" s="160">
        <f t="shared" si="81"/>
        <v>1.000021674540583</v>
      </c>
      <c r="Y104" s="160">
        <f t="shared" si="82"/>
        <v>-6.5839424514648262E-3</v>
      </c>
      <c r="Z104" s="98" t="str">
        <f t="shared" si="71"/>
        <v>0.999990496922404+0.000522985621148639i</v>
      </c>
      <c r="AA104" s="160">
        <f t="shared" si="83"/>
        <v>0.99999063368067431</v>
      </c>
      <c r="AB104" s="160">
        <f t="shared" si="84"/>
        <v>5.2299054348616794E-4</v>
      </c>
      <c r="AC104" s="171" t="str">
        <f t="shared" si="85"/>
        <v>4.77032339920006-75.5121547339042i</v>
      </c>
      <c r="AD104" s="190">
        <f t="shared" si="86"/>
        <v>37.577634669866605</v>
      </c>
      <c r="AE104" s="169">
        <f t="shared" si="87"/>
        <v>-86.385261717608117</v>
      </c>
      <c r="AF104" s="98" t="str">
        <f t="shared" si="72"/>
        <v>-9.95024875621891E-06</v>
      </c>
      <c r="AG104" s="98" t="str">
        <f t="shared" si="73"/>
        <v>0.000455631714571605i</v>
      </c>
      <c r="AH104" s="98">
        <f t="shared" si="88"/>
        <v>4.5563171457160497E-4</v>
      </c>
      <c r="AI104" s="98">
        <f t="shared" si="89"/>
        <v>1.5707963267948966</v>
      </c>
      <c r="AJ104" s="98" t="str">
        <f t="shared" si="74"/>
        <v>1+0.00454721816217354i</v>
      </c>
      <c r="AK104" s="98">
        <f t="shared" si="90"/>
        <v>1.0000103385430645</v>
      </c>
      <c r="AL104" s="98">
        <f t="shared" si="91"/>
        <v>4.5471868213264911E-3</v>
      </c>
      <c r="AM104" s="98" t="str">
        <f t="shared" si="75"/>
        <v>1+4.55176538033571i</v>
      </c>
      <c r="AN104" s="98">
        <f t="shared" si="92"/>
        <v>4.6603184523831302</v>
      </c>
      <c r="AO104" s="98">
        <f t="shared" si="93"/>
        <v>1.3545369798865277</v>
      </c>
      <c r="AP104" s="168" t="str">
        <f t="shared" si="94"/>
        <v>-0.0993017274160299+0.022289905183043i</v>
      </c>
      <c r="AQ104" s="98">
        <f t="shared" si="95"/>
        <v>-19.847378066040015</v>
      </c>
      <c r="AR104" s="169">
        <f t="shared" si="96"/>
        <v>167.34871752837537</v>
      </c>
      <c r="AS104" s="168" t="str">
        <f t="shared" si="97"/>
        <v>1.20945741531232+7.60481746224385i</v>
      </c>
      <c r="AT104" s="190">
        <f t="shared" si="98"/>
        <v>17.730256603826593</v>
      </c>
      <c r="AU104" s="169">
        <f t="shared" si="99"/>
        <v>80.963455810767286</v>
      </c>
      <c r="AV104" s="225"/>
      <c r="AX104">
        <f t="shared" si="100"/>
        <v>0</v>
      </c>
      <c r="AY104">
        <f t="shared" si="101"/>
        <v>0</v>
      </c>
    </row>
    <row r="105" spans="14:51" x14ac:dyDescent="0.55000000000000004">
      <c r="N105" s="170">
        <v>87</v>
      </c>
      <c r="O105" s="199">
        <f t="shared" si="76"/>
        <v>74.131024130091816</v>
      </c>
      <c r="P105" s="189" t="str">
        <f t="shared" si="67"/>
        <v>1078.86904761905</v>
      </c>
      <c r="Q105" s="160" t="str">
        <f t="shared" si="68"/>
        <v>1+14.5555925506365i</v>
      </c>
      <c r="R105" s="160">
        <f t="shared" si="77"/>
        <v>14.58990316966308</v>
      </c>
      <c r="S105" s="160">
        <f t="shared" si="78"/>
        <v>1.5022019971368159</v>
      </c>
      <c r="T105" s="160" t="str">
        <f t="shared" si="69"/>
        <v>1+9.31557923240736E-06i</v>
      </c>
      <c r="U105" s="160">
        <f t="shared" si="79"/>
        <v>1.00000000004339</v>
      </c>
      <c r="V105" s="160">
        <f t="shared" si="80"/>
        <v>9.3155792321378922E-6</v>
      </c>
      <c r="W105" s="98" t="str">
        <f t="shared" si="70"/>
        <v>1-0.0067373995240463i</v>
      </c>
      <c r="X105" s="160">
        <f t="shared" si="81"/>
        <v>1.0000226960186187</v>
      </c>
      <c r="Y105" s="160">
        <f t="shared" si="82"/>
        <v>-6.7372975842358122E-3</v>
      </c>
      <c r="Z105" s="98" t="str">
        <f t="shared" si="71"/>
        <v>0.999990049056155+0.000535167521185i</v>
      </c>
      <c r="AA105" s="160">
        <f t="shared" si="83"/>
        <v>0.99999019225970764</v>
      </c>
      <c r="AB105" s="160">
        <f t="shared" si="84"/>
        <v>5.3517279556700593E-4</v>
      </c>
      <c r="AC105" s="171" t="str">
        <f t="shared" si="85"/>
        <v>4.53251680131652-73.8096464953824i</v>
      </c>
      <c r="AD105" s="190">
        <f t="shared" si="86"/>
        <v>37.378608801455933</v>
      </c>
      <c r="AE105" s="169">
        <f t="shared" si="87"/>
        <v>-86.485982528085813</v>
      </c>
      <c r="AF105" s="98" t="str">
        <f t="shared" si="72"/>
        <v>-9.95024875621891E-06</v>
      </c>
      <c r="AG105" s="98" t="str">
        <f t="shared" si="73"/>
        <v>0.000466244740581989i</v>
      </c>
      <c r="AH105" s="98">
        <f t="shared" si="88"/>
        <v>4.6624474058198901E-4</v>
      </c>
      <c r="AI105" s="98">
        <f t="shared" si="89"/>
        <v>1.5707963267948966</v>
      </c>
      <c r="AJ105" s="98" t="str">
        <f t="shared" si="74"/>
        <v>1+0.00465313647972396i</v>
      </c>
      <c r="AK105" s="98">
        <f t="shared" si="90"/>
        <v>1.0000108257809508</v>
      </c>
      <c r="AL105" s="98">
        <f t="shared" si="91"/>
        <v>4.6531028974209389E-3</v>
      </c>
      <c r="AM105" s="98" t="str">
        <f t="shared" si="75"/>
        <v>1+4.65778961620368i</v>
      </c>
      <c r="AN105" s="98">
        <f t="shared" si="92"/>
        <v>4.7639273828234225</v>
      </c>
      <c r="AO105" s="98">
        <f t="shared" si="93"/>
        <v>1.3593125593375541</v>
      </c>
      <c r="AP105" s="168" t="str">
        <f t="shared" si="94"/>
        <v>-0.0993016306499734+0.0218033208739812i</v>
      </c>
      <c r="AQ105" s="98">
        <f t="shared" si="95"/>
        <v>-19.85639152585167</v>
      </c>
      <c r="AR105" s="169">
        <f t="shared" si="96"/>
        <v>167.61626953150582</v>
      </c>
      <c r="AS105" s="168" t="str">
        <f t="shared" si="97"/>
        <v>1.15920909681481+7.42824217287538i</v>
      </c>
      <c r="AT105" s="190">
        <f t="shared" si="98"/>
        <v>17.522217275604262</v>
      </c>
      <c r="AU105" s="169">
        <f t="shared" si="99"/>
        <v>81.130287003420023</v>
      </c>
      <c r="AV105" s="225"/>
      <c r="AX105">
        <f t="shared" si="100"/>
        <v>0</v>
      </c>
      <c r="AY105">
        <f t="shared" si="101"/>
        <v>0</v>
      </c>
    </row>
    <row r="106" spans="14:51" x14ac:dyDescent="0.55000000000000004">
      <c r="N106" s="170">
        <v>88</v>
      </c>
      <c r="O106" s="199">
        <f t="shared" si="76"/>
        <v>75.857757502918361</v>
      </c>
      <c r="P106" s="189" t="str">
        <f t="shared" si="67"/>
        <v>1078.86904761905</v>
      </c>
      <c r="Q106" s="160" t="str">
        <f t="shared" si="68"/>
        <v>1+14.8946358555603i</v>
      </c>
      <c r="R106" s="160">
        <f t="shared" si="77"/>
        <v>14.928167244164385</v>
      </c>
      <c r="S106" s="160">
        <f t="shared" si="78"/>
        <v>1.5037586667456413</v>
      </c>
      <c r="T106" s="160" t="str">
        <f t="shared" si="69"/>
        <v>1+9.53256694755858E-06i</v>
      </c>
      <c r="U106" s="160">
        <f t="shared" si="79"/>
        <v>1.0000000000454348</v>
      </c>
      <c r="V106" s="160">
        <f t="shared" si="80"/>
        <v>9.5325669472698381E-6</v>
      </c>
      <c r="W106" s="98" t="str">
        <f t="shared" si="70"/>
        <v>1-0.00689433371915227i</v>
      </c>
      <c r="X106" s="160">
        <f t="shared" si="81"/>
        <v>1.0000237656363129</v>
      </c>
      <c r="Y106" s="160">
        <f t="shared" si="82"/>
        <v>-6.8942244888175594E-3</v>
      </c>
      <c r="Z106" s="98" t="str">
        <f t="shared" si="71"/>
        <v>0.99998958008262+0.000547633174124873i</v>
      </c>
      <c r="AA106" s="160">
        <f t="shared" si="83"/>
        <v>0.99998973003521785</v>
      </c>
      <c r="AB106" s="160">
        <f t="shared" si="84"/>
        <v>5.4763882572961503E-4</v>
      </c>
      <c r="AC106" s="171" t="str">
        <f t="shared" si="85"/>
        <v>4.30531492071463-72.1448086753791i</v>
      </c>
      <c r="AD106" s="190">
        <f t="shared" si="86"/>
        <v>37.179540459329779</v>
      </c>
      <c r="AE106" s="169">
        <f t="shared" si="87"/>
        <v>-86.584866194527692</v>
      </c>
      <c r="AF106" s="98" t="str">
        <f t="shared" si="72"/>
        <v>-9.95024875621891E-06</v>
      </c>
      <c r="AG106" s="98" t="str">
        <f t="shared" si="73"/>
        <v>0.000477104975725307i</v>
      </c>
      <c r="AH106" s="98">
        <f t="shared" si="88"/>
        <v>4.7710497572530698E-4</v>
      </c>
      <c r="AI106" s="98">
        <f t="shared" si="89"/>
        <v>1.5707963267948966</v>
      </c>
      <c r="AJ106" s="98" t="str">
        <f t="shared" si="74"/>
        <v>1+0.00476152195182746i</v>
      </c>
      <c r="AK106" s="98">
        <f t="shared" si="90"/>
        <v>1.0000113359813967</v>
      </c>
      <c r="AL106" s="98">
        <f t="shared" si="91"/>
        <v>4.7614859677634902E-3</v>
      </c>
      <c r="AM106" s="98" t="str">
        <f t="shared" si="75"/>
        <v>1+4.76628347377929i</v>
      </c>
      <c r="AN106" s="98">
        <f t="shared" si="92"/>
        <v>4.8700573048396034</v>
      </c>
      <c r="AO106" s="98">
        <f t="shared" si="93"/>
        <v>1.363988914950925</v>
      </c>
      <c r="AP106" s="168" t="str">
        <f t="shared" si="94"/>
        <v>-0.0993015293236756+0.0213282969317969i</v>
      </c>
      <c r="AQ106" s="98">
        <f t="shared" si="95"/>
        <v>-19.865017184652658</v>
      </c>
      <c r="AR106" s="169">
        <f t="shared" si="96"/>
        <v>167.87799507915301</v>
      </c>
      <c r="AS106" s="168" t="str">
        <f t="shared" si="97"/>
        <v>1.11120154566916+7.25591486924302i</v>
      </c>
      <c r="AT106" s="190">
        <f t="shared" si="98"/>
        <v>17.314523274677121</v>
      </c>
      <c r="AU106" s="169">
        <f t="shared" si="99"/>
        <v>81.293128884625332</v>
      </c>
      <c r="AV106" s="225"/>
      <c r="AX106">
        <f t="shared" si="100"/>
        <v>0</v>
      </c>
      <c r="AY106">
        <f t="shared" si="101"/>
        <v>0</v>
      </c>
    </row>
    <row r="107" spans="14:51" x14ac:dyDescent="0.55000000000000004">
      <c r="N107" s="170">
        <v>89</v>
      </c>
      <c r="O107" s="199">
        <f t="shared" si="76"/>
        <v>77.624711662869217</v>
      </c>
      <c r="P107" s="189" t="str">
        <f t="shared" si="67"/>
        <v>1078.86904761905</v>
      </c>
      <c r="Q107" s="160" t="str">
        <f t="shared" si="68"/>
        <v>1+15.2415764935685i</v>
      </c>
      <c r="R107" s="160">
        <f t="shared" si="77"/>
        <v>15.274346271094545</v>
      </c>
      <c r="S107" s="160">
        <f t="shared" si="78"/>
        <v>1.5052802167041925</v>
      </c>
      <c r="T107" s="160" t="str">
        <f t="shared" si="69"/>
        <v>1+9.75460895588384E-06i</v>
      </c>
      <c r="U107" s="160">
        <f t="shared" si="79"/>
        <v>1.0000000000475762</v>
      </c>
      <c r="V107" s="160">
        <f t="shared" si="80"/>
        <v>9.7546089555744494E-6</v>
      </c>
      <c r="W107" s="98" t="str">
        <f t="shared" si="70"/>
        <v>1-0.00705492338125343i</v>
      </c>
      <c r="X107" s="160">
        <f t="shared" si="81"/>
        <v>1.0000248856623095</v>
      </c>
      <c r="Y107" s="160">
        <f t="shared" si="82"/>
        <v>-7.0548063389983765E-3</v>
      </c>
      <c r="Z107" s="98" t="str">
        <f t="shared" si="71"/>
        <v>0.999989089007043+0.000560389189422449i</v>
      </c>
      <c r="AA107" s="160">
        <f t="shared" si="83"/>
        <v>0.99998924602676553</v>
      </c>
      <c r="AB107" s="160">
        <f t="shared" si="84"/>
        <v>5.6039524522895248E-4</v>
      </c>
      <c r="AC107" s="171" t="str">
        <f t="shared" si="85"/>
        <v>4.08824905950753-70.5168554315794i</v>
      </c>
      <c r="AD107" s="190">
        <f t="shared" si="86"/>
        <v>36.980431592882162</v>
      </c>
      <c r="AE107" s="169">
        <f t="shared" si="87"/>
        <v>-86.681963414681789</v>
      </c>
      <c r="AF107" s="98" t="str">
        <f t="shared" si="72"/>
        <v>-9.95024875621891E-06</v>
      </c>
      <c r="AG107" s="98" t="str">
        <f t="shared" si="73"/>
        <v>0.000488218178241986i</v>
      </c>
      <c r="AH107" s="98">
        <f t="shared" si="88"/>
        <v>4.8821817824198601E-4</v>
      </c>
      <c r="AI107" s="98">
        <f t="shared" si="89"/>
        <v>1.5707963267948966</v>
      </c>
      <c r="AJ107" s="98" t="str">
        <f t="shared" si="74"/>
        <v>1+0.00487243204589602i</v>
      </c>
      <c r="AK107" s="98">
        <f t="shared" si="90"/>
        <v>1.0000118702265699</v>
      </c>
      <c r="AL107" s="98">
        <f t="shared" si="91"/>
        <v>4.8723934883015138E-3</v>
      </c>
      <c r="AM107" s="98" t="str">
        <f t="shared" si="75"/>
        <v>1+4.87730447794192i</v>
      </c>
      <c r="AN107" s="98">
        <f t="shared" si="92"/>
        <v>4.9787648036990371</v>
      </c>
      <c r="AO107" s="98">
        <f t="shared" si="93"/>
        <v>1.3685677077001581</v>
      </c>
      <c r="AP107" s="168" t="str">
        <f t="shared" si="94"/>
        <v>-0.099301423222238+0.0208645814894723i</v>
      </c>
      <c r="AQ107" s="98">
        <f t="shared" si="95"/>
        <v>-19.87327104001406</v>
      </c>
      <c r="AR107" s="169">
        <f t="shared" si="96"/>
        <v>168.13398604610606</v>
      </c>
      <c r="AS107" s="168" t="str">
        <f t="shared" si="97"/>
        <v>1.06533572643745+7.08772371116399i</v>
      </c>
      <c r="AT107" s="190">
        <f t="shared" si="98"/>
        <v>17.107160552868098</v>
      </c>
      <c r="AU107" s="169">
        <f t="shared" si="99"/>
        <v>81.452022631424299</v>
      </c>
      <c r="AV107" s="225"/>
      <c r="AX107">
        <f t="shared" si="100"/>
        <v>0</v>
      </c>
      <c r="AY107">
        <f t="shared" si="101"/>
        <v>0</v>
      </c>
    </row>
    <row r="108" spans="14:51" x14ac:dyDescent="0.55000000000000004">
      <c r="N108" s="170">
        <v>90</v>
      </c>
      <c r="O108" s="199">
        <f t="shared" si="76"/>
        <v>79.432823472428197</v>
      </c>
      <c r="P108" s="189" t="str">
        <f t="shared" si="67"/>
        <v>1078.86904761905</v>
      </c>
      <c r="Q108" s="160" t="str">
        <f t="shared" si="68"/>
        <v>1+15.5965984171797i</v>
      </c>
      <c r="R108" s="160">
        <f t="shared" si="77"/>
        <v>15.628623809752808</v>
      </c>
      <c r="S108" s="160">
        <f t="shared" si="78"/>
        <v>1.5067674255620385</v>
      </c>
      <c r="T108" s="160" t="str">
        <f t="shared" si="69"/>
        <v>1+9.98182298699502E-06i</v>
      </c>
      <c r="U108" s="160">
        <f t="shared" si="79"/>
        <v>1.0000000000498184</v>
      </c>
      <c r="V108" s="160">
        <f t="shared" si="80"/>
        <v>9.9818229866635013E-6</v>
      </c>
      <c r="W108" s="98" t="str">
        <f t="shared" si="70"/>
        <v>1-0.00721925365711428i</v>
      </c>
      <c r="X108" s="160">
        <f t="shared" si="81"/>
        <v>1.0000260584721608</v>
      </c>
      <c r="Y108" s="160">
        <f t="shared" si="82"/>
        <v>-7.2191282442549609E-3</v>
      </c>
      <c r="Z108" s="98" t="str">
        <f t="shared" si="71"/>
        <v>0.999988574787787+0.000573442330485884i</v>
      </c>
      <c r="AA108" s="160">
        <f t="shared" si="83"/>
        <v>0.99998873920770526</v>
      </c>
      <c r="AB108" s="160">
        <f t="shared" si="84"/>
        <v>5.7344881940273398E-4</v>
      </c>
      <c r="AC108" s="171" t="str">
        <f t="shared" si="85"/>
        <v>3.88087086575458-68.925014105994i</v>
      </c>
      <c r="AD108" s="190">
        <f t="shared" si="86"/>
        <v>36.781284067891796</v>
      </c>
      <c r="AE108" s="169">
        <f t="shared" si="87"/>
        <v>-86.777324053446279</v>
      </c>
      <c r="AF108" s="98" t="str">
        <f t="shared" si="72"/>
        <v>-9.95024875621891E-06</v>
      </c>
      <c r="AG108" s="98" t="str">
        <f t="shared" si="73"/>
        <v>0.000499590240499101i</v>
      </c>
      <c r="AH108" s="98">
        <f t="shared" si="88"/>
        <v>4.9959024049910095E-4</v>
      </c>
      <c r="AI108" s="98">
        <f t="shared" si="89"/>
        <v>1.5707963267948966</v>
      </c>
      <c r="AJ108" s="98" t="str">
        <f t="shared" si="74"/>
        <v>1+0.00498592556792958i</v>
      </c>
      <c r="AK108" s="98">
        <f t="shared" si="90"/>
        <v>1.0000124296496364</v>
      </c>
      <c r="AL108" s="98">
        <f t="shared" si="91"/>
        <v>4.9858842527504381E-3</v>
      </c>
      <c r="AM108" s="98" t="str">
        <f t="shared" si="75"/>
        <v>1+4.99091149349751i</v>
      </c>
      <c r="AN108" s="98">
        <f t="shared" si="92"/>
        <v>5.0901078118175009</v>
      </c>
      <c r="AO108" s="98">
        <f t="shared" si="93"/>
        <v>1.373050596993461</v>
      </c>
      <c r="AP108" s="168" t="str">
        <f t="shared" si="94"/>
        <v>-0.0993013121206365+0.0204119286756888i</v>
      </c>
      <c r="AQ108" s="98">
        <f t="shared" si="95"/>
        <v>-19.881168492257483</v>
      </c>
      <c r="AR108" s="169">
        <f t="shared" si="96"/>
        <v>168.38433414082007</v>
      </c>
      <c r="AS108" s="168" t="str">
        <f t="shared" si="97"/>
        <v>1.02151690276221+6.92356039796992i</v>
      </c>
      <c r="AT108" s="190">
        <f t="shared" si="98"/>
        <v>16.900115575634306</v>
      </c>
      <c r="AU108" s="169">
        <f t="shared" si="99"/>
        <v>81.607010087373808</v>
      </c>
      <c r="AV108" s="225"/>
      <c r="AX108">
        <f t="shared" si="100"/>
        <v>0</v>
      </c>
      <c r="AY108">
        <f t="shared" si="101"/>
        <v>0</v>
      </c>
    </row>
    <row r="109" spans="14:51" x14ac:dyDescent="0.55000000000000004">
      <c r="N109" s="170">
        <v>91</v>
      </c>
      <c r="O109" s="199">
        <f t="shared" si="76"/>
        <v>81.283051616409963</v>
      </c>
      <c r="P109" s="189" t="str">
        <f t="shared" si="67"/>
        <v>1078.86904761905</v>
      </c>
      <c r="Q109" s="160" t="str">
        <f t="shared" si="68"/>
        <v>1+15.9598898637171i</v>
      </c>
      <c r="R109" s="160">
        <f t="shared" si="77"/>
        <v>15.991187712674122</v>
      </c>
      <c r="S109" s="160">
        <f t="shared" si="78"/>
        <v>1.5082210555270223</v>
      </c>
      <c r="T109" s="160" t="str">
        <f t="shared" si="69"/>
        <v>1+0.0000102143295127789i</v>
      </c>
      <c r="U109" s="160">
        <f t="shared" si="79"/>
        <v>1.0000000000521663</v>
      </c>
      <c r="V109" s="160">
        <f t="shared" si="80"/>
        <v>1.0214329512423672E-5</v>
      </c>
      <c r="W109" s="98" t="str">
        <f t="shared" si="70"/>
        <v>1-0.00738741167682224i</v>
      </c>
      <c r="X109" s="160">
        <f t="shared" si="81"/>
        <v>1.0000272865533635</v>
      </c>
      <c r="Y109" s="160">
        <f t="shared" si="82"/>
        <v>-7.3872772947203898E-3</v>
      </c>
      <c r="Z109" s="98" t="str">
        <f t="shared" si="71"/>
        <v>0.999988036334124+0.000586799518263349i</v>
      </c>
      <c r="AA109" s="160">
        <f t="shared" si="83"/>
        <v>0.9999882085030064</v>
      </c>
      <c r="AB109" s="160">
        <f t="shared" si="84"/>
        <v>5.8680647126669585E-4</v>
      </c>
      <c r="AC109" s="171" t="str">
        <f t="shared" si="85"/>
        <v>3.68275148269823-67.3685252305139i</v>
      </c>
      <c r="AD109" s="190">
        <f t="shared" si="86"/>
        <v>36.582099670275213</v>
      </c>
      <c r="AE109" s="169">
        <f t="shared" si="87"/>
        <v>-86.870997161767789</v>
      </c>
      <c r="AF109" s="98" t="str">
        <f t="shared" si="72"/>
        <v>-9.95024875621891E-06</v>
      </c>
      <c r="AG109" s="98" t="str">
        <f t="shared" si="73"/>
        <v>0.000511227192114586i</v>
      </c>
      <c r="AH109" s="98">
        <f t="shared" si="88"/>
        <v>5.1122719211458602E-4</v>
      </c>
      <c r="AI109" s="98">
        <f t="shared" si="89"/>
        <v>1.5707963267948966</v>
      </c>
      <c r="AJ109" s="98" t="str">
        <f t="shared" si="74"/>
        <v>1+0.00510206269369577i</v>
      </c>
      <c r="AK109" s="98">
        <f t="shared" si="90"/>
        <v>1.0000130154371643</v>
      </c>
      <c r="AL109" s="98">
        <f t="shared" si="91"/>
        <v>5.1020184237148391E-3</v>
      </c>
      <c r="AM109" s="98" t="str">
        <f t="shared" si="75"/>
        <v>1+5.10716475638947i</v>
      </c>
      <c r="AN109" s="98">
        <f t="shared" si="92"/>
        <v>5.2041456406317756</v>
      </c>
      <c r="AO109" s="98">
        <f t="shared" si="93"/>
        <v>1.3774392386607248</v>
      </c>
      <c r="AP109" s="168" t="str">
        <f t="shared" si="94"/>
        <v>-0.0993011957832445+0.0199700984844474i</v>
      </c>
      <c r="AQ109" s="98">
        <f t="shared" si="95"/>
        <v>-19.8887243616138</v>
      </c>
      <c r="AR109" s="169">
        <f t="shared" si="96"/>
        <v>168.62913078829598</v>
      </c>
      <c r="AS109" s="168" t="str">
        <f t="shared" si="97"/>
        <v>0.979654457600891+6.76332002334694i</v>
      </c>
      <c r="AT109" s="190">
        <f t="shared" si="98"/>
        <v>16.693375308661416</v>
      </c>
      <c r="AU109" s="169">
        <f t="shared" si="99"/>
        <v>81.758133626528206</v>
      </c>
      <c r="AV109" s="225"/>
      <c r="AX109">
        <f t="shared" si="100"/>
        <v>0</v>
      </c>
      <c r="AY109">
        <f t="shared" si="101"/>
        <v>0</v>
      </c>
    </row>
    <row r="110" spans="14:51" x14ac:dyDescent="0.55000000000000004">
      <c r="N110" s="170">
        <v>92</v>
      </c>
      <c r="O110" s="199">
        <f t="shared" si="76"/>
        <v>83.176377110267126</v>
      </c>
      <c r="P110" s="189" t="str">
        <f t="shared" si="67"/>
        <v>1078.86904761905</v>
      </c>
      <c r="Q110" s="160" t="str">
        <f t="shared" si="68"/>
        <v>1+16.3316434551143i</v>
      </c>
      <c r="R110" s="160">
        <f t="shared" si="77"/>
        <v>16.36223022527729</v>
      </c>
      <c r="S110" s="160">
        <f t="shared" si="78"/>
        <v>1.5096418527465088</v>
      </c>
      <c r="T110" s="160" t="str">
        <f t="shared" si="69"/>
        <v>1+0.0000104522518112732i</v>
      </c>
      <c r="U110" s="160">
        <f t="shared" si="79"/>
        <v>1.0000000000546247</v>
      </c>
      <c r="V110" s="160">
        <f t="shared" si="80"/>
        <v>1.0452251810892566E-5</v>
      </c>
      <c r="W110" s="98" t="str">
        <f t="shared" si="70"/>
        <v>1-0.00755948659998522i</v>
      </c>
      <c r="X110" s="160">
        <f t="shared" si="81"/>
        <v>1.0000285725106335</v>
      </c>
      <c r="Y110" s="160">
        <f t="shared" si="82"/>
        <v>-7.5593426071910077E-3</v>
      </c>
      <c r="Z110" s="98" t="str">
        <f t="shared" si="71"/>
        <v>0.999987472503922+0.000600467834912607i</v>
      </c>
      <c r="AA110" s="160">
        <f t="shared" si="83"/>
        <v>0.99998765278697455</v>
      </c>
      <c r="AB110" s="160">
        <f t="shared" si="84"/>
        <v>6.0047528519404259E-4</v>
      </c>
      <c r="AC110" s="171" t="str">
        <f t="shared" si="85"/>
        <v>3.4934807306952-65.8466425128292i</v>
      </c>
      <c r="AD110" s="190">
        <f t="shared" si="86"/>
        <v>36.382880109688365</v>
      </c>
      <c r="AE110" s="169">
        <f t="shared" si="87"/>
        <v>-86.963030995598885</v>
      </c>
      <c r="AF110" s="98" t="str">
        <f t="shared" si="72"/>
        <v>-9.95024875621891E-06</v>
      </c>
      <c r="AG110" s="98" t="str">
        <f t="shared" si="73"/>
        <v>0.000523135203154223i</v>
      </c>
      <c r="AH110" s="98">
        <f t="shared" si="88"/>
        <v>5.2313520315422303E-4</v>
      </c>
      <c r="AI110" s="98">
        <f t="shared" si="89"/>
        <v>1.5707963267948966</v>
      </c>
      <c r="AJ110" s="98" t="str">
        <f t="shared" si="74"/>
        <v>1+0.00522090500063595i</v>
      </c>
      <c r="AK110" s="98">
        <f t="shared" si="90"/>
        <v>1.0000136288316404</v>
      </c>
      <c r="AL110" s="98">
        <f t="shared" si="91"/>
        <v>5.2208575645316564E-3</v>
      </c>
      <c r="AM110" s="98" t="str">
        <f t="shared" si="75"/>
        <v>1+5.22612590563659i</v>
      </c>
      <c r="AN110" s="98">
        <f t="shared" si="92"/>
        <v>5.3209390131409959</v>
      </c>
      <c r="AO110" s="98">
        <f t="shared" si="93"/>
        <v>1.3817352830864666</v>
      </c>
      <c r="AP110" s="168" t="str">
        <f t="shared" si="94"/>
        <v>-0.0993010739633322+0.0195388566477971i</v>
      </c>
      <c r="AQ110" s="98">
        <f t="shared" si="95"/>
        <v>-19.895952905354893</v>
      </c>
      <c r="AR110" s="169">
        <f t="shared" si="96"/>
        <v>168.86846702128202</v>
      </c>
      <c r="AS110" s="168" t="str">
        <f t="shared" si="97"/>
        <v>0.939661720368672+6.60690093760244i</v>
      </c>
      <c r="AT110" s="190">
        <f t="shared" si="98"/>
        <v>16.486927204333476</v>
      </c>
      <c r="AU110" s="169">
        <f t="shared" si="99"/>
        <v>81.90543602568313</v>
      </c>
      <c r="AV110" s="225"/>
      <c r="AX110">
        <f t="shared" si="100"/>
        <v>0</v>
      </c>
      <c r="AY110">
        <f t="shared" si="101"/>
        <v>0</v>
      </c>
    </row>
    <row r="111" spans="14:51" x14ac:dyDescent="0.55000000000000004">
      <c r="N111" s="170">
        <v>93</v>
      </c>
      <c r="O111" s="199">
        <f t="shared" si="76"/>
        <v>85.113803820237734</v>
      </c>
      <c r="P111" s="189" t="str">
        <f t="shared" si="67"/>
        <v>1078.86904761905</v>
      </c>
      <c r="Q111" s="160" t="str">
        <f t="shared" si="68"/>
        <v>1+16.7120563000464i</v>
      </c>
      <c r="R111" s="160">
        <f t="shared" si="77"/>
        <v>16.741948087839734</v>
      </c>
      <c r="S111" s="160">
        <f t="shared" si="78"/>
        <v>1.511030547588134</v>
      </c>
      <c r="T111" s="160" t="str">
        <f t="shared" si="69"/>
        <v>1+0.0000106957160320297i</v>
      </c>
      <c r="U111" s="160">
        <f t="shared" si="79"/>
        <v>1.0000000000571991</v>
      </c>
      <c r="V111" s="160">
        <f t="shared" si="80"/>
        <v>1.0695716031621841E-5</v>
      </c>
      <c r="W111" s="98" t="str">
        <f t="shared" si="70"/>
        <v>1-0.00773556966300515i</v>
      </c>
      <c r="X111" s="160">
        <f t="shared" si="81"/>
        <v>1.0000299190714301</v>
      </c>
      <c r="Y111" s="160">
        <f t="shared" si="82"/>
        <v>-7.7354153721956465E-3</v>
      </c>
      <c r="Z111" s="98" t="str">
        <f t="shared" si="71"/>
        <v>0.999986882101221+0.000614454527556069i</v>
      </c>
      <c r="AA111" s="160">
        <f t="shared" si="83"/>
        <v>0.99998707088086269</v>
      </c>
      <c r="AB111" s="160">
        <f t="shared" si="84"/>
        <v>6.1446251068107964E-4</v>
      </c>
      <c r="AC111" s="171" t="str">
        <f t="shared" si="85"/>
        <v>3.31266632084793-64.3586328043617i</v>
      </c>
      <c r="AD111" s="190">
        <f t="shared" si="86"/>
        <v>36.183627022982286</v>
      </c>
      <c r="AE111" s="169">
        <f t="shared" si="87"/>
        <v>-87.053473034892761</v>
      </c>
      <c r="AF111" s="98" t="str">
        <f t="shared" si="72"/>
        <v>-9.95024875621891E-06</v>
      </c>
      <c r="AG111" s="98" t="str">
        <f t="shared" si="73"/>
        <v>0.000535320587403085i</v>
      </c>
      <c r="AH111" s="98">
        <f t="shared" si="88"/>
        <v>5.3532058740308499E-4</v>
      </c>
      <c r="AI111" s="98">
        <f t="shared" si="89"/>
        <v>1.5707963267948966</v>
      </c>
      <c r="AJ111" s="98" t="str">
        <f t="shared" si="74"/>
        <v>1+0.00534251550051433i</v>
      </c>
      <c r="AK111" s="98">
        <f t="shared" si="90"/>
        <v>1.000014271134104</v>
      </c>
      <c r="AL111" s="98">
        <f t="shared" si="91"/>
        <v>5.3424646718519906E-3</v>
      </c>
      <c r="AM111" s="98" t="str">
        <f t="shared" si="75"/>
        <v>1+5.34785801601484i</v>
      </c>
      <c r="AN111" s="98">
        <f t="shared" si="92"/>
        <v>5.4405500971367022</v>
      </c>
      <c r="AO111" s="98">
        <f t="shared" si="93"/>
        <v>1.3859403734821918</v>
      </c>
      <c r="AP111" s="168" t="str">
        <f t="shared" si="94"/>
        <v>-0.0993009464025448+0.0191179745116064i</v>
      </c>
      <c r="AQ111" s="98">
        <f t="shared" si="95"/>
        <v>-19.902867834847505</v>
      </c>
      <c r="AR111" s="169">
        <f t="shared" si="96"/>
        <v>169.10243337941975</v>
      </c>
      <c r="AS111" s="168" t="str">
        <f t="shared" si="97"/>
        <v>0.901455800779587+6.45420461693441i</v>
      </c>
      <c r="AT111" s="190">
        <f t="shared" si="98"/>
        <v>16.280759188134773</v>
      </c>
      <c r="AU111" s="169">
        <f t="shared" si="99"/>
        <v>82.048960344527003</v>
      </c>
      <c r="AV111" s="225"/>
      <c r="AX111">
        <f t="shared" si="100"/>
        <v>0</v>
      </c>
      <c r="AY111">
        <f t="shared" si="101"/>
        <v>0</v>
      </c>
    </row>
    <row r="112" spans="14:51" x14ac:dyDescent="0.55000000000000004">
      <c r="N112" s="170">
        <v>94</v>
      </c>
      <c r="O112" s="199">
        <f t="shared" si="76"/>
        <v>87.096358995608071</v>
      </c>
      <c r="P112" s="189" t="str">
        <f t="shared" si="67"/>
        <v>1078.86904761905</v>
      </c>
      <c r="Q112" s="160" t="str">
        <f t="shared" si="68"/>
        <v>1+17.1013300984388i</v>
      </c>
      <c r="R112" s="160">
        <f t="shared" si="77"/>
        <v>17.130542639851456</v>
      </c>
      <c r="S112" s="160">
        <f t="shared" si="78"/>
        <v>1.5123878549196943</v>
      </c>
      <c r="T112" s="160" t="str">
        <f t="shared" si="69"/>
        <v>1+0.0000109448512630009i</v>
      </c>
      <c r="U112" s="160">
        <f t="shared" si="79"/>
        <v>1.0000000000598948</v>
      </c>
      <c r="V112" s="160">
        <f t="shared" si="80"/>
        <v>1.0944851262563873E-5</v>
      </c>
      <c r="W112" s="98" t="str">
        <f t="shared" si="70"/>
        <v>1-0.00791575422745275i</v>
      </c>
      <c r="X112" s="160">
        <f t="shared" si="81"/>
        <v>1.0000313290917386</v>
      </c>
      <c r="Y112" s="160">
        <f t="shared" si="82"/>
        <v>-7.9155889021514745E-3</v>
      </c>
      <c r="Z112" s="98" t="str">
        <f t="shared" si="71"/>
        <v>0.999986263873698+0.000628767012123305i</v>
      </c>
      <c r="AA112" s="160">
        <f t="shared" si="83"/>
        <v>0.99998646155037152</v>
      </c>
      <c r="AB112" s="160">
        <f t="shared" si="84"/>
        <v>6.2877556620105689E-4</v>
      </c>
      <c r="AC112" s="171" t="str">
        <f t="shared" si="85"/>
        <v>3.13993309934704-62.9037760517682i</v>
      </c>
      <c r="AD112" s="190">
        <f t="shared" si="86"/>
        <v>35.984341977520046</v>
      </c>
      <c r="AE112" s="169">
        <f t="shared" si="87"/>
        <v>-87.142370002615735</v>
      </c>
      <c r="AF112" s="98" t="str">
        <f t="shared" si="72"/>
        <v>-9.95024875621891E-06</v>
      </c>
      <c r="AG112" s="98" t="str">
        <f t="shared" si="73"/>
        <v>0.000547789805713193i</v>
      </c>
      <c r="AH112" s="98">
        <f t="shared" si="88"/>
        <v>5.4778980571319302E-4</v>
      </c>
      <c r="AI112" s="98">
        <f t="shared" si="89"/>
        <v>1.5707963267948966</v>
      </c>
      <c r="AJ112" s="98" t="str">
        <f t="shared" si="74"/>
        <v>1+0.0054669586728276i</v>
      </c>
      <c r="AK112" s="98">
        <f t="shared" si="90"/>
        <v>1.0000149437069079</v>
      </c>
      <c r="AL112" s="98">
        <f t="shared" si="91"/>
        <v>5.4669042089786008E-3</v>
      </c>
      <c r="AM112" s="98" t="str">
        <f t="shared" si="75"/>
        <v>1+5.47242563150043i</v>
      </c>
      <c r="AN112" s="98">
        <f t="shared" si="92"/>
        <v>5.5630425391419465</v>
      </c>
      <c r="AO112" s="98">
        <f t="shared" si="93"/>
        <v>1.3900561442916941</v>
      </c>
      <c r="AP112" s="168" t="str">
        <f t="shared" si="94"/>
        <v>-0.0993008128303538+0.0187072289143071i</v>
      </c>
      <c r="AQ112" s="98">
        <f t="shared" si="95"/>
        <v>-19.909482332484547</v>
      </c>
      <c r="AR112" s="169">
        <f t="shared" si="96"/>
        <v>169.33111981596545</v>
      </c>
      <c r="AS112" s="168" t="str">
        <f t="shared" si="97"/>
        <v>0.864957429176644+6.30513553930422i</v>
      </c>
      <c r="AT112" s="190">
        <f t="shared" si="98"/>
        <v>16.074859645035499</v>
      </c>
      <c r="AU112" s="169">
        <f t="shared" si="99"/>
        <v>82.188749813349716</v>
      </c>
      <c r="AV112" s="225"/>
      <c r="AX112">
        <f t="shared" si="100"/>
        <v>0</v>
      </c>
      <c r="AY112">
        <f t="shared" si="101"/>
        <v>0</v>
      </c>
    </row>
    <row r="113" spans="14:51" x14ac:dyDescent="0.55000000000000004">
      <c r="N113" s="170">
        <v>95</v>
      </c>
      <c r="O113" s="199">
        <f t="shared" si="76"/>
        <v>89.125093813374562</v>
      </c>
      <c r="P113" s="189" t="str">
        <f t="shared" si="67"/>
        <v>1078.86904761905</v>
      </c>
      <c r="Q113" s="160" t="str">
        <f t="shared" si="68"/>
        <v>1+17.4996712484124i</v>
      </c>
      <c r="R113" s="160">
        <f t="shared" si="77"/>
        <v>17.528219926806933</v>
      </c>
      <c r="S113" s="160">
        <f t="shared" si="78"/>
        <v>1.5137144743878397</v>
      </c>
      <c r="T113" s="160" t="str">
        <f t="shared" si="69"/>
        <v>1+0.0000111997895989839i</v>
      </c>
      <c r="U113" s="160">
        <f t="shared" si="79"/>
        <v>1.0000000000627176</v>
      </c>
      <c r="V113" s="160">
        <f t="shared" si="80"/>
        <v>1.1199789598515617E-5</v>
      </c>
      <c r="W113" s="98" t="str">
        <f t="shared" si="70"/>
        <v>1-0.00810013582956915i</v>
      </c>
      <c r="X113" s="160">
        <f t="shared" si="81"/>
        <v>1.0000328055621261</v>
      </c>
      <c r="Y113" s="160">
        <f t="shared" si="82"/>
        <v>-8.0999586806310506E-3</v>
      </c>
      <c r="Z113" s="98" t="str">
        <f t="shared" si="71"/>
        <v>0.99998561651001+0.000643412877283086i</v>
      </c>
      <c r="AA113" s="160">
        <f t="shared" si="83"/>
        <v>0.99998582350303122</v>
      </c>
      <c r="AB113" s="160">
        <f t="shared" si="84"/>
        <v>6.4342204314835516E-4</v>
      </c>
      <c r="AC113" s="171" t="str">
        <f t="shared" si="85"/>
        <v>2.9749223215417-61.4813652334412i</v>
      </c>
      <c r="AD113" s="190">
        <f t="shared" si="86"/>
        <v>35.785026474358716</v>
      </c>
      <c r="AE113" s="169">
        <f t="shared" si="87"/>
        <v>-87.229767883760132</v>
      </c>
      <c r="AF113" s="98" t="str">
        <f t="shared" si="72"/>
        <v>-9.95024875621891E-06</v>
      </c>
      <c r="AG113" s="98" t="str">
        <f t="shared" si="73"/>
        <v>0.000560549469429147i</v>
      </c>
      <c r="AH113" s="98">
        <f t="shared" si="88"/>
        <v>5.6054946942914695E-4</v>
      </c>
      <c r="AI113" s="98">
        <f t="shared" si="89"/>
        <v>1.5707963267948966</v>
      </c>
      <c r="AJ113" s="98" t="str">
        <f t="shared" si="74"/>
        <v>1+0.00559430049899298i</v>
      </c>
      <c r="AK113" s="98">
        <f t="shared" si="90"/>
        <v>1.0000156479766069</v>
      </c>
      <c r="AL113" s="98">
        <f t="shared" si="91"/>
        <v>5.5942421399766597E-3</v>
      </c>
      <c r="AM113" s="98" t="str">
        <f t="shared" si="75"/>
        <v>1+5.59989479949197i</v>
      </c>
      <c r="AN113" s="98">
        <f t="shared" si="92"/>
        <v>5.6884814990801553</v>
      </c>
      <c r="AO113" s="98">
        <f t="shared" si="93"/>
        <v>1.3940842197229049</v>
      </c>
      <c r="AP113" s="168" t="str">
        <f t="shared" si="94"/>
        <v>-0.0993006729634844+0.0183064020685517i</v>
      </c>
      <c r="AQ113" s="98">
        <f t="shared" si="95"/>
        <v>-19.915809068453122</v>
      </c>
      <c r="AR113" s="169">
        <f t="shared" si="96"/>
        <v>169.55461561171609</v>
      </c>
      <c r="AS113" s="168" t="str">
        <f t="shared" si="97"/>
        <v>0.830090803143668+6.15960106653534i</v>
      </c>
      <c r="AT113" s="190">
        <f t="shared" si="98"/>
        <v>15.869217405905598</v>
      </c>
      <c r="AU113" s="169">
        <f t="shared" si="99"/>
        <v>82.324847727955955</v>
      </c>
      <c r="AV113" s="225"/>
      <c r="AX113">
        <f t="shared" si="100"/>
        <v>0</v>
      </c>
      <c r="AY113">
        <f t="shared" si="101"/>
        <v>0</v>
      </c>
    </row>
    <row r="114" spans="14:51" x14ac:dyDescent="0.55000000000000004">
      <c r="N114" s="170">
        <v>96</v>
      </c>
      <c r="O114" s="199">
        <f t="shared" si="76"/>
        <v>91.201083935590972</v>
      </c>
      <c r="P114" s="189" t="str">
        <f t="shared" si="67"/>
        <v>1078.86904761905</v>
      </c>
      <c r="Q114" s="160" t="str">
        <f t="shared" si="68"/>
        <v>1+17.9072909557174i</v>
      </c>
      <c r="R114" s="160">
        <f t="shared" si="77"/>
        <v>17.935190809487313</v>
      </c>
      <c r="S114" s="160">
        <f t="shared" si="78"/>
        <v>1.5150110906952607</v>
      </c>
      <c r="T114" s="160" t="str">
        <f t="shared" si="69"/>
        <v>1+0.0000114606662116591i</v>
      </c>
      <c r="U114" s="160">
        <f t="shared" si="79"/>
        <v>1.0000000000656735</v>
      </c>
      <c r="V114" s="160">
        <f t="shared" si="80"/>
        <v>1.1460666211157327E-5</v>
      </c>
      <c r="W114" s="98" t="str">
        <f t="shared" si="70"/>
        <v>1-0.00828881223092036i</v>
      </c>
      <c r="X114" s="160">
        <f t="shared" si="81"/>
        <v>1.0000343516140831</v>
      </c>
      <c r="Y114" s="160">
        <f t="shared" si="82"/>
        <v>-8.2886224127654388E-3</v>
      </c>
      <c r="Z114" s="98" t="str">
        <f t="shared" si="71"/>
        <v>0.99998493863701+0.000658399888466979i</v>
      </c>
      <c r="AA114" s="160">
        <f t="shared" si="83"/>
        <v>0.99998515538545751</v>
      </c>
      <c r="AB114" s="160">
        <f t="shared" si="84"/>
        <v>6.5840970987509457E-4</v>
      </c>
      <c r="AC114" s="171" t="str">
        <f t="shared" si="85"/>
        <v>2.81729095476809-60.0907062823736i</v>
      </c>
      <c r="AD114" s="190">
        <f t="shared" si="86"/>
        <v>35.585681951304096</v>
      </c>
      <c r="AE114" s="169">
        <f t="shared" si="87"/>
        <v>-87.31571194434099</v>
      </c>
      <c r="AF114" s="98" t="str">
        <f t="shared" si="72"/>
        <v>-9.95024875621891E-06</v>
      </c>
      <c r="AG114" s="98" t="str">
        <f t="shared" si="73"/>
        <v>0.00057360634389354i</v>
      </c>
      <c r="AH114" s="98">
        <f t="shared" si="88"/>
        <v>5.7360634389354E-4</v>
      </c>
      <c r="AI114" s="98">
        <f t="shared" si="89"/>
        <v>1.5707963267948966</v>
      </c>
      <c r="AJ114" s="98" t="str">
        <f t="shared" si="74"/>
        <v>1+0.00572460849733224i</v>
      </c>
      <c r="AK114" s="98">
        <f t="shared" si="90"/>
        <v>1.0000163854369826</v>
      </c>
      <c r="AL114" s="98">
        <f t="shared" si="91"/>
        <v>5.7245459645749557E-3</v>
      </c>
      <c r="AM114" s="98" t="str">
        <f t="shared" si="75"/>
        <v>1+5.73033310582957i</v>
      </c>
      <c r="AN114" s="98">
        <f t="shared" si="92"/>
        <v>5.8169336856944103</v>
      </c>
      <c r="AO114" s="98">
        <f t="shared" si="93"/>
        <v>1.3980262123999938</v>
      </c>
      <c r="AP114" s="168" t="str">
        <f t="shared" si="94"/>
        <v>-0.0993005265053152+0.0179152814457177i</v>
      </c>
      <c r="AQ114" s="98">
        <f t="shared" si="95"/>
        <v>-19.921860217304005</v>
      </c>
      <c r="AR114" s="169">
        <f t="shared" si="96"/>
        <v>169.77300929578089</v>
      </c>
      <c r="AS114" s="168" t="str">
        <f t="shared" si="97"/>
        <v>0.796783440193546+6.0175113322851i</v>
      </c>
      <c r="AT114" s="190">
        <f t="shared" si="98"/>
        <v>15.663821734000097</v>
      </c>
      <c r="AU114" s="169">
        <f t="shared" si="99"/>
        <v>82.457297351439919</v>
      </c>
      <c r="AV114" s="225"/>
      <c r="AX114">
        <f t="shared" si="100"/>
        <v>0</v>
      </c>
      <c r="AY114">
        <f t="shared" si="101"/>
        <v>0</v>
      </c>
    </row>
    <row r="115" spans="14:51" x14ac:dyDescent="0.55000000000000004">
      <c r="N115" s="170">
        <v>97</v>
      </c>
      <c r="O115" s="199">
        <f t="shared" si="76"/>
        <v>93.325430079699174</v>
      </c>
      <c r="P115" s="189" t="str">
        <f t="shared" si="67"/>
        <v>1078.86904761905</v>
      </c>
      <c r="Q115" s="160" t="str">
        <f t="shared" si="68"/>
        <v>1+18.3244053457182i</v>
      </c>
      <c r="R115" s="160">
        <f t="shared" si="77"/>
        <v>18.351671075795409</v>
      </c>
      <c r="S115" s="160">
        <f t="shared" si="78"/>
        <v>1.5162783738761003</v>
      </c>
      <c r="T115" s="160" t="str">
        <f t="shared" si="69"/>
        <v>1+0.0000117276194212596i</v>
      </c>
      <c r="U115" s="160">
        <f t="shared" si="79"/>
        <v>1.0000000000687685</v>
      </c>
      <c r="V115" s="160">
        <f t="shared" si="80"/>
        <v>1.1727619420721939E-5</v>
      </c>
      <c r="W115" s="98" t="str">
        <f t="shared" si="70"/>
        <v>1-0.00848188347023183i</v>
      </c>
      <c r="X115" s="160">
        <f t="shared" si="81"/>
        <v>1.0000359705266619</v>
      </c>
      <c r="Y115" s="160">
        <f t="shared" si="82"/>
        <v>-8.4816800768094686E-3</v>
      </c>
      <c r="Z115" s="98" t="str">
        <f t="shared" si="71"/>
        <v>0.999984228816841+0.000673735991986691i</v>
      </c>
      <c r="AA115" s="160">
        <f t="shared" si="83"/>
        <v>0.99998445578048822</v>
      </c>
      <c r="AB115" s="160">
        <f t="shared" si="84"/>
        <v>6.737465158224179E-4</v>
      </c>
      <c r="AC115" s="171" t="str">
        <f t="shared" si="85"/>
        <v>2.66671100897559-58.7311179966273i</v>
      </c>
      <c r="AD115" s="190">
        <f t="shared" si="86"/>
        <v>35.386309785841597</v>
      </c>
      <c r="AE115" s="169">
        <f t="shared" si="87"/>
        <v>-87.400246750363138</v>
      </c>
      <c r="AF115" s="98" t="str">
        <f t="shared" si="72"/>
        <v>-9.95024875621891E-06</v>
      </c>
      <c r="AG115" s="98" t="str">
        <f t="shared" si="73"/>
        <v>0.000586967352034045i</v>
      </c>
      <c r="AH115" s="98">
        <f t="shared" si="88"/>
        <v>5.8696735203404501E-4</v>
      </c>
      <c r="AI115" s="98">
        <f t="shared" si="89"/>
        <v>1.5707963267948966</v>
      </c>
      <c r="AJ115" s="98" t="str">
        <f t="shared" si="74"/>
        <v>1+0.00585795175887095i</v>
      </c>
      <c r="AK115" s="98">
        <f t="shared" si="90"/>
        <v>1.0000171576522121</v>
      </c>
      <c r="AL115" s="98">
        <f t="shared" si="91"/>
        <v>5.8578847538764004E-3</v>
      </c>
      <c r="AM115" s="98" t="str">
        <f t="shared" si="75"/>
        <v>1+5.86380971062982i</v>
      </c>
      <c r="AN115" s="98">
        <f t="shared" si="92"/>
        <v>5.9484673927387863</v>
      </c>
      <c r="AO115" s="98">
        <f t="shared" si="93"/>
        <v>1.4018837221295797</v>
      </c>
      <c r="AP115" s="168" t="str">
        <f t="shared" si="94"/>
        <v>-0.0993003731452479+0.0175336596631982i</v>
      </c>
      <c r="AQ115" s="98">
        <f t="shared" si="95"/>
        <v>-19.927647474291287</v>
      </c>
      <c r="AR115" s="169">
        <f t="shared" si="96"/>
        <v>169.98638857284439</v>
      </c>
      <c r="AS115" s="168" t="str">
        <f t="shared" si="97"/>
        <v>0.764966036330181+5.87877913555416i</v>
      </c>
      <c r="AT115" s="190">
        <f t="shared" si="98"/>
        <v>15.458662311550311</v>
      </c>
      <c r="AU115" s="169">
        <f t="shared" si="99"/>
        <v>82.586141822481267</v>
      </c>
      <c r="AV115" s="225"/>
      <c r="AX115">
        <f t="shared" si="100"/>
        <v>0</v>
      </c>
      <c r="AY115">
        <f t="shared" si="101"/>
        <v>0</v>
      </c>
    </row>
    <row r="116" spans="14:51" x14ac:dyDescent="0.55000000000000004">
      <c r="N116" s="170">
        <v>98</v>
      </c>
      <c r="O116" s="199">
        <f t="shared" si="76"/>
        <v>95.499258602143655</v>
      </c>
      <c r="P116" s="189" t="str">
        <f t="shared" si="67"/>
        <v>1078.86904761905</v>
      </c>
      <c r="Q116" s="160" t="str">
        <f t="shared" si="68"/>
        <v>1+18.7512355779854i</v>
      </c>
      <c r="R116" s="160">
        <f t="shared" si="77"/>
        <v>18.777881555199606</v>
      </c>
      <c r="S116" s="160">
        <f t="shared" si="78"/>
        <v>1.51751697956933</v>
      </c>
      <c r="T116" s="160" t="str">
        <f t="shared" si="69"/>
        <v>1+0.0000120007907699107i</v>
      </c>
      <c r="U116" s="160">
        <f t="shared" si="79"/>
        <v>1.0000000000720095</v>
      </c>
      <c r="V116" s="160">
        <f t="shared" si="80"/>
        <v>1.2000790769334586E-5</v>
      </c>
      <c r="W116" s="98" t="str">
        <f t="shared" si="70"/>
        <v>1-0.00867945191643019i</v>
      </c>
      <c r="X116" s="160">
        <f t="shared" si="81"/>
        <v>1.0000376657334311</v>
      </c>
      <c r="Y116" s="160">
        <f t="shared" si="82"/>
        <v>-8.679233976894905E-3</v>
      </c>
      <c r="Z116" s="98" t="str">
        <f t="shared" si="71"/>
        <v>0.999983485543878+0.000689429319247303i</v>
      </c>
      <c r="AA116" s="160">
        <f t="shared" si="83"/>
        <v>0.99998372320416762</v>
      </c>
      <c r="AB116" s="160">
        <f t="shared" si="84"/>
        <v>6.8944059574867005E-4</v>
      </c>
      <c r="AC116" s="171" t="str">
        <f t="shared" si="85"/>
        <v>2.52286889420835-57.401931938593i</v>
      </c>
      <c r="AD116" s="190">
        <f t="shared" si="86"/>
        <v>35.186911297950445</v>
      </c>
      <c r="AE116" s="169">
        <f t="shared" si="87"/>
        <v>-87.483416186745089</v>
      </c>
      <c r="AF116" s="98" t="str">
        <f t="shared" si="72"/>
        <v>-9.95024875621891E-06</v>
      </c>
      <c r="AG116" s="98" t="str">
        <f t="shared" si="73"/>
        <v>0.000600639578034028i</v>
      </c>
      <c r="AH116" s="98">
        <f t="shared" si="88"/>
        <v>6.0063957803402801E-4</v>
      </c>
      <c r="AI116" s="98">
        <f t="shared" si="89"/>
        <v>1.5707963267948966</v>
      </c>
      <c r="AJ116" s="98" t="str">
        <f t="shared" si="74"/>
        <v>1+0.00599440098397136i</v>
      </c>
      <c r="AK116" s="98">
        <f t="shared" si="90"/>
        <v>1.0000179662601851</v>
      </c>
      <c r="AL116" s="98">
        <f t="shared" si="91"/>
        <v>5.9943291868958188E-3</v>
      </c>
      <c r="AM116" s="98" t="str">
        <f t="shared" si="75"/>
        <v>1+6.00039538495533i</v>
      </c>
      <c r="AN116" s="98">
        <f t="shared" si="92"/>
        <v>6.0831525359630119</v>
      </c>
      <c r="AO116" s="98">
        <f t="shared" si="93"/>
        <v>1.4056583347750333</v>
      </c>
      <c r="AP116" s="168" t="str">
        <f t="shared" si="94"/>
        <v>-0.0993002125580512+0.0171613343744198i</v>
      </c>
      <c r="AQ116" s="98">
        <f t="shared" si="95"/>
        <v>-19.933182071454421</v>
      </c>
      <c r="AR116" s="169">
        <f t="shared" si="96"/>
        <v>170.19484025657556</v>
      </c>
      <c r="AS116" s="168" t="str">
        <f t="shared" si="97"/>
        <v>0.734572330284897+5.74331983942141i</v>
      </c>
      <c r="AT116" s="190">
        <f t="shared" si="98"/>
        <v>15.253729226496036</v>
      </c>
      <c r="AU116" s="169">
        <f t="shared" si="99"/>
        <v>82.711424069830485</v>
      </c>
      <c r="AV116" s="225"/>
      <c r="AX116">
        <f t="shared" si="100"/>
        <v>0</v>
      </c>
      <c r="AY116">
        <f t="shared" si="101"/>
        <v>0</v>
      </c>
    </row>
    <row r="117" spans="14:51" x14ac:dyDescent="0.55000000000000004">
      <c r="N117" s="170">
        <v>99</v>
      </c>
      <c r="O117" s="199">
        <f t="shared" si="76"/>
        <v>97.723722095581124</v>
      </c>
      <c r="P117" s="189" t="str">
        <f t="shared" si="67"/>
        <v>1078.86904761905</v>
      </c>
      <c r="Q117" s="160" t="str">
        <f t="shared" si="68"/>
        <v>1+19.188007963558i</v>
      </c>
      <c r="R117" s="160">
        <f t="shared" si="77"/>
        <v>19.214048235849862</v>
      </c>
      <c r="S117" s="160">
        <f t="shared" si="78"/>
        <v>1.51872754928987</v>
      </c>
      <c r="T117" s="160" t="str">
        <f t="shared" si="69"/>
        <v>1+0.0000122803250966771i</v>
      </c>
      <c r="U117" s="160">
        <f t="shared" si="79"/>
        <v>1.0000000000754032</v>
      </c>
      <c r="V117" s="160">
        <f t="shared" si="80"/>
        <v>1.2280325096059782E-5</v>
      </c>
      <c r="W117" s="98" t="str">
        <f t="shared" si="70"/>
        <v>1-0.00888162232292077i</v>
      </c>
      <c r="X117" s="160">
        <f t="shared" si="81"/>
        <v>1.0000394408297539</v>
      </c>
      <c r="Y117" s="160">
        <f t="shared" si="82"/>
        <v>-8.8813887969987626E-3</v>
      </c>
      <c r="Z117" s="98" t="str">
        <f t="shared" si="71"/>
        <v>0.999982707241539+0.000705488191058655i</v>
      </c>
      <c r="AA117" s="160">
        <f t="shared" si="83"/>
        <v>0.99998295610260557</v>
      </c>
      <c r="AB117" s="160">
        <f t="shared" si="84"/>
        <v>7.0550027405678895E-4</v>
      </c>
      <c r="AC117" s="171" t="str">
        <f t="shared" si="85"/>
        <v>2.38546480401343-56.1024923241204i</v>
      </c>
      <c r="AD117" s="190">
        <f t="shared" si="86"/>
        <v>34.987487752804661</v>
      </c>
      <c r="AE117" s="169">
        <f t="shared" si="87"/>
        <v>-87.56526347618879</v>
      </c>
      <c r="AF117" s="98" t="str">
        <f t="shared" si="72"/>
        <v>-9.95024875621891E-06</v>
      </c>
      <c r="AG117" s="98" t="str">
        <f t="shared" si="73"/>
        <v>0.00061463027108869i</v>
      </c>
      <c r="AH117" s="98">
        <f t="shared" si="88"/>
        <v>6.1463027108869003E-4</v>
      </c>
      <c r="AI117" s="98">
        <f t="shared" si="89"/>
        <v>1.5707963267948966</v>
      </c>
      <c r="AJ117" s="98" t="str">
        <f t="shared" si="74"/>
        <v>1+0.00613402851981874i</v>
      </c>
      <c r="AK117" s="98">
        <f t="shared" si="90"/>
        <v>1.0000188129759768</v>
      </c>
      <c r="AL117" s="98">
        <f t="shared" si="91"/>
        <v>6.1339515879444044E-3</v>
      </c>
      <c r="AM117" s="98" t="str">
        <f t="shared" si="75"/>
        <v>1+6.14016254833856i</v>
      </c>
      <c r="AN117" s="98">
        <f t="shared" si="92"/>
        <v>6.2210606909127213</v>
      </c>
      <c r="AO117" s="98">
        <f t="shared" si="93"/>
        <v>1.4093516212330388</v>
      </c>
      <c r="AP117" s="168" t="str">
        <f t="shared" si="94"/>
        <v>-0.0993000444031695+0.0167981081615291i</v>
      </c>
      <c r="AQ117" s="98">
        <f t="shared" si="95"/>
        <v>-19.938474793419687</v>
      </c>
      <c r="AR117" s="169">
        <f t="shared" si="96"/>
        <v>170.39845020884647</v>
      </c>
      <c r="AS117" s="168" t="str">
        <f t="shared" si="97"/>
        <v>0.705538973231199+5.61105127470697i</v>
      </c>
      <c r="AT117" s="190">
        <f t="shared" si="98"/>
        <v>15.049012959384971</v>
      </c>
      <c r="AU117" s="169">
        <f t="shared" si="99"/>
        <v>82.833186732657708</v>
      </c>
      <c r="AV117" s="225"/>
      <c r="AX117">
        <f t="shared" si="100"/>
        <v>0</v>
      </c>
      <c r="AY117">
        <f t="shared" si="101"/>
        <v>0</v>
      </c>
    </row>
    <row r="118" spans="14:51" x14ac:dyDescent="0.55000000000000004">
      <c r="N118" s="170">
        <v>100</v>
      </c>
      <c r="O118" s="199">
        <f t="shared" si="76"/>
        <v>100</v>
      </c>
      <c r="P118" s="189" t="str">
        <f t="shared" si="67"/>
        <v>1078.86904761905</v>
      </c>
      <c r="Q118" s="160" t="str">
        <f t="shared" si="68"/>
        <v>1+19.6349540849362i</v>
      </c>
      <c r="R118" s="160">
        <f t="shared" si="77"/>
        <v>19.660402384426234</v>
      </c>
      <c r="S118" s="160">
        <f t="shared" si="78"/>
        <v>1.5199107106972443</v>
      </c>
      <c r="T118" s="160" t="str">
        <f t="shared" si="69"/>
        <v>1+0.0000125663706143592i</v>
      </c>
      <c r="U118" s="160">
        <f t="shared" si="79"/>
        <v>1.0000000000789568</v>
      </c>
      <c r="V118" s="160">
        <f t="shared" si="80"/>
        <v>1.2566370613697734E-5</v>
      </c>
      <c r="W118" s="98" t="str">
        <f t="shared" si="70"/>
        <v>1-0.00908850188312914i</v>
      </c>
      <c r="X118" s="160">
        <f t="shared" si="81"/>
        <v>1.0000412995804122</v>
      </c>
      <c r="Y118" s="160">
        <f t="shared" si="82"/>
        <v>-9.0882516561535519E-3</v>
      </c>
      <c r="Z118" s="98" t="str">
        <f t="shared" si="71"/>
        <v>0.999981892258941+0.000721921122047148i</v>
      </c>
      <c r="AA118" s="160">
        <f t="shared" si="83"/>
        <v>0.99998215284867886</v>
      </c>
      <c r="AB118" s="160">
        <f t="shared" si="84"/>
        <v>7.21934069223263E-4</v>
      </c>
      <c r="AC118" s="171" t="str">
        <f t="shared" si="85"/>
        <v>2.25421212386662-54.8321559025419i</v>
      </c>
      <c r="AD118" s="190">
        <f t="shared" si="86"/>
        <v>34.788040363366633</v>
      </c>
      <c r="AE118" s="169">
        <f t="shared" si="87"/>
        <v>-87.645831197985174</v>
      </c>
      <c r="AF118" s="98" t="str">
        <f t="shared" si="72"/>
        <v>-9.95024875621891E-06</v>
      </c>
      <c r="AG118" s="98" t="str">
        <f t="shared" si="73"/>
        <v>0.000628946849248677i</v>
      </c>
      <c r="AH118" s="98">
        <f t="shared" si="88"/>
        <v>6.2894684924867704E-4</v>
      </c>
      <c r="AI118" s="98">
        <f t="shared" si="89"/>
        <v>1.5707963267948966</v>
      </c>
      <c r="AJ118" s="98" t="str">
        <f t="shared" si="74"/>
        <v>1+0.00627690839878081i</v>
      </c>
      <c r="AK118" s="98">
        <f t="shared" si="90"/>
        <v>1.0000196995954862</v>
      </c>
      <c r="AL118" s="98">
        <f t="shared" si="91"/>
        <v>6.2768259648799752E-3</v>
      </c>
      <c r="AM118" s="98" t="str">
        <f t="shared" si="75"/>
        <v>1+6.28318530717959i</v>
      </c>
      <c r="AN118" s="98">
        <f t="shared" si="92"/>
        <v>6.362265131567332</v>
      </c>
      <c r="AO118" s="98">
        <f t="shared" si="93"/>
        <v>1.4129651365067379</v>
      </c>
      <c r="AP118" s="168" t="str">
        <f t="shared" si="94"/>
        <v>-0.099299868324003+0.0164437884306898i</v>
      </c>
      <c r="AQ118" s="98">
        <f t="shared" si="95"/>
        <v>-19.943535992900252</v>
      </c>
      <c r="AR118" s="169">
        <f t="shared" si="96"/>
        <v>170.59730328443655</v>
      </c>
      <c r="AS118" s="168" t="str">
        <f t="shared" si="97"/>
        <v>0.677805403785671+5.48189364828637i</v>
      </c>
      <c r="AT118" s="190">
        <f t="shared" si="98"/>
        <v>14.844504370466382</v>
      </c>
      <c r="AU118" s="169">
        <f t="shared" si="99"/>
        <v>82.951472086451375</v>
      </c>
      <c r="AV118" s="225"/>
      <c r="AX118">
        <f t="shared" si="100"/>
        <v>0</v>
      </c>
      <c r="AY118">
        <f t="shared" si="101"/>
        <v>0</v>
      </c>
    </row>
    <row r="119" spans="14:51" x14ac:dyDescent="0.55000000000000004">
      <c r="N119" s="170">
        <v>1</v>
      </c>
      <c r="O119" s="199">
        <f>10^(2+(N119/100))</f>
        <v>102.32929922807544</v>
      </c>
      <c r="P119" s="189" t="str">
        <f t="shared" si="67"/>
        <v>1078.86904761905</v>
      </c>
      <c r="Q119" s="160" t="str">
        <f t="shared" si="68"/>
        <v>1+20.0923109188696i</v>
      </c>
      <c r="R119" s="160">
        <f t="shared" si="77"/>
        <v>20.117180668784741</v>
      </c>
      <c r="S119" s="160">
        <f t="shared" si="78"/>
        <v>1.5210670778615862</v>
      </c>
      <c r="T119" s="160" t="str">
        <f t="shared" si="69"/>
        <v>1+0.0000128590789880765i</v>
      </c>
      <c r="U119" s="160">
        <f t="shared" si="79"/>
        <v>1.0000000000826779</v>
      </c>
      <c r="V119" s="160">
        <f t="shared" si="80"/>
        <v>1.2859078987367724E-5</v>
      </c>
      <c r="W119" s="98" t="str">
        <f t="shared" si="70"/>
        <v>1-0.00930020028733648i</v>
      </c>
      <c r="X119" s="160">
        <f t="shared" si="81"/>
        <v>1.0000432459275872</v>
      </c>
      <c r="Y119" s="160">
        <f t="shared" si="82"/>
        <v>-9.2999321649276621E-3</v>
      </c>
      <c r="Z119" s="98" t="str">
        <f t="shared" si="71"/>
        <v>0.999981038867396+0.000738736825170305i</v>
      </c>
      <c r="AA119" s="160">
        <f t="shared" si="83"/>
        <v>0.99998131173858118</v>
      </c>
      <c r="AB119" s="160">
        <f t="shared" si="84"/>
        <v>7.387506983310728E-4</v>
      </c>
      <c r="AC119" s="171" t="str">
        <f t="shared" si="85"/>
        <v>2.12883686372513-53.5902918285305i</v>
      </c>
      <c r="AD119" s="190">
        <f t="shared" si="86"/>
        <v>34.588570292877556</v>
      </c>
      <c r="AE119" s="169">
        <f t="shared" si="87"/>
        <v>-87.7251613067465</v>
      </c>
      <c r="AF119" s="98" t="str">
        <f t="shared" si="72"/>
        <v>-9.95024875621891E-06</v>
      </c>
      <c r="AG119" s="98" t="str">
        <f t="shared" si="73"/>
        <v>0.000643596903353231i</v>
      </c>
      <c r="AH119" s="98">
        <f t="shared" si="88"/>
        <v>6.4359690335323095E-4</v>
      </c>
      <c r="AI119" s="98">
        <f t="shared" si="89"/>
        <v>1.5707963267948966</v>
      </c>
      <c r="AJ119" s="98" t="str">
        <f t="shared" si="74"/>
        <v>1+0.00642311637766061i</v>
      </c>
      <c r="AK119" s="98">
        <f t="shared" si="90"/>
        <v>1.0000206279992432</v>
      </c>
      <c r="AL119" s="98">
        <f t="shared" si="91"/>
        <v>6.4230280482428653E-3</v>
      </c>
      <c r="AM119" s="98" t="str">
        <f t="shared" si="75"/>
        <v>1+6.42953949403827i</v>
      </c>
      <c r="AN119" s="98">
        <f t="shared" si="92"/>
        <v>6.506840869838288</v>
      </c>
      <c r="AO119" s="98">
        <f t="shared" si="93"/>
        <v>1.4165004188699755</v>
      </c>
      <c r="AP119" s="168" t="str">
        <f t="shared" si="94"/>
        <v>-0.0992996839471503+0.0160981873099363i</v>
      </c>
      <c r="AQ119" s="98">
        <f t="shared" si="95"/>
        <v>-19.948375605878301</v>
      </c>
      <c r="AR119" s="169">
        <f t="shared" si="96"/>
        <v>170.79148328090446</v>
      </c>
      <c r="AS119" s="168" t="str">
        <f t="shared" si="97"/>
        <v>0.651313728106885+5.35576945579318i</v>
      </c>
      <c r="AT119" s="190">
        <f t="shared" si="98"/>
        <v>14.640194686999257</v>
      </c>
      <c r="AU119" s="169">
        <f t="shared" si="99"/>
        <v>83.066321974157958</v>
      </c>
      <c r="AV119" s="225"/>
      <c r="AX119">
        <f t="shared" si="100"/>
        <v>0</v>
      </c>
      <c r="AY119">
        <f t="shared" si="101"/>
        <v>0</v>
      </c>
    </row>
    <row r="120" spans="14:51" x14ac:dyDescent="0.55000000000000004">
      <c r="N120" s="170">
        <v>2</v>
      </c>
      <c r="O120" s="199">
        <f t="shared" ref="O120:O183" si="102">10^(2+(N120/100))</f>
        <v>104.71285480508998</v>
      </c>
      <c r="P120" s="189" t="str">
        <f t="shared" si="67"/>
        <v>1078.86904761905</v>
      </c>
      <c r="Q120" s="160" t="str">
        <f t="shared" si="68"/>
        <v>1+20.5603209620053i</v>
      </c>
      <c r="R120" s="160">
        <f t="shared" si="77"/>
        <v>20.584625283465193</v>
      </c>
      <c r="S120" s="160">
        <f t="shared" si="78"/>
        <v>1.5221972515268343</v>
      </c>
      <c r="T120" s="160" t="str">
        <f t="shared" si="69"/>
        <v>1+0.0000131586054156834i</v>
      </c>
      <c r="U120" s="160">
        <f t="shared" si="79"/>
        <v>1.0000000000865743</v>
      </c>
      <c r="V120" s="160">
        <f t="shared" si="80"/>
        <v>1.3158605414923933E-5</v>
      </c>
      <c r="W120" s="98" t="str">
        <f t="shared" si="70"/>
        <v>1-0.00951682978083888i</v>
      </c>
      <c r="X120" s="160">
        <f t="shared" si="81"/>
        <v>1.0000452839992184</v>
      </c>
      <c r="Y120" s="160">
        <f t="shared" si="82"/>
        <v>-9.516542483204285E-3</v>
      </c>
      <c r="Z120" s="98" t="str">
        <f t="shared" si="71"/>
        <v>0.999980145256747+0.000755944216336506i</v>
      </c>
      <c r="AA120" s="160">
        <f t="shared" si="83"/>
        <v>0.99998043098820844</v>
      </c>
      <c r="AB120" s="160">
        <f t="shared" si="84"/>
        <v>7.5595908170912238E-4</v>
      </c>
      <c r="AC120" s="171" t="str">
        <f t="shared" si="85"/>
        <v>2.00907711383666-52.3762815266773i</v>
      </c>
      <c r="AD120" s="190">
        <f t="shared" si="86"/>
        <v>34.389078657250117</v>
      </c>
      <c r="AE120" s="169">
        <f t="shared" si="87"/>
        <v>-87.80329515105791</v>
      </c>
      <c r="AF120" s="98" t="str">
        <f t="shared" si="72"/>
        <v>-9.95024875621891E-06</v>
      </c>
      <c r="AG120" s="98" t="str">
        <f t="shared" si="73"/>
        <v>0.000658588201054955i</v>
      </c>
      <c r="AH120" s="98">
        <f t="shared" si="88"/>
        <v>6.5858820105495501E-4</v>
      </c>
      <c r="AI120" s="98">
        <f t="shared" si="89"/>
        <v>1.5707963267948966</v>
      </c>
      <c r="AJ120" s="98" t="str">
        <f t="shared" si="74"/>
        <v>1+0.00657272997786385i</v>
      </c>
      <c r="AK120" s="98">
        <f t="shared" si="90"/>
        <v>1.0000216001563975</v>
      </c>
      <c r="AL120" s="98">
        <f t="shared" si="91"/>
        <v>6.5726353312979277E-3</v>
      </c>
      <c r="AM120" s="98" t="str">
        <f t="shared" si="75"/>
        <v>1+6.57930270784171i</v>
      </c>
      <c r="AN120" s="98">
        <f t="shared" si="92"/>
        <v>6.6548646959508702</v>
      </c>
      <c r="AO120" s="98">
        <f t="shared" si="93"/>
        <v>1.4199589891173572</v>
      </c>
      <c r="AP120" s="168" t="str">
        <f t="shared" si="94"/>
        <v>-0.099299490881618+0.0157611215495284i</v>
      </c>
      <c r="AQ120" s="98">
        <f t="shared" si="95"/>
        <v>-19.953003166454586</v>
      </c>
      <c r="AR120" s="169">
        <f t="shared" si="96"/>
        <v>170.9810728933254</v>
      </c>
      <c r="AS120" s="168" t="str">
        <f t="shared" si="97"/>
        <v>0.626008604908389+5.23260339846491i</v>
      </c>
      <c r="AT120" s="190">
        <f t="shared" si="98"/>
        <v>14.436075490795538</v>
      </c>
      <c r="AU120" s="169">
        <f t="shared" si="99"/>
        <v>83.177777742267509</v>
      </c>
      <c r="AV120" s="225"/>
      <c r="AX120">
        <f t="shared" si="100"/>
        <v>0</v>
      </c>
      <c r="AY120">
        <f t="shared" si="101"/>
        <v>0</v>
      </c>
    </row>
    <row r="121" spans="14:51" x14ac:dyDescent="0.55000000000000004">
      <c r="N121" s="170">
        <v>3</v>
      </c>
      <c r="O121" s="199">
        <f t="shared" si="102"/>
        <v>107.15193052376065</v>
      </c>
      <c r="P121" s="189" t="str">
        <f t="shared" si="67"/>
        <v>1078.86904761905</v>
      </c>
      <c r="Q121" s="160" t="str">
        <f t="shared" si="68"/>
        <v>1+21.0392323594632i</v>
      </c>
      <c r="R121" s="160">
        <f t="shared" si="77"/>
        <v>21.062984078128235</v>
      </c>
      <c r="S121" s="160">
        <f t="shared" si="78"/>
        <v>1.5233018193709655</v>
      </c>
      <c r="T121" s="160" t="str">
        <f t="shared" si="69"/>
        <v>1+0.0000134651087100564i</v>
      </c>
      <c r="U121" s="160">
        <f t="shared" si="79"/>
        <v>1.0000000000906546</v>
      </c>
      <c r="V121" s="160">
        <f t="shared" si="80"/>
        <v>1.3465108709242618E-5</v>
      </c>
      <c r="W121" s="98" t="str">
        <f t="shared" si="70"/>
        <v>1-0.00973850522346121i</v>
      </c>
      <c r="X121" s="160">
        <f t="shared" si="81"/>
        <v>1.0000474181177548</v>
      </c>
      <c r="Y121" s="160">
        <f t="shared" si="82"/>
        <v>-9.7381973792877389E-3</v>
      </c>
      <c r="Z121" s="98" t="str">
        <f t="shared" si="71"/>
        <v>0.999979209531526+0.000773552419132313i</v>
      </c>
      <c r="AA121" s="160">
        <f t="shared" si="83"/>
        <v>0.99997950872937424</v>
      </c>
      <c r="AB121" s="160">
        <f t="shared" si="84"/>
        <v>7.7356834768066939E-4</v>
      </c>
      <c r="AC121" s="171" t="str">
        <f t="shared" si="85"/>
        <v>1.89468252295482-51.1895185495939i</v>
      </c>
      <c r="AD121" s="190">
        <f t="shared" si="86"/>
        <v>34.189566527366622</v>
      </c>
      <c r="AE121" s="169">
        <f t="shared" si="87"/>
        <v>-87.880273492041823</v>
      </c>
      <c r="AF121" s="98" t="str">
        <f t="shared" si="72"/>
        <v>-9.95024875621891E-06</v>
      </c>
      <c r="AG121" s="98" t="str">
        <f t="shared" si="73"/>
        <v>0.000673928690938324i</v>
      </c>
      <c r="AH121" s="98">
        <f t="shared" si="88"/>
        <v>6.7392869093832399E-4</v>
      </c>
      <c r="AI121" s="98">
        <f t="shared" si="89"/>
        <v>1.5707963267948966</v>
      </c>
      <c r="AJ121" s="98" t="str">
        <f t="shared" si="74"/>
        <v>1+0.00672582852650171i</v>
      </c>
      <c r="AK121" s="98">
        <f t="shared" si="90"/>
        <v>1.000022618128894</v>
      </c>
      <c r="AL121" s="98">
        <f t="shared" si="91"/>
        <v>6.7257271110030339E-3</v>
      </c>
      <c r="AM121" s="98" t="str">
        <f t="shared" si="75"/>
        <v>1+6.73255435502821i</v>
      </c>
      <c r="AN121" s="98">
        <f t="shared" si="92"/>
        <v>6.8064152197327275</v>
      </c>
      <c r="AO121" s="98">
        <f t="shared" si="93"/>
        <v>1.4233423498950168</v>
      </c>
      <c r="AP121" s="168" t="str">
        <f t="shared" si="94"/>
        <v>-0.0992992887179922+0.0154324124247535i</v>
      </c>
      <c r="AQ121" s="98">
        <f t="shared" si="95"/>
        <v>-19.957427821354106</v>
      </c>
      <c r="AR121" s="169">
        <f t="shared" si="96"/>
        <v>171.16615367360021</v>
      </c>
      <c r="AS121" s="168" t="str">
        <f t="shared" si="97"/>
        <v>0.601837135206078+5.11232230389935i</v>
      </c>
      <c r="AT121" s="190">
        <f t="shared" si="98"/>
        <v>14.232138706012506</v>
      </c>
      <c r="AU121" s="169">
        <f t="shared" si="99"/>
        <v>83.285880181558397</v>
      </c>
      <c r="AV121" s="225"/>
      <c r="AX121">
        <f t="shared" si="100"/>
        <v>0</v>
      </c>
      <c r="AY121">
        <f t="shared" si="101"/>
        <v>0</v>
      </c>
    </row>
    <row r="122" spans="14:51" x14ac:dyDescent="0.55000000000000004">
      <c r="N122" s="170">
        <v>4</v>
      </c>
      <c r="O122" s="199">
        <f t="shared" si="102"/>
        <v>109.64781961431861</v>
      </c>
      <c r="P122" s="189" t="str">
        <f t="shared" si="67"/>
        <v>1078.86904761905</v>
      </c>
      <c r="Q122" s="160" t="str">
        <f t="shared" si="68"/>
        <v>1+21.5292990364051i</v>
      </c>
      <c r="R122" s="160">
        <f t="shared" si="77"/>
        <v>21.552510688988271</v>
      </c>
      <c r="S122" s="160">
        <f t="shared" si="78"/>
        <v>1.5243813562631416</v>
      </c>
      <c r="T122" s="160" t="str">
        <f t="shared" si="69"/>
        <v>1+0.0000137787513832993i</v>
      </c>
      <c r="U122" s="160">
        <f t="shared" si="79"/>
        <v>1.000000000094927</v>
      </c>
      <c r="V122" s="160">
        <f t="shared" si="80"/>
        <v>1.3778751382427317E-5</v>
      </c>
      <c r="W122" s="98" t="str">
        <f t="shared" si="70"/>
        <v>1-0.00996534415045738i</v>
      </c>
      <c r="X122" s="160">
        <f t="shared" si="81"/>
        <v>1.0000496528093177</v>
      </c>
      <c r="Y122" s="160">
        <f t="shared" si="82"/>
        <v>-9.9650142903670372E-3</v>
      </c>
      <c r="Z122" s="98" t="str">
        <f t="shared" si="71"/>
        <v>0.999978229706933+0.000791570769659921i</v>
      </c>
      <c r="AA122" s="160">
        <f t="shared" si="83"/>
        <v>0.99997854300584621</v>
      </c>
      <c r="AB122" s="160">
        <f t="shared" si="84"/>
        <v>7.915878374233923E-4</v>
      </c>
      <c r="AC122" s="171" t="str">
        <f t="shared" si="85"/>
        <v>1.78541379813321-50.0294084303098i</v>
      </c>
      <c r="AD122" s="190">
        <f t="shared" si="86"/>
        <v>33.990034931288477</v>
      </c>
      <c r="AE122" s="169">
        <f t="shared" si="87"/>
        <v>-87.956136521829009</v>
      </c>
      <c r="AF122" s="98" t="str">
        <f t="shared" si="72"/>
        <v>-9.95024875621891E-06</v>
      </c>
      <c r="AG122" s="98" t="str">
        <f t="shared" si="73"/>
        <v>0.000689626506734129i</v>
      </c>
      <c r="AH122" s="98">
        <f t="shared" si="88"/>
        <v>6.8962650673412898E-4</v>
      </c>
      <c r="AI122" s="98">
        <f t="shared" si="89"/>
        <v>1.5707963267948966</v>
      </c>
      <c r="AJ122" s="98" t="str">
        <f t="shared" si="74"/>
        <v>1+0.00688249319845119i</v>
      </c>
      <c r="AK122" s="98">
        <f t="shared" si="90"/>
        <v>1.0000236840758456</v>
      </c>
      <c r="AL122" s="98">
        <f t="shared" si="91"/>
        <v>6.8823845299255089E-3</v>
      </c>
      <c r="AM122" s="98" t="str">
        <f t="shared" si="75"/>
        <v>1+6.88937569164964i</v>
      </c>
      <c r="AN122" s="98">
        <f t="shared" si="92"/>
        <v>6.9615729128332022</v>
      </c>
      <c r="AO122" s="98">
        <f t="shared" si="93"/>
        <v>1.4266519851071999</v>
      </c>
      <c r="AP122" s="168" t="str">
        <f t="shared" si="94"/>
        <v>-0.0992990770275706+0.0151118856411276i</v>
      </c>
      <c r="AQ122" s="98">
        <f t="shared" si="95"/>
        <v>-19.961658344078689</v>
      </c>
      <c r="AR122" s="169">
        <f t="shared" si="96"/>
        <v>171.34680599405243</v>
      </c>
      <c r="AS122" s="168" t="str">
        <f t="shared" si="97"/>
        <v>0.57874875662519+4.9948550505046i</v>
      </c>
      <c r="AT122" s="190">
        <f t="shared" si="98"/>
        <v>14.028376587209788</v>
      </c>
      <c r="AU122" s="169">
        <f t="shared" si="99"/>
        <v>83.390669472223436</v>
      </c>
      <c r="AV122" s="225"/>
      <c r="AX122">
        <f t="shared" si="100"/>
        <v>0</v>
      </c>
      <c r="AY122">
        <f t="shared" si="101"/>
        <v>0</v>
      </c>
    </row>
    <row r="123" spans="14:51" x14ac:dyDescent="0.55000000000000004">
      <c r="N123" s="170">
        <v>5</v>
      </c>
      <c r="O123" s="199">
        <f t="shared" si="102"/>
        <v>112.20184543019634</v>
      </c>
      <c r="P123" s="189" t="str">
        <f t="shared" si="67"/>
        <v>1078.86904761905</v>
      </c>
      <c r="Q123" s="160" t="str">
        <f t="shared" si="68"/>
        <v>1+22.0307808326702i</v>
      </c>
      <c r="R123" s="160">
        <f t="shared" si="77"/>
        <v>22.053464673314906</v>
      </c>
      <c r="S123" s="160">
        <f t="shared" si="78"/>
        <v>1.5254364245176515</v>
      </c>
      <c r="T123" s="160" t="str">
        <f t="shared" si="69"/>
        <v>1+0.0000140996997329089i</v>
      </c>
      <c r="U123" s="160">
        <f t="shared" si="79"/>
        <v>1.0000000000994009</v>
      </c>
      <c r="V123" s="160">
        <f t="shared" si="80"/>
        <v>1.4099699731974554E-5</v>
      </c>
      <c r="W123" s="98" t="str">
        <f t="shared" si="70"/>
        <v>1-0.010197466834829i</v>
      </c>
      <c r="X123" s="160">
        <f t="shared" si="81"/>
        <v>1.0000519928132974</v>
      </c>
      <c r="Y123" s="160">
        <f t="shared" si="82"/>
        <v>-1.019711338436663E-2</v>
      </c>
      <c r="Z123" s="98" t="str">
        <f t="shared" si="71"/>
        <v>0.99997720370463+0.00081000882148728i</v>
      </c>
      <c r="AA123" s="160">
        <f t="shared" si="83"/>
        <v>0.99997753176920023</v>
      </c>
      <c r="AB123" s="160">
        <f t="shared" si="84"/>
        <v>8.100271099437408E-4</v>
      </c>
      <c r="AC123" s="171" t="str">
        <f t="shared" si="85"/>
        <v>1.68104222529061-48.8953685296516i</v>
      </c>
      <c r="AD123" s="190">
        <f t="shared" si="86"/>
        <v>33.790484856379017</v>
      </c>
      <c r="AE123" s="169">
        <f t="shared" si="87"/>
        <v>-88.030923881932495</v>
      </c>
      <c r="AF123" s="98" t="str">
        <f t="shared" si="72"/>
        <v>-9.95024875621891E-06</v>
      </c>
      <c r="AG123" s="98" t="str">
        <f t="shared" si="73"/>
        <v>0.00070568997163209i</v>
      </c>
      <c r="AH123" s="98">
        <f t="shared" si="88"/>
        <v>7.0568997163209001E-4</v>
      </c>
      <c r="AI123" s="98">
        <f t="shared" si="89"/>
        <v>1.5707963267948966</v>
      </c>
      <c r="AJ123" s="98" t="str">
        <f t="shared" si="74"/>
        <v>1+0.00704280705939505i</v>
      </c>
      <c r="AK123" s="98">
        <f t="shared" si="90"/>
        <v>1.0000248002581116</v>
      </c>
      <c r="AL123" s="98">
        <f t="shared" si="91"/>
        <v>7.0426906191278713E-3</v>
      </c>
      <c r="AM123" s="98" t="str">
        <f t="shared" si="75"/>
        <v>1+7.04984986645445i</v>
      </c>
      <c r="AN123" s="98">
        <f t="shared" si="92"/>
        <v>7.1204201518974868</v>
      </c>
      <c r="AO123" s="98">
        <f t="shared" si="93"/>
        <v>1.429889359393965</v>
      </c>
      <c r="AP123" s="168" t="str">
        <f t="shared" si="94"/>
        <v>-0.0992988553614542+0.0147993712419397i</v>
      </c>
      <c r="AQ123" s="98">
        <f t="shared" si="95"/>
        <v>-19.965703148699486</v>
      </c>
      <c r="AR123" s="169">
        <f t="shared" si="96"/>
        <v>171.52310901504674</v>
      </c>
      <c r="AS123" s="168" t="str">
        <f t="shared" si="97"/>
        <v>0.55669514209614+4.88013249543633i</v>
      </c>
      <c r="AT123" s="190">
        <f t="shared" si="98"/>
        <v>13.824781707679538</v>
      </c>
      <c r="AU123" s="169">
        <f t="shared" si="99"/>
        <v>83.492185133114262</v>
      </c>
      <c r="AV123" s="225"/>
      <c r="AX123">
        <f t="shared" si="100"/>
        <v>0</v>
      </c>
      <c r="AY123">
        <f t="shared" si="101"/>
        <v>0</v>
      </c>
    </row>
    <row r="124" spans="14:51" x14ac:dyDescent="0.55000000000000004">
      <c r="N124" s="170">
        <v>6</v>
      </c>
      <c r="O124" s="199">
        <f t="shared" si="102"/>
        <v>114.81536214968835</v>
      </c>
      <c r="P124" s="189" t="str">
        <f t="shared" si="67"/>
        <v>1078.86904761905</v>
      </c>
      <c r="Q124" s="160" t="str">
        <f t="shared" si="68"/>
        <v>1+22.5439436405445i</v>
      </c>
      <c r="R124" s="160">
        <f t="shared" si="77"/>
        <v>22.566111647070411</v>
      </c>
      <c r="S124" s="160">
        <f t="shared" si="78"/>
        <v>1.5264675741445488</v>
      </c>
      <c r="T124" s="160" t="str">
        <f t="shared" si="69"/>
        <v>1+0.0000144281239299485i</v>
      </c>
      <c r="U124" s="160">
        <f t="shared" si="79"/>
        <v>1.0000000001040854</v>
      </c>
      <c r="V124" s="160">
        <f t="shared" si="80"/>
        <v>1.442812392894733E-5</v>
      </c>
      <c r="W124" s="98" t="str">
        <f t="shared" si="70"/>
        <v>1-0.010434996351096i</v>
      </c>
      <c r="X124" s="160">
        <f t="shared" si="81"/>
        <v>1.0000544430923985</v>
      </c>
      <c r="Y124" s="160">
        <f t="shared" si="82"/>
        <v>-1.0434617623215674E-2</v>
      </c>
      <c r="Z124" s="98" t="str">
        <f t="shared" si="71"/>
        <v>0.999976129348329+0.000828876350713526i</v>
      </c>
      <c r="AA124" s="160">
        <f t="shared" si="83"/>
        <v>0.99997647287447244</v>
      </c>
      <c r="AB124" s="160">
        <f t="shared" si="84"/>
        <v>8.288959471683358E-4</v>
      </c>
      <c r="AC124" s="171" t="str">
        <f t="shared" si="85"/>
        <v>1.58134920976429-47.7868278792723i</v>
      </c>
      <c r="AD124" s="190">
        <f t="shared" si="86"/>
        <v>33.590917251346383</v>
      </c>
      <c r="AE124" s="169">
        <f t="shared" si="87"/>
        <v>-88.104674681519626</v>
      </c>
      <c r="AF124" s="98" t="str">
        <f t="shared" si="72"/>
        <v>-9.95024875621891E-06</v>
      </c>
      <c r="AG124" s="98" t="str">
        <f t="shared" si="73"/>
        <v>0.000722127602693923i</v>
      </c>
      <c r="AH124" s="98">
        <f t="shared" si="88"/>
        <v>7.2212760269392301E-4</v>
      </c>
      <c r="AI124" s="98">
        <f t="shared" si="89"/>
        <v>1.5707963267948966</v>
      </c>
      <c r="AJ124" s="98" t="str">
        <f t="shared" si="74"/>
        <v>1+0.00720685510986438i</v>
      </c>
      <c r="AK124" s="98">
        <f t="shared" si="90"/>
        <v>1.0000259690430917</v>
      </c>
      <c r="AL124" s="98">
        <f t="shared" si="91"/>
        <v>7.2067303420451792E-3</v>
      </c>
      <c r="AM124" s="98" t="str">
        <f t="shared" si="75"/>
        <v>1+7.21406196497425i</v>
      </c>
      <c r="AN124" s="98">
        <f t="shared" si="92"/>
        <v>7.2830412627204106</v>
      </c>
      <c r="AO124" s="98">
        <f t="shared" si="93"/>
        <v>1.4330559176755067</v>
      </c>
      <c r="AP124" s="168" t="str">
        <f t="shared" si="94"/>
        <v>-0.099298623249596+0.0144947035180961i</v>
      </c>
      <c r="AQ124" s="98">
        <f t="shared" si="95"/>
        <v>-19.969570303284417</v>
      </c>
      <c r="AR124" s="169">
        <f t="shared" si="96"/>
        <v>171.69514065636562</v>
      </c>
      <c r="AS124" s="168" t="str">
        <f t="shared" si="97"/>
        <v>0.53563010277391+4.76808740583126i</v>
      </c>
      <c r="AT124" s="190">
        <f t="shared" si="98"/>
        <v>13.621346948061966</v>
      </c>
      <c r="AU124" s="169">
        <f t="shared" si="99"/>
        <v>83.590465974846026</v>
      </c>
      <c r="AV124" s="225"/>
      <c r="AX124">
        <f t="shared" si="100"/>
        <v>0</v>
      </c>
      <c r="AY124">
        <f t="shared" si="101"/>
        <v>0</v>
      </c>
    </row>
    <row r="125" spans="14:51" x14ac:dyDescent="0.55000000000000004">
      <c r="N125" s="170">
        <v>7</v>
      </c>
      <c r="O125" s="199">
        <f t="shared" si="102"/>
        <v>117.48975549395293</v>
      </c>
      <c r="P125" s="189" t="str">
        <f t="shared" si="67"/>
        <v>1078.86904761905</v>
      </c>
      <c r="Q125" s="160" t="str">
        <f t="shared" si="68"/>
        <v>1+23.0690595457415i</v>
      </c>
      <c r="R125" s="160">
        <f t="shared" si="77"/>
        <v>23.090723425760551</v>
      </c>
      <c r="S125" s="160">
        <f t="shared" si="78"/>
        <v>1.5274753430969026</v>
      </c>
      <c r="T125" s="160" t="str">
        <f t="shared" si="69"/>
        <v>1+0.0000147641981092745i</v>
      </c>
      <c r="U125" s="160">
        <f t="shared" si="79"/>
        <v>1.0000000001089908</v>
      </c>
      <c r="V125" s="160">
        <f t="shared" si="80"/>
        <v>1.4764198108201726E-5</v>
      </c>
      <c r="W125" s="98" t="str">
        <f t="shared" si="70"/>
        <v>1-0.0106780586405517i</v>
      </c>
      <c r="X125" s="160">
        <f t="shared" si="81"/>
        <v>1.0000570088431615</v>
      </c>
      <c r="Y125" s="160">
        <f t="shared" si="82"/>
        <v>-1.0677652827565913E-2</v>
      </c>
      <c r="Z125" s="98" t="str">
        <f t="shared" si="71"/>
        <v>0.999975004359174+0.000848183361152395i</v>
      </c>
      <c r="AA125" s="160">
        <f t="shared" si="83"/>
        <v>0.99997536407560761</v>
      </c>
      <c r="AB125" s="160">
        <f t="shared" si="84"/>
        <v>8.4820435915520782E-4</v>
      </c>
      <c r="AC125" s="171" t="str">
        <f t="shared" si="85"/>
        <v>1.48612583608835-46.7032270209176i</v>
      </c>
      <c r="AD125" s="190">
        <f t="shared" si="86"/>
        <v>33.391333028207882</v>
      </c>
      <c r="AE125" s="169">
        <f t="shared" si="87"/>
        <v>-88.177427515580064</v>
      </c>
      <c r="AF125" s="98" t="str">
        <f t="shared" si="72"/>
        <v>-9.95024875621891E-06</v>
      </c>
      <c r="AG125" s="98" t="str">
        <f t="shared" si="73"/>
        <v>0.000738948115369191i</v>
      </c>
      <c r="AH125" s="98">
        <f t="shared" si="88"/>
        <v>7.3894811536919099E-4</v>
      </c>
      <c r="AI125" s="98">
        <f t="shared" si="89"/>
        <v>1.5707963267948966</v>
      </c>
      <c r="AJ125" s="98" t="str">
        <f t="shared" si="74"/>
        <v>1+0.00737472433030696i</v>
      </c>
      <c r="AK125" s="98">
        <f t="shared" si="90"/>
        <v>1.0000271929097468</v>
      </c>
      <c r="AL125" s="98">
        <f t="shared" si="91"/>
        <v>7.3745906393763543E-3</v>
      </c>
      <c r="AM125" s="98" t="str">
        <f t="shared" si="75"/>
        <v>1+7.38209905463727i</v>
      </c>
      <c r="AN125" s="98">
        <f t="shared" si="92"/>
        <v>7.4495225654048776</v>
      </c>
      <c r="AO125" s="98">
        <f t="shared" si="93"/>
        <v>1.4361530847588033</v>
      </c>
      <c r="AP125" s="168" t="str">
        <f t="shared" si="94"/>
        <v>-0.0992983801998061+0.0141977209202118i</v>
      </c>
      <c r="AQ125" s="98">
        <f t="shared" si="95"/>
        <v>-19.973267542957188</v>
      </c>
      <c r="AR125" s="169">
        <f t="shared" si="96"/>
        <v>171.86297757210045</v>
      </c>
      <c r="AS125" s="168" t="str">
        <f t="shared" si="97"/>
        <v>0.515509495019627+4.65865439315403i</v>
      </c>
      <c r="AT125" s="190">
        <f t="shared" si="98"/>
        <v>13.418065485250688</v>
      </c>
      <c r="AU125" s="169">
        <f t="shared" si="99"/>
        <v>83.685550056520398</v>
      </c>
      <c r="AV125" s="225"/>
      <c r="AX125">
        <f t="shared" si="100"/>
        <v>0</v>
      </c>
      <c r="AY125">
        <f t="shared" si="101"/>
        <v>0</v>
      </c>
    </row>
    <row r="126" spans="14:51" x14ac:dyDescent="0.55000000000000004">
      <c r="N126" s="170">
        <v>8</v>
      </c>
      <c r="O126" s="199">
        <f t="shared" si="102"/>
        <v>120.22644346174135</v>
      </c>
      <c r="P126" s="189" t="str">
        <f t="shared" si="67"/>
        <v>1078.86904761905</v>
      </c>
      <c r="Q126" s="160" t="str">
        <f t="shared" si="68"/>
        <v>1+23.6064069716647i</v>
      </c>
      <c r="R126" s="160">
        <f t="shared" si="77"/>
        <v>23.62757816856945</v>
      </c>
      <c r="S126" s="160">
        <f t="shared" si="78"/>
        <v>1.5284602575145811</v>
      </c>
      <c r="T126" s="160" t="str">
        <f t="shared" si="69"/>
        <v>1+0.0000151081004618654i</v>
      </c>
      <c r="U126" s="160">
        <f t="shared" si="79"/>
        <v>1.0000000001141274</v>
      </c>
      <c r="V126" s="160">
        <f t="shared" si="80"/>
        <v>1.5108100460715901E-5</v>
      </c>
      <c r="W126" s="98" t="str">
        <f t="shared" si="70"/>
        <v>1-0.0109267825780396i</v>
      </c>
      <c r="X126" s="160">
        <f t="shared" si="81"/>
        <v>1.0000596955069772</v>
      </c>
      <c r="Y126" s="160">
        <f t="shared" si="82"/>
        <v>-1.0926347742992868E-2</v>
      </c>
      <c r="Z126" s="98" t="str">
        <f t="shared" si="71"/>
        <v>0.999973826350914+0.000867940089636383i</v>
      </c>
      <c r="AA126" s="160">
        <f t="shared" si="83"/>
        <v>0.9999742030207015</v>
      </c>
      <c r="AB126" s="160">
        <f t="shared" si="84"/>
        <v>8.6796258942776518E-4</v>
      </c>
      <c r="AC126" s="171" t="str">
        <f t="shared" si="85"/>
        <v>1.3951724462585-45.644017842497i</v>
      </c>
      <c r="AD126" s="190">
        <f t="shared" si="86"/>
        <v>33.191733064181378</v>
      </c>
      <c r="AE126" s="169">
        <f t="shared" si="87"/>
        <v>-88.249220482986857</v>
      </c>
      <c r="AF126" s="98" t="str">
        <f t="shared" si="72"/>
        <v>-9.95024875621891E-06</v>
      </c>
      <c r="AG126" s="98" t="str">
        <f t="shared" si="73"/>
        <v>0.000756160428116364i</v>
      </c>
      <c r="AH126" s="98">
        <f t="shared" si="88"/>
        <v>7.5616042811636405E-4</v>
      </c>
      <c r="AI126" s="98">
        <f t="shared" si="89"/>
        <v>1.5707963267948966</v>
      </c>
      <c r="AJ126" s="98" t="str">
        <f t="shared" si="74"/>
        <v>1+0.0075465037272055i</v>
      </c>
      <c r="AK126" s="98">
        <f t="shared" si="90"/>
        <v>1.0000284744538552</v>
      </c>
      <c r="AL126" s="98">
        <f t="shared" si="91"/>
        <v>7.5463604750127186E-3</v>
      </c>
      <c r="AM126" s="98" t="str">
        <f t="shared" si="75"/>
        <v>1+7.55405023093271i</v>
      </c>
      <c r="AN126" s="98">
        <f t="shared" si="92"/>
        <v>7.6199524205505735</v>
      </c>
      <c r="AO126" s="98">
        <f t="shared" si="93"/>
        <v>1.4391822650024901</v>
      </c>
      <c r="AP126" s="168" t="str">
        <f t="shared" si="94"/>
        <v>-0.0992981256967079+0.0139082659729045i</v>
      </c>
      <c r="AQ126" s="98">
        <f t="shared" si="95"/>
        <v>-19.976802282586693</v>
      </c>
      <c r="AR126" s="169">
        <f t="shared" si="96"/>
        <v>172.02669512881849</v>
      </c>
      <c r="AS126" s="168" t="str">
        <f t="shared" si="97"/>
        <v>0.496291131288287+4.55176985048768i</v>
      </c>
      <c r="AT126" s="190">
        <f t="shared" si="98"/>
        <v>13.214930781594687</v>
      </c>
      <c r="AU126" s="169">
        <f t="shared" si="99"/>
        <v>83.777474645831632</v>
      </c>
      <c r="AV126" s="225"/>
      <c r="AX126">
        <f t="shared" si="100"/>
        <v>0</v>
      </c>
      <c r="AY126">
        <f t="shared" si="101"/>
        <v>0</v>
      </c>
    </row>
    <row r="127" spans="14:51" x14ac:dyDescent="0.55000000000000004">
      <c r="N127" s="170">
        <v>9</v>
      </c>
      <c r="O127" s="199">
        <f t="shared" si="102"/>
        <v>123.02687708123821</v>
      </c>
      <c r="P127" s="189" t="str">
        <f t="shared" si="67"/>
        <v>1078.86904761905</v>
      </c>
      <c r="Q127" s="160" t="str">
        <f t="shared" si="68"/>
        <v>1+24.156270827032i</v>
      </c>
      <c r="R127" s="160">
        <f t="shared" si="77"/>
        <v>24.176960525858441</v>
      </c>
      <c r="S127" s="160">
        <f t="shared" si="78"/>
        <v>1.5294228319645111</v>
      </c>
      <c r="T127" s="160" t="str">
        <f t="shared" si="69"/>
        <v>1+0.0000154600133293005i</v>
      </c>
      <c r="U127" s="160">
        <f t="shared" si="79"/>
        <v>1.000000000119506</v>
      </c>
      <c r="V127" s="160">
        <f t="shared" si="80"/>
        <v>1.546001332806879E-5</v>
      </c>
      <c r="W127" s="98" t="str">
        <f t="shared" si="70"/>
        <v>1-0.0111813000402833i</v>
      </c>
      <c r="X127" s="160">
        <f t="shared" si="81"/>
        <v>1.0000625087816215</v>
      </c>
      <c r="Y127" s="160">
        <f t="shared" si="82"/>
        <v>-1.1180834107709028E-2</v>
      </c>
      <c r="Z127" s="98" t="str">
        <f t="shared" si="71"/>
        <v>0.999972592824836+0.00088815701144444i</v>
      </c>
      <c r="AA127" s="160">
        <f t="shared" si="83"/>
        <v>0.99997298724700667</v>
      </c>
      <c r="AB127" s="160">
        <f t="shared" si="84"/>
        <v>8.8818112043443785E-4</v>
      </c>
      <c r="AC127" s="171" t="str">
        <f t="shared" si="85"/>
        <v>1.30829823576571-44.6086634114674i</v>
      </c>
      <c r="AD127" s="190">
        <f t="shared" si="86"/>
        <v>32.992118203505989</v>
      </c>
      <c r="AE127" s="169">
        <f t="shared" si="87"/>
        <v>-88.320091204449426</v>
      </c>
      <c r="AF127" s="98" t="str">
        <f t="shared" si="72"/>
        <v>-9.95024875621891E-06</v>
      </c>
      <c r="AG127" s="98" t="str">
        <f t="shared" si="73"/>
        <v>0.00077377366713149i</v>
      </c>
      <c r="AH127" s="98">
        <f t="shared" si="88"/>
        <v>7.7377366713148998E-4</v>
      </c>
      <c r="AI127" s="98">
        <f t="shared" si="89"/>
        <v>1.5707963267948966</v>
      </c>
      <c r="AJ127" s="98" t="str">
        <f t="shared" si="74"/>
        <v>1+0.00772228438026998i</v>
      </c>
      <c r="AK127" s="98">
        <f t="shared" si="90"/>
        <v>1.0000298163935162</v>
      </c>
      <c r="AL127" s="98">
        <f t="shared" si="91"/>
        <v>7.7221308830270731E-3</v>
      </c>
      <c r="AM127" s="98" t="str">
        <f t="shared" si="75"/>
        <v>1+7.73000666465025i</v>
      </c>
      <c r="AN127" s="98">
        <f t="shared" si="92"/>
        <v>7.7944212764988059</v>
      </c>
      <c r="AO127" s="98">
        <f t="shared" si="93"/>
        <v>1.4421448420360514</v>
      </c>
      <c r="AP127" s="168" t="str">
        <f t="shared" si="94"/>
        <v>-0.0992978592006464+0.0136261851912454i</v>
      </c>
      <c r="AQ127" s="98">
        <f t="shared" si="95"/>
        <v>-19.980181629106209</v>
      </c>
      <c r="AR127" s="169">
        <f t="shared" si="96"/>
        <v>172.18636738678146</v>
      </c>
      <c r="AS127" s="168" t="str">
        <f t="shared" si="97"/>
        <v>0.47793469477107+4.44737189260684i</v>
      </c>
      <c r="AT127" s="190">
        <f t="shared" si="98"/>
        <v>13.01193657439978</v>
      </c>
      <c r="AU127" s="169">
        <f t="shared" si="99"/>
        <v>83.866276182332044</v>
      </c>
      <c r="AV127" s="225"/>
      <c r="AX127">
        <f t="shared" si="100"/>
        <v>0</v>
      </c>
      <c r="AY127">
        <f t="shared" si="101"/>
        <v>0</v>
      </c>
    </row>
    <row r="128" spans="14:51" x14ac:dyDescent="0.55000000000000004">
      <c r="N128" s="170">
        <v>10</v>
      </c>
      <c r="O128" s="199">
        <f t="shared" si="102"/>
        <v>125.89254117941677</v>
      </c>
      <c r="P128" s="189" t="str">
        <f t="shared" si="67"/>
        <v>1078.86904761905</v>
      </c>
      <c r="Q128" s="160" t="str">
        <f t="shared" si="68"/>
        <v>1+24.7189426569379i</v>
      </c>
      <c r="R128" s="160">
        <f t="shared" si="77"/>
        <v>24.739161790104863</v>
      </c>
      <c r="S128" s="160">
        <f t="shared" si="78"/>
        <v>1.5303635696773579</v>
      </c>
      <c r="T128" s="160" t="str">
        <f t="shared" si="69"/>
        <v>1+0.0000158201233004402i</v>
      </c>
      <c r="U128" s="160">
        <f t="shared" si="79"/>
        <v>1.0000000001251381</v>
      </c>
      <c r="V128" s="160">
        <f t="shared" si="80"/>
        <v>1.5820123299120399E-5</v>
      </c>
      <c r="W128" s="98" t="str">
        <f t="shared" si="70"/>
        <v>1-0.0114417459758104i</v>
      </c>
      <c r="X128" s="160">
        <f t="shared" si="81"/>
        <v>1.000065454633333</v>
      </c>
      <c r="Y128" s="160">
        <f t="shared" si="82"/>
        <v>-1.144124672182693E-2</v>
      </c>
      <c r="Z128" s="98" t="str">
        <f t="shared" si="71"/>
        <v>0.999971301164464+0.000908844845856112i</v>
      </c>
      <c r="AA128" s="160">
        <f t="shared" si="83"/>
        <v>0.9999717141757084</v>
      </c>
      <c r="AB128" s="160">
        <f t="shared" si="84"/>
        <v>9.0887067913705257E-4</v>
      </c>
      <c r="AC128" s="171" t="str">
        <f t="shared" si="85"/>
        <v>1.22532086670448-43.5966378060111i</v>
      </c>
      <c r="AD128" s="190">
        <f t="shared" si="86"/>
        <v>32.792489259196941</v>
      </c>
      <c r="AE128" s="169">
        <f t="shared" si="87"/>
        <v>-88.390076840357381</v>
      </c>
      <c r="AF128" s="98" t="str">
        <f t="shared" si="72"/>
        <v>-9.95024875621891E-06</v>
      </c>
      <c r="AG128" s="98" t="str">
        <f t="shared" si="73"/>
        <v>0.000791797171187035i</v>
      </c>
      <c r="AH128" s="98">
        <f t="shared" si="88"/>
        <v>7.9179717118703504E-4</v>
      </c>
      <c r="AI128" s="98">
        <f t="shared" si="89"/>
        <v>1.5707963267948966</v>
      </c>
      <c r="AJ128" s="98" t="str">
        <f t="shared" si="74"/>
        <v>1+0.00790215949072939i</v>
      </c>
      <c r="AK128" s="98">
        <f t="shared" si="90"/>
        <v>1.000031221574915</v>
      </c>
      <c r="AL128" s="98">
        <f t="shared" si="91"/>
        <v>7.9019950157476499E-3</v>
      </c>
      <c r="AM128" s="98" t="str">
        <f t="shared" si="75"/>
        <v>1+7.91006165022012i</v>
      </c>
      <c r="AN128" s="98">
        <f t="shared" si="92"/>
        <v>7.9730217176603162</v>
      </c>
      <c r="AO128" s="98">
        <f t="shared" si="93"/>
        <v>1.445042178529621</v>
      </c>
      <c r="AP128" s="168" t="str">
        <f t="shared" si="94"/>
        <v>-0.0992975801465454+0.0133513289993222i</v>
      </c>
      <c r="AQ128" s="98">
        <f t="shared" si="95"/>
        <v>-19.983412393463691</v>
      </c>
      <c r="AR128" s="169">
        <f t="shared" si="96"/>
        <v>172.34206708400151</v>
      </c>
      <c r="AS128" s="168" t="str">
        <f t="shared" si="97"/>
        <v>0.46040165764552+4.3454002986834i</v>
      </c>
      <c r="AT128" s="190">
        <f t="shared" si="98"/>
        <v>12.809076865733239</v>
      </c>
      <c r="AU128" s="169">
        <f t="shared" si="99"/>
        <v>83.951990243644147</v>
      </c>
      <c r="AV128" s="225"/>
      <c r="AX128">
        <f t="shared" si="100"/>
        <v>0</v>
      </c>
      <c r="AY128">
        <f t="shared" si="101"/>
        <v>0</v>
      </c>
    </row>
    <row r="129" spans="14:51" x14ac:dyDescent="0.55000000000000004">
      <c r="N129" s="170">
        <v>11</v>
      </c>
      <c r="O129" s="199">
        <f t="shared" si="102"/>
        <v>128.82495516931343</v>
      </c>
      <c r="P129" s="189" t="str">
        <f t="shared" si="67"/>
        <v>1078.86904761905</v>
      </c>
      <c r="Q129" s="160" t="str">
        <f t="shared" si="68"/>
        <v>1+25.2947207974343i</v>
      </c>
      <c r="R129" s="160">
        <f t="shared" si="77"/>
        <v>25.314480050361599</v>
      </c>
      <c r="S129" s="160">
        <f t="shared" si="78"/>
        <v>1.5312829627805831</v>
      </c>
      <c r="T129" s="160" t="str">
        <f t="shared" si="69"/>
        <v>1+0.000016188621310358i</v>
      </c>
      <c r="U129" s="160">
        <f t="shared" si="79"/>
        <v>1.0000000001310356</v>
      </c>
      <c r="V129" s="160">
        <f t="shared" si="80"/>
        <v>1.6188621308943806E-5</v>
      </c>
      <c r="W129" s="98" t="str">
        <f t="shared" si="70"/>
        <v>1-0.0117082584765033i</v>
      </c>
      <c r="X129" s="160">
        <f t="shared" si="81"/>
        <v>1.0000685393094579</v>
      </c>
      <c r="Y129" s="160">
        <f t="shared" si="82"/>
        <v>-1.170772351820192E-2</v>
      </c>
      <c r="Z129" s="98" t="str">
        <f t="shared" si="71"/>
        <v>0.999969948630015+0.000930014561835042i</v>
      </c>
      <c r="AA129" s="160">
        <f t="shared" si="83"/>
        <v>0.99997038110646053</v>
      </c>
      <c r="AB129" s="160">
        <f t="shared" si="84"/>
        <v>9.3004224273100821E-4</v>
      </c>
      <c r="AC129" s="171" t="str">
        <f t="shared" si="85"/>
        <v>1.14606609728312-42.6074259444406i</v>
      </c>
      <c r="AD129" s="190">
        <f t="shared" si="86"/>
        <v>32.592847014736748</v>
      </c>
      <c r="AE129" s="169">
        <f t="shared" si="87"/>
        <v>-88.459214108514985</v>
      </c>
      <c r="AF129" s="98" t="str">
        <f t="shared" si="72"/>
        <v>-9.95024875621891E-06</v>
      </c>
      <c r="AG129" s="98" t="str">
        <f t="shared" si="73"/>
        <v>0.000810240496583417i</v>
      </c>
      <c r="AH129" s="98">
        <f t="shared" si="88"/>
        <v>8.1024049658341701E-4</v>
      </c>
      <c r="AI129" s="98">
        <f t="shared" si="89"/>
        <v>1.5707963267948966</v>
      </c>
      <c r="AJ129" s="98" t="str">
        <f t="shared" si="74"/>
        <v>1+0.00808622443074824i</v>
      </c>
      <c r="AK129" s="98">
        <f t="shared" si="90"/>
        <v>1.0000326929783567</v>
      </c>
      <c r="AL129" s="98">
        <f t="shared" si="91"/>
        <v>8.0860481929412517E-3</v>
      </c>
      <c r="AM129" s="98" t="str">
        <f t="shared" si="75"/>
        <v>1+8.09431065517899i</v>
      </c>
      <c r="AN129" s="98">
        <f t="shared" si="92"/>
        <v>8.1558485139526784</v>
      </c>
      <c r="AO129" s="98">
        <f t="shared" si="93"/>
        <v>1.4478756160108577</v>
      </c>
      <c r="AP129" s="168" t="str">
        <f t="shared" si="94"/>
        <v>-0.0992972879427112+0.0130835516508695i</v>
      </c>
      <c r="AQ129" s="98">
        <f t="shared" si="95"/>
        <v>-19.986501102205466</v>
      </c>
      <c r="AR129" s="169">
        <f t="shared" si="96"/>
        <v>172.49386562293139</v>
      </c>
      <c r="AS129" s="168" t="str">
        <f t="shared" si="97"/>
        <v>0.443655202791385+4.24579645748198i</v>
      </c>
      <c r="AT129" s="190">
        <f t="shared" si="98"/>
        <v>12.606345912531287</v>
      </c>
      <c r="AU129" s="169">
        <f t="shared" si="99"/>
        <v>84.034651514416424</v>
      </c>
      <c r="AV129" s="225"/>
      <c r="AX129">
        <f t="shared" si="100"/>
        <v>0</v>
      </c>
      <c r="AY129">
        <f t="shared" si="101"/>
        <v>0</v>
      </c>
    </row>
    <row r="130" spans="14:51" x14ac:dyDescent="0.55000000000000004">
      <c r="N130" s="170">
        <v>12</v>
      </c>
      <c r="O130" s="199">
        <f t="shared" si="102"/>
        <v>131.82567385564084</v>
      </c>
      <c r="P130" s="189" t="str">
        <f t="shared" si="67"/>
        <v>1078.86904761905</v>
      </c>
      <c r="Q130" s="160" t="str">
        <f t="shared" si="68"/>
        <v>1+25.8839105337128i</v>
      </c>
      <c r="R130" s="160">
        <f t="shared" si="77"/>
        <v>25.903220350320311</v>
      </c>
      <c r="S130" s="160">
        <f t="shared" si="78"/>
        <v>1.5321814925278503</v>
      </c>
      <c r="T130" s="160" t="str">
        <f t="shared" si="69"/>
        <v>1+0.0000165657027415762i</v>
      </c>
      <c r="U130" s="160">
        <f t="shared" si="79"/>
        <v>1.0000000001372111</v>
      </c>
      <c r="V130" s="160">
        <f t="shared" si="80"/>
        <v>1.6565702740060863E-5</v>
      </c>
      <c r="W130" s="98" t="str">
        <f t="shared" si="70"/>
        <v>1-0.0119809788508176i</v>
      </c>
      <c r="X130" s="160">
        <f t="shared" si="81"/>
        <v>1.0000717693516918</v>
      </c>
      <c r="Y130" s="160">
        <f t="shared" si="82"/>
        <v>-1.198040563489189E-2</v>
      </c>
      <c r="Z130" s="98" t="str">
        <f t="shared" si="71"/>
        <v>0.99996853235258+0.000951677383844856i</v>
      </c>
      <c r="AA130" s="160">
        <f t="shared" si="83"/>
        <v>0.99996898521164934</v>
      </c>
      <c r="AB130" s="160">
        <f t="shared" si="84"/>
        <v>9.5170704450047285E-4</v>
      </c>
      <c r="AC130" s="171" t="str">
        <f t="shared" si="85"/>
        <v>1.07036742708574-41.6405234132398i</v>
      </c>
      <c r="AD130" s="190">
        <f t="shared" si="86"/>
        <v>32.393192225707246</v>
      </c>
      <c r="AE130" s="169">
        <f t="shared" si="87"/>
        <v>-88.52753930176624</v>
      </c>
      <c r="AF130" s="98" t="str">
        <f t="shared" si="72"/>
        <v>-9.95024875621891E-06</v>
      </c>
      <c r="AG130" s="98" t="str">
        <f t="shared" si="73"/>
        <v>0.00082911342221589i</v>
      </c>
      <c r="AH130" s="98">
        <f t="shared" si="88"/>
        <v>8.2911342221588999E-4</v>
      </c>
      <c r="AI130" s="98">
        <f t="shared" si="89"/>
        <v>1.5707963267948966</v>
      </c>
      <c r="AJ130" s="98" t="str">
        <f t="shared" si="74"/>
        <v>1+0.00827457679399412i</v>
      </c>
      <c r="AK130" s="98">
        <f t="shared" si="90"/>
        <v>1.0000342337245858</v>
      </c>
      <c r="AL130" s="98">
        <f t="shared" si="91"/>
        <v>8.274387952130759E-3</v>
      </c>
      <c r="AM130" s="98" t="str">
        <f t="shared" si="75"/>
        <v>1+8.28285137078811i</v>
      </c>
      <c r="AN130" s="98">
        <f t="shared" si="92"/>
        <v>8.3429986713750868</v>
      </c>
      <c r="AO130" s="98">
        <f t="shared" si="93"/>
        <v>1.4506464747255514</v>
      </c>
      <c r="AP130" s="168" t="str">
        <f t="shared" si="94"/>
        <v>-0.0992969819695775+0.0128227111519264i</v>
      </c>
      <c r="AQ130" s="98">
        <f t="shared" si="95"/>
        <v>-19.989454008696754</v>
      </c>
      <c r="AR130" s="169">
        <f t="shared" si="96"/>
        <v>172.64183305959432</v>
      </c>
      <c r="AS130" s="168" t="str">
        <f t="shared" si="97"/>
        <v>0.427660148834847+4.14850331491219i</v>
      </c>
      <c r="AT130" s="190">
        <f t="shared" si="98"/>
        <v>12.403738217010487</v>
      </c>
      <c r="AU130" s="169">
        <f t="shared" si="99"/>
        <v>84.114293757828108</v>
      </c>
      <c r="AV130" s="225"/>
      <c r="AX130">
        <f t="shared" si="100"/>
        <v>0</v>
      </c>
      <c r="AY130">
        <f t="shared" si="101"/>
        <v>0</v>
      </c>
    </row>
    <row r="131" spans="14:51" x14ac:dyDescent="0.55000000000000004">
      <c r="N131" s="170">
        <v>13</v>
      </c>
      <c r="O131" s="199">
        <f t="shared" si="102"/>
        <v>134.89628825916537</v>
      </c>
      <c r="P131" s="189" t="str">
        <f t="shared" si="67"/>
        <v>1078.86904761905</v>
      </c>
      <c r="Q131" s="160" t="str">
        <f t="shared" si="68"/>
        <v>1+26.4868242619703i</v>
      </c>
      <c r="R131" s="160">
        <f t="shared" si="77"/>
        <v>26.505694850060024</v>
      </c>
      <c r="S131" s="160">
        <f t="shared" si="78"/>
        <v>1.5330596295247498</v>
      </c>
      <c r="T131" s="160" t="str">
        <f t="shared" si="69"/>
        <v>1+0.000016951567527661i</v>
      </c>
      <c r="U131" s="160">
        <f t="shared" si="79"/>
        <v>1.000000000143678</v>
      </c>
      <c r="V131" s="160">
        <f t="shared" si="80"/>
        <v>1.6951567526037291E-5</v>
      </c>
      <c r="W131" s="98" t="str">
        <f t="shared" si="70"/>
        <v>1-0.0122600516987055i</v>
      </c>
      <c r="X131" s="160">
        <f t="shared" si="81"/>
        <v>1.0000751516099453</v>
      </c>
      <c r="Y131" s="160">
        <f t="shared" si="82"/>
        <v>-1.2259437489267817E-2</v>
      </c>
      <c r="Z131" s="98" t="str">
        <f t="shared" si="71"/>
        <v>0.999967049328047+0.000973844797800521i</v>
      </c>
      <c r="AA131" s="160">
        <f t="shared" si="83"/>
        <v>0.99996752353040497</v>
      </c>
      <c r="AB131" s="160">
        <f t="shared" si="84"/>
        <v>9.7387657981184961E-4</v>
      </c>
      <c r="AC131" s="171" t="str">
        <f t="shared" si="85"/>
        <v>0.998065757456993-40.6954362941069i</v>
      </c>
      <c r="AD131" s="190">
        <f t="shared" si="86"/>
        <v>32.193525621364344</v>
      </c>
      <c r="AE131" s="169">
        <f t="shared" si="87"/>
        <v>-88.595088305511723</v>
      </c>
      <c r="AF131" s="98" t="str">
        <f t="shared" si="72"/>
        <v>-9.95024875621891E-06</v>
      </c>
      <c r="AG131" s="98" t="str">
        <f t="shared" si="73"/>
        <v>0.000848425954759433i</v>
      </c>
      <c r="AH131" s="98">
        <f t="shared" si="88"/>
        <v>8.4842595475943295E-4</v>
      </c>
      <c r="AI131" s="98">
        <f t="shared" si="89"/>
        <v>1.5707963267948966</v>
      </c>
      <c r="AJ131" s="98" t="str">
        <f t="shared" si="74"/>
        <v>1+0.00846731644738312i</v>
      </c>
      <c r="AK131" s="98">
        <f t="shared" si="90"/>
        <v>1.0000358470814035</v>
      </c>
      <c r="AL131" s="98">
        <f t="shared" si="91"/>
        <v>8.4671141000726338E-3</v>
      </c>
      <c r="AM131" s="98" t="str">
        <f t="shared" si="75"/>
        <v>1+8.4757837638305i</v>
      </c>
      <c r="AN131" s="98">
        <f t="shared" si="92"/>
        <v>8.5345714837484774</v>
      </c>
      <c r="AO131" s="98">
        <f t="shared" si="93"/>
        <v>1.4533560535387888</v>
      </c>
      <c r="AP131" s="168" t="str">
        <f t="shared" si="94"/>
        <v>-0.0992966615783955+0.0125686691854786i</v>
      </c>
      <c r="AQ131" s="98">
        <f t="shared" si="95"/>
        <v>-19.992277103982726</v>
      </c>
      <c r="AR131" s="169">
        <f t="shared" si="96"/>
        <v>172.78603809497207</v>
      </c>
      <c r="AS131" s="168" t="str">
        <f t="shared" si="97"/>
        <v>0.412382878388157+4.05346532381192i</v>
      </c>
      <c r="AT131" s="190">
        <f t="shared" si="98"/>
        <v>12.20124851738162</v>
      </c>
      <c r="AU131" s="169">
        <f t="shared" si="99"/>
        <v>84.190949789460348</v>
      </c>
      <c r="AV131" s="225"/>
      <c r="AX131">
        <f t="shared" si="100"/>
        <v>0</v>
      </c>
      <c r="AY131">
        <f t="shared" si="101"/>
        <v>0</v>
      </c>
    </row>
    <row r="132" spans="14:51" x14ac:dyDescent="0.55000000000000004">
      <c r="N132" s="170">
        <v>14</v>
      </c>
      <c r="O132" s="199">
        <f t="shared" si="102"/>
        <v>138.0384264602886</v>
      </c>
      <c r="P132" s="189" t="str">
        <f t="shared" si="67"/>
        <v>1078.86904761905</v>
      </c>
      <c r="Q132" s="160" t="str">
        <f t="shared" si="68"/>
        <v>1+27.1037816550461i</v>
      </c>
      <c r="R132" s="160">
        <f t="shared" si="77"/>
        <v>27.122222991569355</v>
      </c>
      <c r="S132" s="160">
        <f t="shared" si="78"/>
        <v>1.533917833950825</v>
      </c>
      <c r="T132" s="160" t="str">
        <f t="shared" si="69"/>
        <v>1+0.0000173464202592295i</v>
      </c>
      <c r="U132" s="160">
        <f t="shared" si="79"/>
        <v>1.000000000150449</v>
      </c>
      <c r="V132" s="160">
        <f t="shared" si="80"/>
        <v>1.7346420257489663E-5</v>
      </c>
      <c r="W132" s="98" t="str">
        <f t="shared" si="70"/>
        <v>1-0.0125456249882852i</v>
      </c>
      <c r="X132" s="160">
        <f t="shared" si="81"/>
        <v>1.0000786932568591</v>
      </c>
      <c r="Y132" s="160">
        <f t="shared" si="82"/>
        <v>-1.2544966853812184E-2</v>
      </c>
      <c r="Z132" s="98" t="str">
        <f t="shared" si="71"/>
        <v>0.99996549641072+0.000996528557158342i</v>
      </c>
      <c r="AA132" s="160">
        <f t="shared" si="83"/>
        <v>0.99996599296231203</v>
      </c>
      <c r="AB132" s="160">
        <f t="shared" si="84"/>
        <v>9.9656261224891117E-4</v>
      </c>
      <c r="AC132" s="171" t="str">
        <f t="shared" si="85"/>
        <v>0.929009066402414-39.7716809903471i</v>
      </c>
      <c r="AD132" s="190">
        <f t="shared" si="86"/>
        <v>31.993847906159971</v>
      </c>
      <c r="AE132" s="169">
        <f t="shared" si="87"/>
        <v>-88.661896615118224</v>
      </c>
      <c r="AF132" s="98" t="str">
        <f t="shared" si="72"/>
        <v>-9.95024875621891E-06</v>
      </c>
      <c r="AG132" s="98" t="str">
        <f t="shared" si="73"/>
        <v>0.000868188333974437i</v>
      </c>
      <c r="AH132" s="98">
        <f t="shared" si="88"/>
        <v>8.6818833397443696E-4</v>
      </c>
      <c r="AI132" s="98">
        <f t="shared" si="89"/>
        <v>1.5707963267948966</v>
      </c>
      <c r="AJ132" s="98" t="str">
        <f t="shared" si="74"/>
        <v>1+0.00866454558403072i</v>
      </c>
      <c r="AK132" s="98">
        <f t="shared" si="90"/>
        <v>1.0000375364705956</v>
      </c>
      <c r="AL132" s="98">
        <f t="shared" si="91"/>
        <v>8.6643287654207118E-3</v>
      </c>
      <c r="AM132" s="98" t="str">
        <f t="shared" si="75"/>
        <v>1+8.67321012961475i</v>
      </c>
      <c r="AN132" s="98">
        <f t="shared" si="92"/>
        <v>8.730668585649779</v>
      </c>
      <c r="AO132" s="98">
        <f t="shared" si="93"/>
        <v>1.4560056298736783</v>
      </c>
      <c r="AP132" s="168" t="str">
        <f t="shared" si="94"/>
        <v>-0.099296326089858+0.0123212910380448i</v>
      </c>
      <c r="AQ132" s="98">
        <f t="shared" si="95"/>
        <v>-19.994976127295764</v>
      </c>
      <c r="AR132" s="169">
        <f t="shared" si="96"/>
        <v>172.92654806847636</v>
      </c>
      <c r="AS132" s="168" t="str">
        <f t="shared" si="97"/>
        <v>0.397791269356412+3.96062839584344i</v>
      </c>
      <c r="AT132" s="190">
        <f t="shared" si="98"/>
        <v>11.998871778864208</v>
      </c>
      <c r="AU132" s="169">
        <f t="shared" si="99"/>
        <v>84.264651453358169</v>
      </c>
      <c r="AV132" s="225"/>
      <c r="AX132">
        <f t="shared" si="100"/>
        <v>0</v>
      </c>
      <c r="AY132">
        <f t="shared" si="101"/>
        <v>0</v>
      </c>
    </row>
    <row r="133" spans="14:51" x14ac:dyDescent="0.55000000000000004">
      <c r="N133" s="170">
        <v>15</v>
      </c>
      <c r="O133" s="199">
        <f t="shared" si="102"/>
        <v>141.25375446227542</v>
      </c>
      <c r="P133" s="189" t="str">
        <f t="shared" si="67"/>
        <v>1078.86904761905</v>
      </c>
      <c r="Q133" s="160" t="str">
        <f t="shared" si="68"/>
        <v>1+27.7351098319163i</v>
      </c>
      <c r="R133" s="160">
        <f t="shared" si="77"/>
        <v>27.753131668128194</v>
      </c>
      <c r="S133" s="160">
        <f t="shared" si="78"/>
        <v>1.5347565557778935</v>
      </c>
      <c r="T133" s="160" t="str">
        <f t="shared" si="69"/>
        <v>1+0.0000177504702924264i</v>
      </c>
      <c r="U133" s="160">
        <f t="shared" si="79"/>
        <v>1.0000000001575398</v>
      </c>
      <c r="V133" s="160">
        <f t="shared" si="80"/>
        <v>1.775047029056213E-5</v>
      </c>
      <c r="W133" s="98" t="str">
        <f t="shared" si="70"/>
        <v>1-0.0128378501342945i</v>
      </c>
      <c r="X133" s="160">
        <f t="shared" si="81"/>
        <v>1.0000824018030068</v>
      </c>
      <c r="Y133" s="160">
        <f t="shared" si="82"/>
        <v>-1.2837144933639385E-2</v>
      </c>
      <c r="Z133" s="98" t="str">
        <f t="shared" si="71"/>
        <v>0.999963870306655+0.00101974068914778i</v>
      </c>
      <c r="AA133" s="160">
        <f t="shared" si="83"/>
        <v>0.99996439026084216</v>
      </c>
      <c r="AB133" s="160">
        <f t="shared" si="84"/>
        <v>1.0197771798929659E-3</v>
      </c>
      <c r="AC133" s="171" t="str">
        <f t="shared" si="85"/>
        <v>0.863052097417871-38.8687840529226i</v>
      </c>
      <c r="AD133" s="190">
        <f t="shared" si="86"/>
        <v>31.794159761213074</v>
      </c>
      <c r="AE133" s="169">
        <f t="shared" si="87"/>
        <v>-88.7279993532227</v>
      </c>
      <c r="AF133" s="98" t="str">
        <f t="shared" si="72"/>
        <v>-9.95024875621891E-06</v>
      </c>
      <c r="AG133" s="98" t="str">
        <f t="shared" si="73"/>
        <v>0.000888411038135943i</v>
      </c>
      <c r="AH133" s="98">
        <f t="shared" si="88"/>
        <v>8.8841103813594295E-4</v>
      </c>
      <c r="AI133" s="98">
        <f t="shared" si="89"/>
        <v>1.5707963267948966</v>
      </c>
      <c r="AJ133" s="98" t="str">
        <f t="shared" si="74"/>
        <v>1+0.00886636877743578i</v>
      </c>
      <c r="AK133" s="98">
        <f t="shared" si="90"/>
        <v>1.0000393054751886</v>
      </c>
      <c r="AL133" s="98">
        <f t="shared" si="91"/>
        <v>8.8661364526025892E-3</v>
      </c>
      <c r="AM133" s="98" t="str">
        <f t="shared" si="75"/>
        <v>1+8.87523514621322i</v>
      </c>
      <c r="AN133" s="98">
        <f t="shared" si="92"/>
        <v>8.9313940065690982</v>
      </c>
      <c r="AO133" s="98">
        <f t="shared" si="93"/>
        <v>1.4585964596847953</v>
      </c>
      <c r="AP133" s="168" t="str">
        <f t="shared" si="94"/>
        <v>-0.0992959747926629+0.012080445528168i</v>
      </c>
      <c r="AQ133" s="98">
        <f t="shared" si="95"/>
        <v>-19.997556576213807</v>
      </c>
      <c r="AR133" s="169">
        <f t="shared" si="96"/>
        <v>173.06342895334126</v>
      </c>
      <c r="AS133" s="168" t="str">
        <f t="shared" si="97"/>
        <v>0.383854629187497+3.86993985539129i</v>
      </c>
      <c r="AT133" s="190">
        <f t="shared" si="98"/>
        <v>11.79660318499927</v>
      </c>
      <c r="AU133" s="169">
        <f t="shared" si="99"/>
        <v>84.335429600118573</v>
      </c>
      <c r="AV133" s="225"/>
      <c r="AX133">
        <f t="shared" si="100"/>
        <v>0</v>
      </c>
      <c r="AY133">
        <f t="shared" si="101"/>
        <v>0</v>
      </c>
    </row>
    <row r="134" spans="14:51" x14ac:dyDescent="0.55000000000000004">
      <c r="N134" s="170">
        <v>16</v>
      </c>
      <c r="O134" s="199">
        <f t="shared" si="102"/>
        <v>144.54397707459285</v>
      </c>
      <c r="P134" s="189" t="str">
        <f t="shared" si="67"/>
        <v>1078.86904761905</v>
      </c>
      <c r="Q134" s="160" t="str">
        <f t="shared" si="68"/>
        <v>1+28.381143531137i</v>
      </c>
      <c r="R134" s="160">
        <f t="shared" si="77"/>
        <v>28.398755397640219</v>
      </c>
      <c r="S134" s="160">
        <f t="shared" si="78"/>
        <v>1.5355762349846549</v>
      </c>
      <c r="T134" s="160" t="str">
        <f t="shared" si="69"/>
        <v>1+0.0000181639318599277i</v>
      </c>
      <c r="U134" s="160">
        <f t="shared" si="79"/>
        <v>1.0000000001649643</v>
      </c>
      <c r="V134" s="160">
        <f t="shared" si="80"/>
        <v>1.8163931857930103E-5</v>
      </c>
      <c r="W134" s="98" t="str">
        <f t="shared" si="70"/>
        <v>1-0.0131368820783741i</v>
      </c>
      <c r="X134" s="160">
        <f t="shared" si="81"/>
        <v>1.0000862851128103</v>
      </c>
      <c r="Y134" s="160">
        <f t="shared" si="82"/>
        <v>-1.3136126445779116E-2</v>
      </c>
      <c r="Z134" s="98" t="str">
        <f t="shared" si="71"/>
        <v>0.999962167566666+0.00104349350114847i</v>
      </c>
      <c r="AA134" s="160">
        <f t="shared" si="83"/>
        <v>0.99996271202645959</v>
      </c>
      <c r="AB134" s="160">
        <f t="shared" si="84"/>
        <v>1.0435326017517014E-3</v>
      </c>
      <c r="AC134" s="171" t="str">
        <f t="shared" si="85"/>
        <v>0.800056061682314-37.9862820064513i</v>
      </c>
      <c r="AD134" s="190">
        <f t="shared" si="86"/>
        <v>31.594461845733363</v>
      </c>
      <c r="AE134" s="169">
        <f t="shared" si="87"/>
        <v>-88.793431286933071</v>
      </c>
      <c r="AF134" s="98" t="str">
        <f t="shared" si="72"/>
        <v>-9.95024875621891E-06</v>
      </c>
      <c r="AG134" s="98" t="str">
        <f t="shared" si="73"/>
        <v>0.000909104789589381i</v>
      </c>
      <c r="AH134" s="98">
        <f t="shared" si="88"/>
        <v>9.0910478958938095E-4</v>
      </c>
      <c r="AI134" s="98">
        <f t="shared" si="89"/>
        <v>1.5707963267948966</v>
      </c>
      <c r="AJ134" s="98" t="str">
        <f t="shared" si="74"/>
        <v>1+0.00907289303692692i</v>
      </c>
      <c r="AK134" s="98">
        <f t="shared" si="90"/>
        <v>1.0000411578470456</v>
      </c>
      <c r="AL134" s="98">
        <f t="shared" si="91"/>
        <v>9.0726440969364098E-3</v>
      </c>
      <c r="AM134" s="98" t="str">
        <f t="shared" si="75"/>
        <v>1+9.08196592996385i</v>
      </c>
      <c r="AN134" s="98">
        <f t="shared" si="92"/>
        <v>9.1368542263201373</v>
      </c>
      <c r="AO134" s="98">
        <f t="shared" si="93"/>
        <v>1.461129777463676</v>
      </c>
      <c r="AP134" s="168" t="str">
        <f t="shared" si="94"/>
        <v>-0.0992956069420051+0.0118460049367746i</v>
      </c>
      <c r="AQ134" s="98">
        <f t="shared" si="95"/>
        <v>-20.000023716476761</v>
      </c>
      <c r="AR134" s="169">
        <f t="shared" si="96"/>
        <v>173.19674535377914</v>
      </c>
      <c r="AS134" s="168" t="str">
        <f t="shared" si="97"/>
        <v>0.370543631945759+3.78134839535713i</v>
      </c>
      <c r="AT134" s="190">
        <f t="shared" si="98"/>
        <v>11.594438129256591</v>
      </c>
      <c r="AU134" s="169">
        <f t="shared" si="99"/>
        <v>84.403314066846036</v>
      </c>
      <c r="AV134" s="225"/>
      <c r="AX134">
        <f t="shared" si="100"/>
        <v>0</v>
      </c>
      <c r="AY134">
        <f t="shared" si="101"/>
        <v>0</v>
      </c>
    </row>
    <row r="135" spans="14:51" x14ac:dyDescent="0.55000000000000004">
      <c r="N135" s="170">
        <v>17</v>
      </c>
      <c r="O135" s="199">
        <f t="shared" si="102"/>
        <v>147.91083881682084</v>
      </c>
      <c r="P135" s="189" t="str">
        <f t="shared" si="67"/>
        <v>1078.86904761905</v>
      </c>
      <c r="Q135" s="160" t="str">
        <f t="shared" si="68"/>
        <v>1+29.0422252883268i</v>
      </c>
      <c r="R135" s="160">
        <f t="shared" si="77"/>
        <v>29.059436500006818</v>
      </c>
      <c r="S135" s="160">
        <f t="shared" si="78"/>
        <v>1.5363773017675892</v>
      </c>
      <c r="T135" s="160" t="str">
        <f t="shared" si="69"/>
        <v>1+0.0000185870241845291i</v>
      </c>
      <c r="U135" s="160">
        <f t="shared" si="79"/>
        <v>1.0000000001727387</v>
      </c>
      <c r="V135" s="160">
        <f t="shared" si="80"/>
        <v>1.8587024182388636E-5</v>
      </c>
      <c r="W135" s="98" t="str">
        <f t="shared" si="70"/>
        <v>1-0.0134428793712189i</v>
      </c>
      <c r="X135" s="160">
        <f t="shared" si="81"/>
        <v>1.0000903514212049</v>
      </c>
      <c r="Y135" s="160">
        <f t="shared" si="82"/>
        <v>-1.3442069700256335E-2</v>
      </c>
      <c r="Z135" s="98" t="str">
        <f t="shared" si="71"/>
        <v>0.999960384579014+0.00106779958721574i</v>
      </c>
      <c r="AA135" s="160">
        <f t="shared" si="83"/>
        <v>0.99996095469941637</v>
      </c>
      <c r="AB135" s="160">
        <f t="shared" si="84"/>
        <v>1.0678414843402183E-3</v>
      </c>
      <c r="AC135" s="171" t="str">
        <f t="shared" si="85"/>
        <v>0.739888353068379-37.1237211754159i</v>
      </c>
      <c r="AD135" s="190">
        <f t="shared" si="86"/>
        <v>31.394754798400534</v>
      </c>
      <c r="AE135" s="169">
        <f t="shared" si="87"/>
        <v>-88.858226844927827</v>
      </c>
      <c r="AF135" s="98" t="str">
        <f t="shared" si="72"/>
        <v>-9.95024875621891E-06</v>
      </c>
      <c r="AG135" s="98" t="str">
        <f t="shared" si="73"/>
        <v>0.000930280560435683i</v>
      </c>
      <c r="AH135" s="98">
        <f t="shared" si="88"/>
        <v>9.3028056043568301E-4</v>
      </c>
      <c r="AI135" s="98">
        <f t="shared" si="89"/>
        <v>1.5707963267948966</v>
      </c>
      <c r="AJ135" s="98" t="str">
        <f t="shared" si="74"/>
        <v>1+0.00928422786440017i</v>
      </c>
      <c r="AK135" s="98">
        <f t="shared" si="90"/>
        <v>1.0000430975148211</v>
      </c>
      <c r="AL135" s="98">
        <f t="shared" si="91"/>
        <v>9.2839611210153491E-3</v>
      </c>
      <c r="AM135" s="98" t="str">
        <f t="shared" si="75"/>
        <v>1+9.29351209226457i</v>
      </c>
      <c r="AN135" s="98">
        <f t="shared" si="92"/>
        <v>9.3471582317337383</v>
      </c>
      <c r="AO135" s="98">
        <f t="shared" si="93"/>
        <v>1.4636067962738264</v>
      </c>
      <c r="AP135" s="168" t="str">
        <f t="shared" si="94"/>
        <v>-0.0992952217580011+0.0116178449393628i</v>
      </c>
      <c r="AQ135" s="98">
        <f t="shared" si="95"/>
        <v>-20.002382591466979</v>
      </c>
      <c r="AR135" s="169">
        <f t="shared" si="96"/>
        <v>173.32656050375621</v>
      </c>
      <c r="AS135" s="168" t="str">
        <f t="shared" si="97"/>
        <v>0.357830258094034+3.69480403475351i</v>
      </c>
      <c r="AT135" s="190">
        <f t="shared" si="98"/>
        <v>11.392372206933549</v>
      </c>
      <c r="AU135" s="169">
        <f t="shared" si="99"/>
        <v>84.468333658828385</v>
      </c>
      <c r="AV135" s="225"/>
      <c r="AX135">
        <f t="shared" si="100"/>
        <v>0</v>
      </c>
      <c r="AY135">
        <f t="shared" si="101"/>
        <v>0</v>
      </c>
    </row>
    <row r="136" spans="14:51" x14ac:dyDescent="0.55000000000000004">
      <c r="N136" s="170">
        <v>18</v>
      </c>
      <c r="O136" s="199">
        <f t="shared" si="102"/>
        <v>151.3561248436209</v>
      </c>
      <c r="P136" s="189" t="str">
        <f t="shared" si="67"/>
        <v>1078.86904761905</v>
      </c>
      <c r="Q136" s="160" t="str">
        <f t="shared" si="68"/>
        <v>1+29.7187056177837i</v>
      </c>
      <c r="R136" s="160">
        <f t="shared" si="77"/>
        <v>29.735525278637478</v>
      </c>
      <c r="S136" s="160">
        <f t="shared" si="78"/>
        <v>1.5371601767481509</v>
      </c>
      <c r="T136" s="160" t="str">
        <f t="shared" si="69"/>
        <v>1+0.0000190199715953816i</v>
      </c>
      <c r="U136" s="160">
        <f t="shared" si="79"/>
        <v>1.0000000001808798</v>
      </c>
      <c r="V136" s="160">
        <f t="shared" si="80"/>
        <v>1.901997159308805E-5</v>
      </c>
      <c r="W136" s="98" t="str">
        <f t="shared" si="70"/>
        <v>1-0.0137560042566438i</v>
      </c>
      <c r="X136" s="160">
        <f t="shared" si="81"/>
        <v>1.0000946093510898</v>
      </c>
      <c r="Y136" s="160">
        <f t="shared" si="82"/>
        <v>-1.3755136683009145E-2</v>
      </c>
      <c r="Z136" s="98" t="str">
        <f t="shared" si="71"/>
        <v>0.999958517561743+0.00109267183475815i</v>
      </c>
      <c r="AA136" s="160">
        <f t="shared" si="83"/>
        <v>0.99995911455219866</v>
      </c>
      <c r="AB136" s="160">
        <f t="shared" si="84"/>
        <v>1.0927167284180725E-3</v>
      </c>
      <c r="AC136" s="171" t="str">
        <f t="shared" si="85"/>
        <v>0.682422275444669-36.2806575108208i</v>
      </c>
      <c r="AD136" s="190">
        <f t="shared" si="86"/>
        <v>31.195039238701121</v>
      </c>
      <c r="AE136" s="169">
        <f t="shared" si="87"/>
        <v>-88.922420134457667</v>
      </c>
      <c r="AF136" s="98" t="str">
        <f t="shared" si="72"/>
        <v>-9.95024875621891E-06</v>
      </c>
      <c r="AG136" s="98" t="str">
        <f t="shared" si="73"/>
        <v>0.000951949578348847i</v>
      </c>
      <c r="AH136" s="98">
        <f t="shared" si="88"/>
        <v>9.5194957834884701E-4</v>
      </c>
      <c r="AI136" s="98">
        <f t="shared" si="89"/>
        <v>1.5707963267948966</v>
      </c>
      <c r="AJ136" s="98" t="str">
        <f t="shared" si="74"/>
        <v>1+0.0095004853123784i</v>
      </c>
      <c r="AK136" s="98">
        <f t="shared" si="90"/>
        <v>1.0000451285922904</v>
      </c>
      <c r="AL136" s="98">
        <f t="shared" si="91"/>
        <v>9.500199492388629E-3</v>
      </c>
      <c r="AM136" s="98" t="str">
        <f t="shared" si="75"/>
        <v>1+9.50998579769078i</v>
      </c>
      <c r="AN136" s="98">
        <f t="shared" si="92"/>
        <v>9.5624175746659574</v>
      </c>
      <c r="AO136" s="98">
        <f t="shared" si="93"/>
        <v>1.4660287078128771</v>
      </c>
      <c r="AP136" s="168" t="str">
        <f t="shared" si="94"/>
        <v>-0.0992948184240371+0.011395844539983i</v>
      </c>
      <c r="AQ136" s="98">
        <f t="shared" si="95"/>
        <v>-20.004638031361523</v>
      </c>
      <c r="AR136" s="169">
        <f t="shared" si="96"/>
        <v>173.45293626724936</v>
      </c>
      <c r="AS136" s="168" t="str">
        <f t="shared" si="97"/>
        <v>0.345687736872884+3.61025807800322i</v>
      </c>
      <c r="AT136" s="190">
        <f t="shared" si="98"/>
        <v>11.190401207339606</v>
      </c>
      <c r="AU136" s="169">
        <f t="shared" si="99"/>
        <v>84.530516132791718</v>
      </c>
      <c r="AV136" s="225"/>
      <c r="AX136">
        <f t="shared" si="100"/>
        <v>0</v>
      </c>
      <c r="AY136">
        <f t="shared" si="101"/>
        <v>0</v>
      </c>
    </row>
    <row r="137" spans="14:51" x14ac:dyDescent="0.55000000000000004">
      <c r="N137" s="170">
        <v>19</v>
      </c>
      <c r="O137" s="199">
        <f t="shared" si="102"/>
        <v>154.8816618912482</v>
      </c>
      <c r="P137" s="189" t="str">
        <f t="shared" si="67"/>
        <v>1078.86904761905</v>
      </c>
      <c r="Q137" s="160" t="str">
        <f t="shared" si="68"/>
        <v>1+30.4109431983327i</v>
      </c>
      <c r="R137" s="160">
        <f t="shared" si="77"/>
        <v>30.427380206192872</v>
      </c>
      <c r="S137" s="160">
        <f t="shared" si="78"/>
        <v>1.5379252711762732</v>
      </c>
      <c r="T137" s="160" t="str">
        <f t="shared" si="69"/>
        <v>1+0.0000194630036469329i</v>
      </c>
      <c r="U137" s="160">
        <f t="shared" si="79"/>
        <v>1.0000000001894043</v>
      </c>
      <c r="V137" s="160">
        <f t="shared" si="80"/>
        <v>1.9463003644475316E-5</v>
      </c>
      <c r="W137" s="98" t="str">
        <f t="shared" si="70"/>
        <v>1-0.0140764227576078i</v>
      </c>
      <c r="X137" s="160">
        <f t="shared" si="81"/>
        <v>1.000099067931598</v>
      </c>
      <c r="Y137" s="160">
        <f t="shared" si="82"/>
        <v>-1.4075493140682974E-2</v>
      </c>
      <c r="Z137" s="98" t="str">
        <f t="shared" si="71"/>
        <v>0.999956562554658+0.00111812343137057i</v>
      </c>
      <c r="AA137" s="160">
        <f t="shared" si="83"/>
        <v>0.99995718768162034</v>
      </c>
      <c r="AB137" s="160">
        <f t="shared" si="84"/>
        <v>1.1181715358861025E-3</v>
      </c>
      <c r="AC137" s="171" t="str">
        <f t="shared" si="85"/>
        <v>0.627536781763352-35.4566564175202i</v>
      </c>
      <c r="AD137" s="190">
        <f t="shared" si="86"/>
        <v>30.995315768226675</v>
      </c>
      <c r="AE137" s="169">
        <f t="shared" si="87"/>
        <v>-88.986044958252023</v>
      </c>
      <c r="AF137" s="98" t="str">
        <f t="shared" si="72"/>
        <v>-9.95024875621891E-06</v>
      </c>
      <c r="AG137" s="98" t="str">
        <f t="shared" si="73"/>
        <v>0.000974123332528994i</v>
      </c>
      <c r="AH137" s="98">
        <f t="shared" si="88"/>
        <v>9.7412333252899395E-4</v>
      </c>
      <c r="AI137" s="98">
        <f t="shared" si="89"/>
        <v>1.5707963267948966</v>
      </c>
      <c r="AJ137" s="98" t="str">
        <f t="shared" si="74"/>
        <v>1+0.00972178004342305i</v>
      </c>
      <c r="AK137" s="98">
        <f t="shared" si="90"/>
        <v>1.0000472553870705</v>
      </c>
      <c r="AL137" s="98">
        <f t="shared" si="91"/>
        <v>9.7214737825677879E-3</v>
      </c>
      <c r="AM137" s="98" t="str">
        <f t="shared" si="75"/>
        <v>1+9.73150182346647i</v>
      </c>
      <c r="AN137" s="98">
        <f t="shared" si="92"/>
        <v>9.7827464313520487</v>
      </c>
      <c r="AO137" s="98">
        <f t="shared" si="93"/>
        <v>1.4683966824996384</v>
      </c>
      <c r="AP137" s="168" t="str">
        <f t="shared" si="94"/>
        <v>-0.0992943960850409+0.0111798860069777i</v>
      </c>
      <c r="AQ137" s="98">
        <f t="shared" si="95"/>
        <v>-20.006794661963319</v>
      </c>
      <c r="AR137" s="169">
        <f t="shared" si="96"/>
        <v>173.57593313985262</v>
      </c>
      <c r="AS137" s="168" t="str">
        <f t="shared" si="97"/>
        <v>0.334090491170108+3.52766307585776i</v>
      </c>
      <c r="AT137" s="190">
        <f t="shared" si="98"/>
        <v>10.988521106263358</v>
      </c>
      <c r="AU137" s="169">
        <f t="shared" si="99"/>
        <v>84.589888181600614</v>
      </c>
      <c r="AV137" s="225"/>
      <c r="AX137">
        <f t="shared" si="100"/>
        <v>0</v>
      </c>
      <c r="AY137">
        <f t="shared" si="101"/>
        <v>0</v>
      </c>
    </row>
    <row r="138" spans="14:51" x14ac:dyDescent="0.55000000000000004">
      <c r="N138" s="170">
        <v>20</v>
      </c>
      <c r="O138" s="199">
        <f t="shared" si="102"/>
        <v>158.48931924611153</v>
      </c>
      <c r="P138" s="189" t="str">
        <f t="shared" si="67"/>
        <v>1078.86904761905</v>
      </c>
      <c r="Q138" s="160" t="str">
        <f t="shared" si="68"/>
        <v>1+31.119305063502i</v>
      </c>
      <c r="R138" s="160">
        <f t="shared" si="77"/>
        <v>31.135368114658629</v>
      </c>
      <c r="S138" s="160">
        <f t="shared" si="78"/>
        <v>1.5386729871301981</v>
      </c>
      <c r="T138" s="160" t="str">
        <f t="shared" si="69"/>
        <v>1+0.0000199163552406413i</v>
      </c>
      <c r="U138" s="160">
        <f t="shared" si="79"/>
        <v>1.0000000001983307</v>
      </c>
      <c r="V138" s="160">
        <f t="shared" si="80"/>
        <v>1.9916355238007952E-5</v>
      </c>
      <c r="W138" s="98" t="str">
        <f t="shared" si="70"/>
        <v>1-0.0144043047642414i</v>
      </c>
      <c r="X138" s="160">
        <f t="shared" si="81"/>
        <v>1.0001037366172276</v>
      </c>
      <c r="Y138" s="160">
        <f t="shared" si="82"/>
        <v>-1.4403308667340175E-2</v>
      </c>
      <c r="Z138" s="98" t="str">
        <f t="shared" si="71"/>
        <v>0.999954515410928+0.00114416787182641i</v>
      </c>
      <c r="AA138" s="160">
        <f t="shared" si="83"/>
        <v>0.9999551700005469</v>
      </c>
      <c r="AB138" s="160">
        <f t="shared" si="84"/>
        <v>1.1442194168469698E-3</v>
      </c>
      <c r="AC138" s="171" t="str">
        <f t="shared" si="85"/>
        <v>0.575116224444922-34.6512925824108i</v>
      </c>
      <c r="AD138" s="190">
        <f t="shared" si="86"/>
        <v>30.795584971934606</v>
      </c>
      <c r="AE138" s="169">
        <f t="shared" si="87"/>
        <v>-89.049134831334214</v>
      </c>
      <c r="AF138" s="98" t="str">
        <f t="shared" si="72"/>
        <v>-9.95024875621891E-06</v>
      </c>
      <c r="AG138" s="98" t="str">
        <f t="shared" si="73"/>
        <v>0.000996813579794095i</v>
      </c>
      <c r="AH138" s="98">
        <f t="shared" si="88"/>
        <v>9.9681357979409494E-4</v>
      </c>
      <c r="AI138" s="98">
        <f t="shared" si="89"/>
        <v>1.5707963267948966</v>
      </c>
      <c r="AJ138" s="98" t="str">
        <f t="shared" si="74"/>
        <v>1+0.0099482293909297i</v>
      </c>
      <c r="AK138" s="98">
        <f t="shared" si="90"/>
        <v>1.0000494824097528</v>
      </c>
      <c r="AL138" s="98">
        <f t="shared" si="91"/>
        <v>9.9479012273878138E-3</v>
      </c>
      <c r="AM138" s="98" t="str">
        <f t="shared" si="75"/>
        <v>1+9.95817762032063i</v>
      </c>
      <c r="AN138" s="98">
        <f t="shared" si="92"/>
        <v>10.008261663138841</v>
      </c>
      <c r="AO138" s="98">
        <f t="shared" si="93"/>
        <v>1.4707118695839552</v>
      </c>
      <c r="AP138" s="168" t="str">
        <f t="shared" si="94"/>
        <v>-0.0992939538456719+0.0109698548104434i</v>
      </c>
      <c r="AQ138" s="98">
        <f t="shared" si="95"/>
        <v>-20.008856913219219</v>
      </c>
      <c r="AR138" s="169">
        <f t="shared" si="96"/>
        <v>173.695610251613</v>
      </c>
      <c r="AS138" s="168" t="str">
        <f t="shared" si="97"/>
        <v>0.32301408477731+3.44697278785206i</v>
      </c>
      <c r="AT138" s="190">
        <f t="shared" si="98"/>
        <v>10.786728058715383</v>
      </c>
      <c r="AU138" s="169">
        <f t="shared" si="99"/>
        <v>84.64647542027879</v>
      </c>
      <c r="AV138" s="225"/>
      <c r="AX138">
        <f t="shared" si="100"/>
        <v>0</v>
      </c>
      <c r="AY138">
        <f t="shared" si="101"/>
        <v>0</v>
      </c>
    </row>
    <row r="139" spans="14:51" x14ac:dyDescent="0.55000000000000004">
      <c r="N139" s="170">
        <v>21</v>
      </c>
      <c r="O139" s="199">
        <f t="shared" si="102"/>
        <v>162.18100973589304</v>
      </c>
      <c r="P139" s="189" t="str">
        <f t="shared" si="67"/>
        <v>1078.86904761905</v>
      </c>
      <c r="Q139" s="160" t="str">
        <f t="shared" si="68"/>
        <v>1+31.8441667961284i</v>
      </c>
      <c r="R139" s="160">
        <f t="shared" si="77"/>
        <v>31.859864389850227</v>
      </c>
      <c r="S139" s="160">
        <f t="shared" si="78"/>
        <v>1.5394037177126503</v>
      </c>
      <c r="T139" s="160" t="str">
        <f t="shared" si="69"/>
        <v>1+0.0000203802667495222i</v>
      </c>
      <c r="U139" s="160">
        <f t="shared" si="79"/>
        <v>1.0000000002076777</v>
      </c>
      <c r="V139" s="160">
        <f t="shared" si="80"/>
        <v>2.0380266746700518E-5</v>
      </c>
      <c r="W139" s="98" t="str">
        <f t="shared" si="70"/>
        <v>1-0.0147398241239244i</v>
      </c>
      <c r="X139" s="160">
        <f t="shared" si="81"/>
        <v>1.0001086253078733</v>
      </c>
      <c r="Y139" s="160">
        <f t="shared" si="82"/>
        <v>-1.473875679312585E-2</v>
      </c>
      <c r="Z139" s="98" t="str">
        <f t="shared" si="71"/>
        <v>0.999952371788286+0.00117081896523275i</v>
      </c>
      <c r="AA139" s="160">
        <f t="shared" si="83"/>
        <v>0.99995305722922201</v>
      </c>
      <c r="AB139" s="160">
        <f t="shared" si="84"/>
        <v>1.1708741968334956E-3</v>
      </c>
      <c r="AC139" s="171" t="str">
        <f t="shared" si="85"/>
        <v>0.525050116590798-33.8641498036779i</v>
      </c>
      <c r="AD139" s="190">
        <f t="shared" si="86"/>
        <v>30.595847419376156</v>
      </c>
      <c r="AE139" s="169">
        <f t="shared" si="87"/>
        <v>-89.111722997748515</v>
      </c>
      <c r="AF139" s="98" t="str">
        <f t="shared" si="72"/>
        <v>-9.95024875621891E-06</v>
      </c>
      <c r="AG139" s="98" t="str">
        <f t="shared" si="73"/>
        <v>0.00102003235081359i</v>
      </c>
      <c r="AH139" s="98">
        <f t="shared" si="88"/>
        <v>1.0200323508135899E-3</v>
      </c>
      <c r="AI139" s="98">
        <f t="shared" si="89"/>
        <v>1.5707963267948966</v>
      </c>
      <c r="AJ139" s="98" t="str">
        <f t="shared" si="74"/>
        <v>1+0.0101799534213398i</v>
      </c>
      <c r="AK139" s="98">
        <f t="shared" si="90"/>
        <v>1.0000518143834651</v>
      </c>
      <c r="AL139" s="98">
        <f t="shared" si="91"/>
        <v>1.0179601788753361E-2</v>
      </c>
      <c r="AM139" s="98" t="str">
        <f t="shared" si="75"/>
        <v>1+10.1901333747611i</v>
      </c>
      <c r="AN139" s="98">
        <f t="shared" si="92"/>
        <v>10.239082878628341</v>
      </c>
      <c r="AO139" s="98">
        <f t="shared" si="93"/>
        <v>1.4729753972773798</v>
      </c>
      <c r="AP139" s="168" t="str">
        <f t="shared" si="94"/>
        <v>-0.0992934907684252+0.0107656395613818i</v>
      </c>
      <c r="AQ139" s="98">
        <f t="shared" si="95"/>
        <v>-20.010829027432862</v>
      </c>
      <c r="AR139" s="169">
        <f t="shared" si="96"/>
        <v>173.81202537098017</v>
      </c>
      <c r="AS139" s="168" t="str">
        <f t="shared" si="97"/>
        <v>0.312435171934365+3.36814214621894i</v>
      </c>
      <c r="AT139" s="190">
        <f t="shared" si="98"/>
        <v>10.585018391943297</v>
      </c>
      <c r="AU139" s="169">
        <f t="shared" si="99"/>
        <v>84.700302373231693</v>
      </c>
      <c r="AV139" s="225"/>
      <c r="AX139">
        <f t="shared" si="100"/>
        <v>0</v>
      </c>
      <c r="AY139">
        <f t="shared" si="101"/>
        <v>0</v>
      </c>
    </row>
    <row r="140" spans="14:51" x14ac:dyDescent="0.55000000000000004">
      <c r="N140" s="170">
        <v>22</v>
      </c>
      <c r="O140" s="199">
        <f t="shared" si="102"/>
        <v>165.95869074375622</v>
      </c>
      <c r="P140" s="189" t="str">
        <f t="shared" si="67"/>
        <v>1078.86904761905</v>
      </c>
      <c r="Q140" s="160" t="str">
        <f t="shared" si="68"/>
        <v>1+32.5859127274978i</v>
      </c>
      <c r="R140" s="160">
        <f t="shared" si="77"/>
        <v>32.601253170455017</v>
      </c>
      <c r="S140" s="160">
        <f t="shared" si="78"/>
        <v>1.5401178472433832</v>
      </c>
      <c r="T140" s="160" t="str">
        <f t="shared" si="69"/>
        <v>1+0.0000208549841455986i</v>
      </c>
      <c r="U140" s="160">
        <f t="shared" si="79"/>
        <v>1.0000000002174652</v>
      </c>
      <c r="V140" s="160">
        <f t="shared" si="80"/>
        <v>2.0854984142575112E-5</v>
      </c>
      <c r="W140" s="98" t="str">
        <f t="shared" si="70"/>
        <v>1-0.0150831587334627i</v>
      </c>
      <c r="X140" s="160">
        <f t="shared" si="81"/>
        <v>1.0001137443697985</v>
      </c>
      <c r="Y140" s="160">
        <f t="shared" si="82"/>
        <v>-1.5082015074931837E-2</v>
      </c>
      <c r="Z140" s="98" t="str">
        <f t="shared" si="71"/>
        <v>0.999950127139822+0.00119809084235208i</v>
      </c>
      <c r="AA140" s="160">
        <f t="shared" si="83"/>
        <v>0.99995084488619368</v>
      </c>
      <c r="AB140" s="160">
        <f t="shared" si="84"/>
        <v>1.1981500242088348E-3</v>
      </c>
      <c r="AC140" s="171" t="str">
        <f t="shared" si="85"/>
        <v>0.477232903571426-33.0948208212476i</v>
      </c>
      <c r="AD140" s="190">
        <f t="shared" si="86"/>
        <v>30.396103665891335</v>
      </c>
      <c r="AE140" s="169">
        <f t="shared" si="87"/>
        <v>-89.173842447203654</v>
      </c>
      <c r="AF140" s="98" t="str">
        <f t="shared" si="72"/>
        <v>-9.95024875621891E-06</v>
      </c>
      <c r="AG140" s="98" t="str">
        <f t="shared" si="73"/>
        <v>0.00104379195648721i</v>
      </c>
      <c r="AH140" s="98">
        <f t="shared" si="88"/>
        <v>1.04379195648721E-3</v>
      </c>
      <c r="AI140" s="98">
        <f t="shared" si="89"/>
        <v>1.5707963267948966</v>
      </c>
      <c r="AJ140" s="98" t="str">
        <f t="shared" si="74"/>
        <v>1+0.0104170749978015i</v>
      </c>
      <c r="AK140" s="98">
        <f t="shared" si="90"/>
        <v>1.0000542562538843</v>
      </c>
      <c r="AL140" s="98">
        <f t="shared" si="91"/>
        <v>1.04166982178008E-2</v>
      </c>
      <c r="AM140" s="98" t="str">
        <f t="shared" si="75"/>
        <v>1+10.4274920727993i</v>
      </c>
      <c r="AN140" s="98">
        <f t="shared" si="92"/>
        <v>10.475332497266722</v>
      </c>
      <c r="AO140" s="98">
        <f t="shared" si="93"/>
        <v>1.4751883729028188</v>
      </c>
      <c r="AP140" s="168" t="str">
        <f t="shared" si="94"/>
        <v>-0.0992930058716504+0.0105671319525084i</v>
      </c>
      <c r="AQ140" s="98">
        <f t="shared" si="95"/>
        <v>-20.012715067180288</v>
      </c>
      <c r="AR140" s="169">
        <f t="shared" si="96"/>
        <v>173.92523490976109</v>
      </c>
      <c r="AS140" s="168" t="str">
        <f t="shared" si="97"/>
        <v>0.302331449066283+3.29112722118947i</v>
      </c>
      <c r="AT140" s="190">
        <f t="shared" si="98"/>
        <v>10.383388598711036</v>
      </c>
      <c r="AU140" s="169">
        <f t="shared" si="99"/>
        <v>84.751392462557462</v>
      </c>
      <c r="AV140" s="225"/>
      <c r="AX140">
        <f t="shared" si="100"/>
        <v>0</v>
      </c>
      <c r="AY140">
        <f t="shared" si="101"/>
        <v>0</v>
      </c>
    </row>
    <row r="141" spans="14:51" x14ac:dyDescent="0.55000000000000004">
      <c r="N141" s="170">
        <v>23</v>
      </c>
      <c r="O141" s="199">
        <f t="shared" si="102"/>
        <v>169.82436524617444</v>
      </c>
      <c r="P141" s="189" t="str">
        <f t="shared" si="67"/>
        <v>1078.86904761905</v>
      </c>
      <c r="Q141" s="160" t="str">
        <f t="shared" si="68"/>
        <v>1+33.3449361411206i</v>
      </c>
      <c r="R141" s="160">
        <f t="shared" si="77"/>
        <v>33.35992755171106</v>
      </c>
      <c r="S141" s="160">
        <f t="shared" si="78"/>
        <v>1.5408157514481198</v>
      </c>
      <c r="T141" s="160" t="str">
        <f t="shared" si="69"/>
        <v>1+0.0000213407591303172i</v>
      </c>
      <c r="U141" s="160">
        <f t="shared" si="79"/>
        <v>1.0000000002277138</v>
      </c>
      <c r="V141" s="160">
        <f t="shared" si="80"/>
        <v>2.1340759127077475E-5</v>
      </c>
      <c r="W141" s="98" t="str">
        <f t="shared" si="70"/>
        <v>1-0.0154344906334106i</v>
      </c>
      <c r="X141" s="160">
        <f t="shared" si="81"/>
        <v>1.0001191046575968</v>
      </c>
      <c r="Y141" s="160">
        <f t="shared" si="82"/>
        <v>-1.5433265189098084E-2</v>
      </c>
      <c r="Z141" s="98" t="str">
        <f t="shared" si="71"/>
        <v>0.999947776704335+0.00122599796309463i</v>
      </c>
      <c r="AA141" s="160">
        <f t="shared" si="83"/>
        <v>0.99994852827880498</v>
      </c>
      <c r="AB141" s="160">
        <f t="shared" si="84"/>
        <v>1.2260613777428586E-3</v>
      </c>
      <c r="AC141" s="171" t="str">
        <f t="shared" si="85"/>
        <v>0.431563744555885-32.3429071486041i</v>
      </c>
      <c r="AD141" s="190">
        <f t="shared" si="86"/>
        <v>30.196354253776008</v>
      </c>
      <c r="AE141" s="169">
        <f t="shared" si="87"/>
        <v>-89.235525931636289</v>
      </c>
      <c r="AF141" s="98" t="str">
        <f t="shared" si="72"/>
        <v>-9.95024875621891E-06</v>
      </c>
      <c r="AG141" s="98" t="str">
        <f t="shared" si="73"/>
        <v>0.00106810499447238i</v>
      </c>
      <c r="AH141" s="98">
        <f t="shared" si="88"/>
        <v>1.0681049944723799E-3</v>
      </c>
      <c r="AI141" s="98">
        <f t="shared" si="89"/>
        <v>1.5707963267948966</v>
      </c>
      <c r="AJ141" s="98" t="str">
        <f t="shared" si="74"/>
        <v>1+0.0106597198453133i</v>
      </c>
      <c r="AK141" s="98">
        <f t="shared" si="90"/>
        <v>1.0000568131997205</v>
      </c>
      <c r="AL141" s="98">
        <f t="shared" si="91"/>
        <v>1.0659316119507446E-2</v>
      </c>
      <c r="AM141" s="98" t="str">
        <f t="shared" si="75"/>
        <v>1+10.6703795651586i</v>
      </c>
      <c r="AN141" s="98">
        <f t="shared" si="92"/>
        <v>10.717135814412087</v>
      </c>
      <c r="AO141" s="98">
        <f t="shared" si="93"/>
        <v>1.4773518830613994</v>
      </c>
      <c r="AP141" s="168" t="str">
        <f t="shared" si="94"/>
        <v>-0.0992924981274699+0.0103742267006845i</v>
      </c>
      <c r="AQ141" s="98">
        <f t="shared" si="95"/>
        <v>-20.014518922937398</v>
      </c>
      <c r="AR141" s="169">
        <f t="shared" si="96"/>
        <v>174.03529392897937</v>
      </c>
      <c r="AS141" s="168" t="str">
        <f t="shared" si="97"/>
        <v>0.292681608620609+3.21588518761152i</v>
      </c>
      <c r="AT141" s="190">
        <f t="shared" si="98"/>
        <v>10.181835330838602</v>
      </c>
      <c r="AU141" s="169">
        <f t="shared" si="99"/>
        <v>84.799767997343082</v>
      </c>
      <c r="AV141" s="225"/>
      <c r="AX141">
        <f t="shared" si="100"/>
        <v>0</v>
      </c>
      <c r="AY141">
        <f t="shared" si="101"/>
        <v>0</v>
      </c>
    </row>
    <row r="142" spans="14:51" x14ac:dyDescent="0.55000000000000004">
      <c r="N142" s="170">
        <v>24</v>
      </c>
      <c r="O142" s="199">
        <f t="shared" si="102"/>
        <v>173.78008287493768</v>
      </c>
      <c r="P142" s="189" t="str">
        <f t="shared" si="67"/>
        <v>1078.86904761905</v>
      </c>
      <c r="Q142" s="160" t="str">
        <f t="shared" si="68"/>
        <v>1+34.1216394812581i</v>
      </c>
      <c r="R142" s="160">
        <f t="shared" si="77"/>
        <v>34.136289793838927</v>
      </c>
      <c r="S142" s="160">
        <f t="shared" si="78"/>
        <v>1.5414977976439248</v>
      </c>
      <c r="T142" s="160" t="str">
        <f t="shared" si="69"/>
        <v>1+0.0000218378492680052i</v>
      </c>
      <c r="U142" s="160">
        <f t="shared" si="79"/>
        <v>1.0000000002384457</v>
      </c>
      <c r="V142" s="160">
        <f t="shared" si="80"/>
        <v>2.183784926453377E-5</v>
      </c>
      <c r="W142" s="98" t="str">
        <f t="shared" si="70"/>
        <v>1-0.0157940061045921i</v>
      </c>
      <c r="X142" s="160">
        <f t="shared" si="81"/>
        <v>1.0001247175371839</v>
      </c>
      <c r="Y142" s="160">
        <f t="shared" si="82"/>
        <v>-1.5792693026197249E-2</v>
      </c>
      <c r="Z142" s="98" t="str">
        <f t="shared" si="71"/>
        <v>0.999945315496235+0.00125455512418521i</v>
      </c>
      <c r="AA142" s="160">
        <f t="shared" si="83"/>
        <v>0.99994610249324167</v>
      </c>
      <c r="AB142" s="160">
        <f t="shared" si="84"/>
        <v>1.2546230743690585E-3</v>
      </c>
      <c r="AC142" s="171" t="str">
        <f t="shared" si="85"/>
        <v>0.387946303564474-31.6080189060969i</v>
      </c>
      <c r="AD142" s="190">
        <f t="shared" si="86"/>
        <v>29.996599713421443</v>
      </c>
      <c r="AE142" s="169">
        <f t="shared" si="87"/>
        <v>-89.296805981699663</v>
      </c>
      <c r="AF142" s="98" t="str">
        <f t="shared" si="72"/>
        <v>-9.95024875621891E-06</v>
      </c>
      <c r="AG142" s="98" t="str">
        <f t="shared" si="73"/>
        <v>0.00109298435586366i</v>
      </c>
      <c r="AH142" s="98">
        <f t="shared" si="88"/>
        <v>1.0929843558636599E-3</v>
      </c>
      <c r="AI142" s="98">
        <f t="shared" si="89"/>
        <v>1.5707963267948966</v>
      </c>
      <c r="AJ142" s="98" t="str">
        <f t="shared" si="74"/>
        <v>1+0.0109080166173852i</v>
      </c>
      <c r="AK142" s="98">
        <f t="shared" si="90"/>
        <v>1.0000594906436941</v>
      </c>
      <c r="AL142" s="98">
        <f t="shared" si="91"/>
        <v>1.0907584018780064E-2</v>
      </c>
      <c r="AM142" s="98" t="str">
        <f t="shared" si="75"/>
        <v>1+10.9189246340026i</v>
      </c>
      <c r="AN142" s="98">
        <f t="shared" si="92"/>
        <v>10.964621067917889</v>
      </c>
      <c r="AO142" s="98">
        <f t="shared" si="93"/>
        <v>1.4794669938149458</v>
      </c>
      <c r="AP142" s="168" t="str">
        <f t="shared" si="94"/>
        <v>-0.0992919664596099+0.0101868214909439i</v>
      </c>
      <c r="AQ142" s="98">
        <f t="shared" si="95"/>
        <v>-20.016244320426196</v>
      </c>
      <c r="AR142" s="169">
        <f t="shared" si="96"/>
        <v>174.14225614554337</v>
      </c>
      <c r="AS142" s="168" t="str">
        <f t="shared" si="97"/>
        <v>0.283465294917136+3.14237429282137i</v>
      </c>
      <c r="AT142" s="190">
        <f t="shared" si="98"/>
        <v>9.9803553929952464</v>
      </c>
      <c r="AU142" s="169">
        <f t="shared" si="99"/>
        <v>84.845450163843708</v>
      </c>
      <c r="AV142" s="225"/>
      <c r="AX142">
        <f t="shared" si="100"/>
        <v>0</v>
      </c>
      <c r="AY142">
        <f t="shared" si="101"/>
        <v>0</v>
      </c>
    </row>
    <row r="143" spans="14:51" x14ac:dyDescent="0.55000000000000004">
      <c r="N143" s="170">
        <v>25</v>
      </c>
      <c r="O143" s="199">
        <f t="shared" si="102"/>
        <v>177.82794100389242</v>
      </c>
      <c r="P143" s="189" t="str">
        <f t="shared" si="67"/>
        <v>1078.86904761905</v>
      </c>
      <c r="Q143" s="160" t="str">
        <f t="shared" si="68"/>
        <v>1+34.9164345663019i</v>
      </c>
      <c r="R143" s="160">
        <f t="shared" si="77"/>
        <v>34.930751535328326</v>
      </c>
      <c r="S143" s="160">
        <f t="shared" si="78"/>
        <v>1.5421643449210347</v>
      </c>
      <c r="T143" s="160" t="str">
        <f t="shared" si="69"/>
        <v>1+0.0000223465181224332i</v>
      </c>
      <c r="U143" s="160">
        <f t="shared" si="79"/>
        <v>1.0000000002496834</v>
      </c>
      <c r="V143" s="160">
        <f t="shared" si="80"/>
        <v>2.2346518118713497E-5</v>
      </c>
      <c r="W143" s="98" t="str">
        <f t="shared" si="70"/>
        <v>1-0.0161618957668686i</v>
      </c>
      <c r="X143" s="160">
        <f t="shared" si="81"/>
        <v>1.0001305949098744</v>
      </c>
      <c r="Y143" s="160">
        <f t="shared" si="82"/>
        <v>-1.6160488787941636E-2</v>
      </c>
      <c r="Z143" s="98" t="str">
        <f t="shared" si="71"/>
        <v>0.999942738294972+0.00128377746700865i</v>
      </c>
      <c r="AA143" s="160">
        <f t="shared" si="83"/>
        <v>0.99994356238411375</v>
      </c>
      <c r="AB143" s="160">
        <f t="shared" si="84"/>
        <v>1.2838502771264895E-3</v>
      </c>
      <c r="AC143" s="171" t="str">
        <f t="shared" si="85"/>
        <v>0.34628854964316-30.8897746558621i</v>
      </c>
      <c r="AD143" s="190">
        <f t="shared" si="86"/>
        <v>29.796840564429875</v>
      </c>
      <c r="AE143" s="169">
        <f t="shared" si="87"/>
        <v>-89.357714923181206</v>
      </c>
      <c r="AF143" s="98" t="str">
        <f t="shared" si="72"/>
        <v>-9.95024875621891E-06</v>
      </c>
      <c r="AG143" s="98" t="str">
        <f t="shared" si="73"/>
        <v>0.00111844323202778i</v>
      </c>
      <c r="AH143" s="98">
        <f t="shared" si="88"/>
        <v>1.11844323202778E-3</v>
      </c>
      <c r="AI143" s="98">
        <f t="shared" si="89"/>
        <v>1.5707963267948966</v>
      </c>
      <c r="AJ143" s="98" t="str">
        <f t="shared" si="74"/>
        <v>1+0.0111620969642523i</v>
      </c>
      <c r="AK143" s="98">
        <f t="shared" si="90"/>
        <v>1.000062294264032</v>
      </c>
      <c r="AL143" s="98">
        <f t="shared" si="91"/>
        <v>1.1161633428054913E-2</v>
      </c>
      <c r="AM143" s="98" t="str">
        <f t="shared" si="75"/>
        <v>1+11.1732590612166i</v>
      </c>
      <c r="AN143" s="98">
        <f t="shared" si="92"/>
        <v>11.217919506265806</v>
      </c>
      <c r="AO143" s="98">
        <f t="shared" si="93"/>
        <v>1.4815347508825232</v>
      </c>
      <c r="AP143" s="168" t="str">
        <f t="shared" si="94"/>
        <v>-0.0992914097411177+0.0100048169220808i</v>
      </c>
      <c r="AQ143" s="98">
        <f t="shared" si="95"/>
        <v>-20.017894827690149</v>
      </c>
      <c r="AR143" s="169">
        <f t="shared" si="96"/>
        <v>174.24617393963473</v>
      </c>
      <c r="AS143" s="168" t="str">
        <f t="shared" si="97"/>
        <v>0.274663061924955+3.07055382570739i</v>
      </c>
      <c r="AT143" s="190">
        <f t="shared" si="98"/>
        <v>9.7789457367397237</v>
      </c>
      <c r="AU143" s="169">
        <f t="shared" si="99"/>
        <v>84.888459016453538</v>
      </c>
      <c r="AV143" s="225"/>
      <c r="AX143">
        <f t="shared" si="100"/>
        <v>0</v>
      </c>
      <c r="AY143">
        <f t="shared" si="101"/>
        <v>0</v>
      </c>
    </row>
    <row r="144" spans="14:51" x14ac:dyDescent="0.55000000000000004">
      <c r="N144" s="170">
        <v>26</v>
      </c>
      <c r="O144" s="199">
        <f t="shared" si="102"/>
        <v>181.9700858609983</v>
      </c>
      <c r="P144" s="189" t="str">
        <f t="shared" si="67"/>
        <v>1078.86904761905</v>
      </c>
      <c r="Q144" s="160" t="str">
        <f t="shared" si="68"/>
        <v>1+35.7297428071259i</v>
      </c>
      <c r="R144" s="160">
        <f t="shared" si="77"/>
        <v>35.743734011199287</v>
      </c>
      <c r="S144" s="160">
        <f t="shared" si="78"/>
        <v>1.542815744321185</v>
      </c>
      <c r="T144" s="160" t="str">
        <f t="shared" si="69"/>
        <v>1+0.0000228670353965606i</v>
      </c>
      <c r="U144" s="160">
        <f t="shared" si="79"/>
        <v>1.0000000002614506</v>
      </c>
      <c r="V144" s="160">
        <f t="shared" si="80"/>
        <v>2.2867035392574867E-5</v>
      </c>
      <c r="W144" s="98" t="str">
        <f t="shared" si="70"/>
        <v>1-0.0165383546802085i</v>
      </c>
      <c r="X144" s="160">
        <f t="shared" si="81"/>
        <v>1.0001367492375872</v>
      </c>
      <c r="Y144" s="160">
        <f t="shared" si="82"/>
        <v>-1.6536847086259129E-2</v>
      </c>
      <c r="Z144" s="98" t="str">
        <f t="shared" si="71"/>
        <v>0.999940039633955+0.00131368048563787i</v>
      </c>
      <c r="AA144" s="160">
        <f t="shared" si="83"/>
        <v>0.9999409025635333</v>
      </c>
      <c r="AB144" s="160">
        <f t="shared" si="84"/>
        <v>1.313758503291263E-3</v>
      </c>
      <c r="AC144" s="171" t="str">
        <f t="shared" si="85"/>
        <v>0.306502565773636-30.1878012384618i</v>
      </c>
      <c r="AD144" s="190">
        <f t="shared" si="86"/>
        <v>29.597077316707665</v>
      </c>
      <c r="AE144" s="169">
        <f t="shared" si="87"/>
        <v>-89.41828489335451</v>
      </c>
      <c r="AF144" s="98" t="str">
        <f t="shared" si="72"/>
        <v>-9.95024875621891E-06</v>
      </c>
      <c r="AG144" s="98" t="str">
        <f t="shared" si="73"/>
        <v>0.00114449512159786i</v>
      </c>
      <c r="AH144" s="98">
        <f t="shared" si="88"/>
        <v>1.14449512159786E-3</v>
      </c>
      <c r="AI144" s="98">
        <f t="shared" si="89"/>
        <v>1.5707963267948966</v>
      </c>
      <c r="AJ144" s="98" t="str">
        <f t="shared" si="74"/>
        <v>1+0.0114220956026776i</v>
      </c>
      <c r="AK144" s="98">
        <f t="shared" si="90"/>
        <v>1.0000652300065014</v>
      </c>
      <c r="AL144" s="98">
        <f t="shared" si="91"/>
        <v>1.1421598916443126E-2</v>
      </c>
      <c r="AM144" s="98" t="str">
        <f t="shared" si="75"/>
        <v>1+11.4335176982803i</v>
      </c>
      <c r="AN144" s="98">
        <f t="shared" si="92"/>
        <v>11.477165458286679</v>
      </c>
      <c r="AO144" s="98">
        <f t="shared" si="93"/>
        <v>1.4835561798496422</v>
      </c>
      <c r="AP144" s="168" t="str">
        <f t="shared" si="94"/>
        <v>-0.099290826791982+0.00982811645377319i</v>
      </c>
      <c r="AQ144" s="98">
        <f t="shared" si="95"/>
        <v>-20.019473861905219</v>
      </c>
      <c r="AR144" s="169">
        <f t="shared" si="96"/>
        <v>174.3470983627324</v>
      </c>
      <c r="AS144" s="168" t="str">
        <f t="shared" si="97"/>
        <v>0.266256332885433+3.00038408690869i</v>
      </c>
      <c r="AT144" s="190">
        <f t="shared" si="98"/>
        <v>9.5776034548024374</v>
      </c>
      <c r="AU144" s="169">
        <f t="shared" si="99"/>
        <v>84.928813469377914</v>
      </c>
      <c r="AV144" s="225"/>
      <c r="AX144">
        <f t="shared" si="100"/>
        <v>0</v>
      </c>
      <c r="AY144">
        <f t="shared" si="101"/>
        <v>0</v>
      </c>
    </row>
    <row r="145" spans="14:51" x14ac:dyDescent="0.55000000000000004">
      <c r="N145" s="170">
        <v>27</v>
      </c>
      <c r="O145" s="199">
        <f t="shared" si="102"/>
        <v>186.20871366628685</v>
      </c>
      <c r="P145" s="189" t="str">
        <f t="shared" si="67"/>
        <v>1078.86904761905</v>
      </c>
      <c r="Q145" s="160" t="str">
        <f t="shared" si="68"/>
        <v>1+36.5619954305256i</v>
      </c>
      <c r="R145" s="160">
        <f t="shared" si="77"/>
        <v>36.575668276352445</v>
      </c>
      <c r="S145" s="160">
        <f t="shared" si="78"/>
        <v>1.5434523390124746</v>
      </c>
      <c r="T145" s="160" t="str">
        <f t="shared" si="69"/>
        <v>1+0.0000233996770755364i</v>
      </c>
      <c r="U145" s="160">
        <f t="shared" si="79"/>
        <v>1.0000000002737726</v>
      </c>
      <c r="V145" s="160">
        <f t="shared" si="80"/>
        <v>2.3399677071265608E-5</v>
      </c>
      <c r="W145" s="98" t="str">
        <f t="shared" si="70"/>
        <v>1-0.016923582448111i</v>
      </c>
      <c r="X145" s="160">
        <f t="shared" si="81"/>
        <v>1.0001431935692398</v>
      </c>
      <c r="Y145" s="160">
        <f t="shared" si="82"/>
        <v>-1.6921967044580925E-2</v>
      </c>
      <c r="Z145" s="98" t="str">
        <f t="shared" si="71"/>
        <v>0.999937213788963+0.00134428003504921i</v>
      </c>
      <c r="AA145" s="160">
        <f t="shared" si="83"/>
        <v>0.99993811738969485</v>
      </c>
      <c r="AB145" s="160">
        <f t="shared" si="84"/>
        <v>1.3443636327026796E-3</v>
      </c>
      <c r="AC145" s="171" t="str">
        <f t="shared" si="85"/>
        <v>0.268504366148379-29.5017336113371i</v>
      </c>
      <c r="AD145" s="190">
        <f t="shared" si="86"/>
        <v>29.397310471538432</v>
      </c>
      <c r="AE145" s="169">
        <f t="shared" si="87"/>
        <v>-89.47854785727047</v>
      </c>
      <c r="AF145" s="98" t="str">
        <f t="shared" si="72"/>
        <v>-9.95024875621891E-06</v>
      </c>
      <c r="AG145" s="98" t="str">
        <f t="shared" si="73"/>
        <v>0.0011711538376306i</v>
      </c>
      <c r="AH145" s="98">
        <f t="shared" si="88"/>
        <v>1.1711538376305999E-3</v>
      </c>
      <c r="AI145" s="98">
        <f t="shared" si="89"/>
        <v>1.5707963267948966</v>
      </c>
      <c r="AJ145" s="98" t="str">
        <f t="shared" si="74"/>
        <v>1+0.0116881503873808i</v>
      </c>
      <c r="AK145" s="98">
        <f t="shared" si="90"/>
        <v>1.0000683040970142</v>
      </c>
      <c r="AL145" s="98">
        <f t="shared" si="91"/>
        <v>1.1687618180455096E-2</v>
      </c>
      <c r="AM145" s="98" t="str">
        <f t="shared" si="75"/>
        <v>1+11.6998385377682i</v>
      </c>
      <c r="AN145" s="98">
        <f t="shared" si="92"/>
        <v>11.742496404506408</v>
      </c>
      <c r="AO145" s="98">
        <f t="shared" si="93"/>
        <v>1.4855322863887868</v>
      </c>
      <c r="AP145" s="168" t="str">
        <f t="shared" si="94"/>
        <v>-0.0992902163766367+0.00965662635520822i</v>
      </c>
      <c r="AQ145" s="98">
        <f t="shared" si="95"/>
        <v>-20.020984695936214</v>
      </c>
      <c r="AR145" s="169">
        <f t="shared" si="96"/>
        <v>174.44507914619652</v>
      </c>
      <c r="AS145" s="168" t="str">
        <f t="shared" si="97"/>
        <v>0.258227361702626+2.93182636009419i</v>
      </c>
      <c r="AT145" s="190">
        <f t="shared" si="98"/>
        <v>9.3763257756022078</v>
      </c>
      <c r="AU145" s="169">
        <f t="shared" si="99"/>
        <v>84.966531288926063</v>
      </c>
      <c r="AV145" s="225"/>
      <c r="AX145">
        <f t="shared" si="100"/>
        <v>0</v>
      </c>
      <c r="AY145">
        <f t="shared" si="101"/>
        <v>0</v>
      </c>
    </row>
    <row r="146" spans="14:51" x14ac:dyDescent="0.55000000000000004">
      <c r="N146" s="170">
        <v>28</v>
      </c>
      <c r="O146" s="199">
        <f t="shared" si="102"/>
        <v>190.54607179632498</v>
      </c>
      <c r="P146" s="189" t="str">
        <f t="shared" si="67"/>
        <v>1078.86904761905</v>
      </c>
      <c r="Q146" s="160" t="str">
        <f t="shared" si="68"/>
        <v>1+37.4136337078581i</v>
      </c>
      <c r="R146" s="160">
        <f t="shared" si="77"/>
        <v>37.426995434121814</v>
      </c>
      <c r="S146" s="160">
        <f t="shared" si="78"/>
        <v>1.5440744644607993</v>
      </c>
      <c r="T146" s="160" t="str">
        <f t="shared" si="69"/>
        <v>1+0.0000239447255730292i</v>
      </c>
      <c r="U146" s="160">
        <f t="shared" si="79"/>
        <v>1.0000000002866749</v>
      </c>
      <c r="V146" s="160">
        <f t="shared" si="80"/>
        <v>2.3944725568452965E-5</v>
      </c>
      <c r="W146" s="98" t="str">
        <f t="shared" si="70"/>
        <v>1-0.0173177833234376i</v>
      </c>
      <c r="X146" s="160">
        <f t="shared" si="81"/>
        <v>1.0001499415683817</v>
      </c>
      <c r="Y146" s="160">
        <f t="shared" si="82"/>
        <v>-1.7316052401384396E-2</v>
      </c>
      <c r="Z146" s="98" t="str">
        <f t="shared" si="71"/>
        <v>0.999934254765999+0.0013755923395288i</v>
      </c>
      <c r="AA146" s="160">
        <f t="shared" si="83"/>
        <v>0.99993520095490096</v>
      </c>
      <c r="AB146" s="160">
        <f t="shared" si="84"/>
        <v>1.37568191628835E-3</v>
      </c>
      <c r="AC146" s="171" t="str">
        <f t="shared" si="85"/>
        <v>0.232213721454919-28.8312146891614i</v>
      </c>
      <c r="AD146" s="190">
        <f t="shared" si="86"/>
        <v>29.197540522639088</v>
      </c>
      <c r="AE146" s="169">
        <f t="shared" si="87"/>
        <v>-89.538535623992445</v>
      </c>
      <c r="AF146" s="98" t="str">
        <f t="shared" si="72"/>
        <v>-9.95024875621891E-06</v>
      </c>
      <c r="AG146" s="98" t="str">
        <f t="shared" si="73"/>
        <v>0.00119843351493011i</v>
      </c>
      <c r="AH146" s="98">
        <f t="shared" si="88"/>
        <v>1.1984335149301101E-3</v>
      </c>
      <c r="AI146" s="98">
        <f t="shared" si="89"/>
        <v>1.5707963267948966</v>
      </c>
      <c r="AJ146" s="98" t="str">
        <f t="shared" si="74"/>
        <v>1+0.0119604023841305i</v>
      </c>
      <c r="AK146" s="98">
        <f t="shared" si="90"/>
        <v>1.0000715230548214</v>
      </c>
      <c r="AL146" s="98">
        <f t="shared" si="91"/>
        <v>1.1959832116337931E-2</v>
      </c>
      <c r="AM146" s="98" t="str">
        <f t="shared" si="75"/>
        <v>1+11.9723627865146i</v>
      </c>
      <c r="AN146" s="98">
        <f t="shared" si="92"/>
        <v>12.014053050154208</v>
      </c>
      <c r="AO146" s="98">
        <f t="shared" si="93"/>
        <v>1.4874640564900197</v>
      </c>
      <c r="AP146" s="168" t="str">
        <f t="shared" si="94"/>
        <v>-0.0992895772013472+0.0094902556551861i</v>
      </c>
      <c r="AQ146" s="98">
        <f t="shared" si="95"/>
        <v>-20.022430464646629</v>
      </c>
      <c r="AR146" s="169">
        <f t="shared" si="96"/>
        <v>174.54016471033603</v>
      </c>
      <c r="AS146" s="168" t="str">
        <f t="shared" si="97"/>
        <v>0.250559196026088+2.86484288427136i</v>
      </c>
      <c r="AT146" s="190">
        <f t="shared" si="98"/>
        <v>9.1751100579924731</v>
      </c>
      <c r="AU146" s="169">
        <f t="shared" si="99"/>
        <v>85.001629086343584</v>
      </c>
      <c r="AV146" s="225"/>
      <c r="AX146">
        <f t="shared" si="100"/>
        <v>0</v>
      </c>
      <c r="AY146">
        <f t="shared" si="101"/>
        <v>0</v>
      </c>
    </row>
    <row r="147" spans="14:51" x14ac:dyDescent="0.55000000000000004">
      <c r="N147" s="170">
        <v>29</v>
      </c>
      <c r="O147" s="199">
        <f t="shared" si="102"/>
        <v>194.98445997580458</v>
      </c>
      <c r="P147" s="189" t="str">
        <f t="shared" ref="P147:P210" si="103">COMPLEX(Adc,0)</f>
        <v>1078.86904761905</v>
      </c>
      <c r="Q147" s="160" t="str">
        <f t="shared" ref="Q147:Q210" si="104">IMSUM(COMPLEX(1,0),IMDIV(COMPLEX(0,2*PI()*O147),COMPLEX(wp_lf,0)))</f>
        <v>1+38.28510918901i</v>
      </c>
      <c r="R147" s="160">
        <f t="shared" si="77"/>
        <v>38.298166870157345</v>
      </c>
      <c r="S147" s="160">
        <f t="shared" si="78"/>
        <v>1.5446824485979034</v>
      </c>
      <c r="T147" s="160" t="str">
        <f t="shared" ref="T147:T210" si="105">IMSUM(COMPLEX(1,0),IMDIV(COMPLEX(0,2*PI()*O147),COMPLEX(wz_esr,0)))</f>
        <v>1+0.0000245024698809664i</v>
      </c>
      <c r="U147" s="160">
        <f t="shared" si="79"/>
        <v>1.0000000003001857</v>
      </c>
      <c r="V147" s="160">
        <f t="shared" si="80"/>
        <v>2.4502469876062877E-5</v>
      </c>
      <c r="W147" s="98" t="str">
        <f t="shared" ref="W147:W210" si="106">IMSUB(COMPLEX(1,0),IMDIV(COMPLEX(0,2*PI()*O147),COMPLEX(wz_rhp,0)))</f>
        <v>1-0.0177211663167101i</v>
      </c>
      <c r="X147" s="160">
        <f t="shared" si="81"/>
        <v>1.000157007542128</v>
      </c>
      <c r="Y147" s="160">
        <f t="shared" si="82"/>
        <v>-1.771931161603903E-2</v>
      </c>
      <c r="Z147" s="98" t="str">
        <f t="shared" ref="Z147:Z210" si="107">IF(Dc_Mode_Loop="CCM",IMSUM(COMPLEX(1,0),IMDIV(COMPLEX(0,2*PI()*O147),COMPLEX(Q*(wsl/2),0)),IMDIV(IMPOWER(COMPLEX(0,2*PI()*O147),2),IMPOWER(COMPLEX(wsl/2,0),2))),COMPLEX(1,0))</f>
        <v>0.999931156288579+0.0014076340012749i</v>
      </c>
      <c r="AA147" s="160">
        <f t="shared" si="83"/>
        <v>0.99993214707303824</v>
      </c>
      <c r="AB147" s="160">
        <f t="shared" si="84"/>
        <v>1.4077299847937682E-3</v>
      </c>
      <c r="AC147" s="171" t="str">
        <f t="shared" si="85"/>
        <v>0.197553991827283-28.1758951861652i</v>
      </c>
      <c r="AD147" s="190">
        <f t="shared" si="86"/>
        <v>28.997767957200232</v>
      </c>
      <c r="AE147" s="169">
        <f t="shared" si="87"/>
        <v>-89.598279862780913</v>
      </c>
      <c r="AF147" s="98" t="str">
        <f t="shared" ref="AF147:AF210" si="108">COMPLEX(Adc_ea,0)</f>
        <v>-9.95024875621891E-06</v>
      </c>
      <c r="AG147" s="98" t="str">
        <f t="shared" ref="AG147:AG210" si="109">COMPLEX(0,2*PI()*O147*wp0_ea)</f>
        <v>0.00122634861754237i</v>
      </c>
      <c r="AH147" s="98">
        <f t="shared" si="88"/>
        <v>1.22634861754237E-3</v>
      </c>
      <c r="AI147" s="98">
        <f t="shared" si="89"/>
        <v>1.5707963267948966</v>
      </c>
      <c r="AJ147" s="98" t="str">
        <f t="shared" ref="AJ147:AJ210" si="110">IMSUM(COMPLEX(1,0),IMDIV(COMPLEX(0,2*PI()*O147),COMPLEX(wp1_ea,0)))</f>
        <v>1+0.0122389959445387i</v>
      </c>
      <c r="AK147" s="98">
        <f t="shared" si="90"/>
        <v>1.0000748937063315</v>
      </c>
      <c r="AL147" s="98">
        <f t="shared" si="91"/>
        <v>1.2238384894061259E-2</v>
      </c>
      <c r="AM147" s="98" t="str">
        <f t="shared" ref="AM147:AM210" si="111">IMSUM(COMPLEX(1,0),IMDIV(COMPLEX(0,2*PI()*O147),COMPLEX(wz_ea,0)))</f>
        <v>1+12.2512349404832i</v>
      </c>
      <c r="AN147" s="98">
        <f t="shared" si="92"/>
        <v>12.291979399873577</v>
      </c>
      <c r="AO147" s="98">
        <f t="shared" si="93"/>
        <v>1.4893524567005179</v>
      </c>
      <c r="AP147" s="168" t="str">
        <f t="shared" si="94"/>
        <v>-0.0992889079114739+0.00932891609367165i</v>
      </c>
      <c r="AQ147" s="98">
        <f t="shared" si="95"/>
        <v>-20.023814170970077</v>
      </c>
      <c r="AR147" s="169">
        <f t="shared" si="96"/>
        <v>174.63240217389398</v>
      </c>
      <c r="AS147" s="168" t="str">
        <f t="shared" si="97"/>
        <v>0.243235641953739+2.79939682707622i</v>
      </c>
      <c r="AT147" s="190">
        <f t="shared" si="98"/>
        <v>8.9739537862301475</v>
      </c>
      <c r="AU147" s="169">
        <f t="shared" si="99"/>
        <v>85.034122311113066</v>
      </c>
      <c r="AV147" s="225"/>
      <c r="AX147">
        <f t="shared" si="100"/>
        <v>0</v>
      </c>
      <c r="AY147">
        <f t="shared" si="101"/>
        <v>0</v>
      </c>
    </row>
    <row r="148" spans="14:51" x14ac:dyDescent="0.55000000000000004">
      <c r="N148" s="170">
        <v>30</v>
      </c>
      <c r="O148" s="199">
        <f t="shared" si="102"/>
        <v>199.52623149688802</v>
      </c>
      <c r="P148" s="189" t="str">
        <f t="shared" si="103"/>
        <v>1078.86904761905</v>
      </c>
      <c r="Q148" s="160" t="str">
        <f t="shared" si="104"/>
        <v>1+39.1768839418175i</v>
      </c>
      <c r="R148" s="160">
        <f t="shared" ref="R148:R211" si="112">IMABS(Q148)</f>
        <v>39.189644491761314</v>
      </c>
      <c r="S148" s="160">
        <f t="shared" ref="S148:S211" si="113">IMARGUMENT(Q148)</f>
        <v>1.5452766119860899</v>
      </c>
      <c r="T148" s="160" t="str">
        <f t="shared" si="105"/>
        <v>1+0.0000250732057227632i</v>
      </c>
      <c r="U148" s="160">
        <f t="shared" ref="U148:U211" si="114">IMABS(T148)</f>
        <v>1.0000000003143328</v>
      </c>
      <c r="V148" s="160">
        <f t="shared" ref="V148:V211" si="115">IMARGUMENT(T148)</f>
        <v>2.5073205717508981E-5</v>
      </c>
      <c r="W148" s="98" t="str">
        <f t="shared" si="106"/>
        <v>1-0.0181339453069313i</v>
      </c>
      <c r="X148" s="160">
        <f t="shared" ref="X148:X211" si="116">IMABS(W148)</f>
        <v>1.0001644064714534</v>
      </c>
      <c r="Y148" s="160">
        <f t="shared" ref="Y148:Y211" si="117">IMARGUMENT(W148)</f>
        <v>-1.8131957976999964E-2</v>
      </c>
      <c r="Z148" s="98" t="str">
        <f t="shared" si="107"/>
        <v>0.999927911784418+0.00144042200920072i</v>
      </c>
      <c r="AA148" s="160">
        <f t="shared" ref="AA148:AA211" si="118">IMABS(Z148)</f>
        <v>0.99992894926645237</v>
      </c>
      <c r="AB148" s="160">
        <f t="shared" ref="AB148:AB211" si="119">IMARGUMENT(Z148)</f>
        <v>1.440524857721476E-3</v>
      </c>
      <c r="AC148" s="171" t="str">
        <f t="shared" ref="AC148:AC211" si="120">(IMDIV(IMPRODUCT(P148,T148,W148),IMPRODUCT(Q148,Z148)))</f>
        <v>0.164451967136654-27.5354334604935i</v>
      </c>
      <c r="AD148" s="190">
        <f t="shared" ref="AD148:AD211" si="121">20*LOG(IMABS(AC148))</f>
        <v>28.797993256911916</v>
      </c>
      <c r="AE148" s="169">
        <f t="shared" ref="AE148:AE211" si="122">(180/PI())*IMARGUMENT(AC148)</f>
        <v>-89.657812119233171</v>
      </c>
      <c r="AF148" s="98" t="str">
        <f t="shared" si="108"/>
        <v>-9.95024875621891E-06</v>
      </c>
      <c r="AG148" s="98" t="str">
        <f t="shared" si="109"/>
        <v>0.0012549139464243i</v>
      </c>
      <c r="AH148" s="98">
        <f t="shared" ref="AH148:AH211" si="123">IMABS(AG148)</f>
        <v>1.2549139464242999E-3</v>
      </c>
      <c r="AI148" s="98">
        <f t="shared" ref="AI148:AI211" si="124">IMARGUMENT(AG148)</f>
        <v>1.5707963267948966</v>
      </c>
      <c r="AJ148" s="98" t="str">
        <f t="shared" si="110"/>
        <v>1+0.012524078782599i</v>
      </c>
      <c r="AK148" s="98">
        <f t="shared" ref="AK148:AK211" si="125">IMABS(AJ148)</f>
        <v>1.0000784231995772</v>
      </c>
      <c r="AL148" s="98">
        <f t="shared" ref="AL148:AL211" si="126">IMARGUMENT(AJ148)</f>
        <v>1.2523424032988935E-2</v>
      </c>
      <c r="AM148" s="98" t="str">
        <f t="shared" si="111"/>
        <v>1+12.5366028613816i</v>
      </c>
      <c r="AN148" s="98">
        <f t="shared" ref="AN148:AN211" si="127">IMABS(AM148)</f>
        <v>12.576422834176707</v>
      </c>
      <c r="AO148" s="98">
        <f t="shared" ref="AO148:AO211" si="128">IMARGUMENT(AM148)</f>
        <v>1.491198434371964</v>
      </c>
      <c r="AP148" s="168" t="str">
        <f t="shared" ref="AP148:AP211" si="129">IMPRODUCT(AF148,IMDIV(AM148,IMPRODUCT(AG148,AJ148)))</f>
        <v>-0.0992882070886117+0.00917252207476828i</v>
      </c>
      <c r="AQ148" s="98">
        <f t="shared" ref="AQ148:AQ211" si="130">20*LOG(IMABS(AP148))</f>
        <v>-20.025138691751337</v>
      </c>
      <c r="AR148" s="169">
        <f t="shared" ref="AR148:AR211" si="131">(180/PI())*IMARGUMENT(AP148)</f>
        <v>174.72183736388664</v>
      </c>
      <c r="AS148" s="168" t="str">
        <f t="shared" ref="AS148:AS211" si="132">IMPRODUCT(AC148,AP148)</f>
        <v>0.236241230285496+2.73545225899897i</v>
      </c>
      <c r="AT148" s="190">
        <f t="shared" ref="AT148:AT211" si="133">20*LOG(IMABS(AS148))</f>
        <v>8.7728545651605891</v>
      </c>
      <c r="AU148" s="169">
        <f t="shared" ref="AU148:AU211" si="134">(180/PI())*IMARGUMENT(AS148)</f>
        <v>85.064025244653479</v>
      </c>
      <c r="AV148" s="225"/>
      <c r="AX148">
        <f t="shared" ref="AX148:AX211" si="135">SUM((AT149&lt;0)*(AT148&gt;0))*O148</f>
        <v>0</v>
      </c>
      <c r="AY148">
        <f t="shared" ref="AY148:AY211" si="136">IF(AX148&gt;0,AU148,0)</f>
        <v>0</v>
      </c>
    </row>
    <row r="149" spans="14:51" x14ac:dyDescent="0.55000000000000004">
      <c r="N149" s="170">
        <v>31</v>
      </c>
      <c r="O149" s="199">
        <f t="shared" si="102"/>
        <v>204.17379446695315</v>
      </c>
      <c r="P149" s="189" t="str">
        <f t="shared" si="103"/>
        <v>1078.86904761905</v>
      </c>
      <c r="Q149" s="160" t="str">
        <f t="shared" si="104"/>
        <v>1+40.0894307970581i</v>
      </c>
      <c r="R149" s="160">
        <f t="shared" si="112"/>
        <v>40.10190097279817</v>
      </c>
      <c r="S149" s="160">
        <f t="shared" si="113"/>
        <v>1.5458572679796299</v>
      </c>
      <c r="T149" s="160" t="str">
        <f t="shared" si="105"/>
        <v>1+0.0000256572357101172i</v>
      </c>
      <c r="U149" s="160">
        <f t="shared" si="114"/>
        <v>1.0000000003291469</v>
      </c>
      <c r="V149" s="160">
        <f t="shared" si="115"/>
        <v>2.5657235704487204E-5</v>
      </c>
      <c r="W149" s="98" t="str">
        <f t="shared" si="106"/>
        <v>1-0.0185563391549852i</v>
      </c>
      <c r="X149" s="160">
        <f t="shared" si="116"/>
        <v>1.0001721540429103</v>
      </c>
      <c r="Y149" s="160">
        <f t="shared" si="117"/>
        <v>-1.855420971239341E-2</v>
      </c>
      <c r="Z149" s="98" t="str">
        <f t="shared" si="107"/>
        <v>0.999924514371486+0.00147397374794206i</v>
      </c>
      <c r="AA149" s="160">
        <f t="shared" si="118"/>
        <v>0.99992560075220682</v>
      </c>
      <c r="AB149" s="160">
        <f t="shared" si="119"/>
        <v>1.4740839524848099E-3</v>
      </c>
      <c r="AC149" s="171" t="str">
        <f t="shared" si="120"/>
        <v>0.132837714306852-26.9094953606633i</v>
      </c>
      <c r="AD149" s="190">
        <f t="shared" si="121"/>
        <v>28.598216898980347</v>
      </c>
      <c r="AE149" s="169">
        <f t="shared" si="122"/>
        <v>-89.717163831382976</v>
      </c>
      <c r="AF149" s="98" t="str">
        <f t="shared" si="108"/>
        <v>-9.95024875621891E-06</v>
      </c>
      <c r="AG149" s="98" t="str">
        <f t="shared" si="109"/>
        <v>0.00128414464729137i</v>
      </c>
      <c r="AH149" s="98">
        <f t="shared" si="123"/>
        <v>1.2841446472913699E-3</v>
      </c>
      <c r="AI149" s="98">
        <f t="shared" si="124"/>
        <v>1.5707963267948966</v>
      </c>
      <c r="AJ149" s="98" t="str">
        <f t="shared" si="110"/>
        <v>1+0.0128158020530056i</v>
      </c>
      <c r="AK149" s="98">
        <f t="shared" si="125"/>
        <v>1.0000821190193643</v>
      </c>
      <c r="AL149" s="98">
        <f t="shared" si="126"/>
        <v>1.2815100479269629E-2</v>
      </c>
      <c r="AM149" s="98" t="str">
        <f t="shared" si="111"/>
        <v>1+12.8286178550586i</v>
      </c>
      <c r="AN149" s="98">
        <f t="shared" si="127"/>
        <v>12.867534187680572</v>
      </c>
      <c r="AO149" s="98">
        <f t="shared" si="128"/>
        <v>1.4930029179147768</v>
      </c>
      <c r="AP149" s="168" t="str">
        <f t="shared" si="129"/>
        <v>-0.0992874732475892+0.00902099062108855i</v>
      </c>
      <c r="AQ149" s="98">
        <f t="shared" si="130"/>
        <v>-20.026406783365974</v>
      </c>
      <c r="AR149" s="169">
        <f t="shared" si="131"/>
        <v>174.80851482573536</v>
      </c>
      <c r="AS149" s="168" t="str">
        <f t="shared" si="132"/>
        <v>0.229561184261257+2.67297412850287i</v>
      </c>
      <c r="AT149" s="190">
        <f t="shared" si="133"/>
        <v>8.5718101156143671</v>
      </c>
      <c r="AU149" s="169">
        <f t="shared" si="134"/>
        <v>85.091350994352396</v>
      </c>
      <c r="AV149" s="225"/>
      <c r="AX149">
        <f t="shared" si="135"/>
        <v>0</v>
      </c>
      <c r="AY149">
        <f t="shared" si="136"/>
        <v>0</v>
      </c>
    </row>
    <row r="150" spans="14:51" x14ac:dyDescent="0.55000000000000004">
      <c r="N150" s="170">
        <v>32</v>
      </c>
      <c r="O150" s="199">
        <f t="shared" si="102"/>
        <v>208.92961308540396</v>
      </c>
      <c r="P150" s="189" t="str">
        <f t="shared" si="103"/>
        <v>1078.86904761905</v>
      </c>
      <c r="Q150" s="160" t="str">
        <f t="shared" si="104"/>
        <v>1+41.0232335991541i</v>
      </c>
      <c r="R150" s="160">
        <f t="shared" si="112"/>
        <v>41.035420004317807</v>
      </c>
      <c r="S150" s="160">
        <f t="shared" si="113"/>
        <v>1.5464247228829218</v>
      </c>
      <c r="T150" s="160" t="str">
        <f t="shared" si="105"/>
        <v>1+0.0000262548695034586i</v>
      </c>
      <c r="U150" s="160">
        <f t="shared" si="114"/>
        <v>1.000000000344659</v>
      </c>
      <c r="V150" s="160">
        <f t="shared" si="115"/>
        <v>2.6254869497425946E-5</v>
      </c>
      <c r="W150" s="98" t="str">
        <f t="shared" si="106"/>
        <v>1-0.0189885718196814i</v>
      </c>
      <c r="X150" s="160">
        <f t="shared" si="116"/>
        <v>1.0001802666818373</v>
      </c>
      <c r="Y150" s="160">
        <f t="shared" si="117"/>
        <v>-1.8986290103045329E-2</v>
      </c>
      <c r="Z150" s="98" t="str">
        <f t="shared" si="107"/>
        <v>0.999920956843415+0.00150830700707492i</v>
      </c>
      <c r="AA150" s="160">
        <f t="shared" si="118"/>
        <v>0.99992209442769997</v>
      </c>
      <c r="AB150" s="160">
        <f t="shared" si="119"/>
        <v>1.5084250937820601E-3</v>
      </c>
      <c r="AC150" s="171" t="str">
        <f t="shared" si="120"/>
        <v>0.102644431352191-26.2977540741555i</v>
      </c>
      <c r="AD150" s="190">
        <f t="shared" si="121"/>
        <v>28.398439357133547</v>
      </c>
      <c r="AE150" s="169">
        <f t="shared" si="122"/>
        <v>-89.776366345766291</v>
      </c>
      <c r="AF150" s="98" t="str">
        <f t="shared" si="108"/>
        <v>-9.95024875621891E-06</v>
      </c>
      <c r="AG150" s="98" t="str">
        <f t="shared" si="109"/>
        <v>0.0013140562186481i</v>
      </c>
      <c r="AH150" s="98">
        <f t="shared" si="123"/>
        <v>1.3140562186480999E-3</v>
      </c>
      <c r="AI150" s="98">
        <f t="shared" si="124"/>
        <v>1.5707963267948966</v>
      </c>
      <c r="AJ150" s="98" t="str">
        <f t="shared" si="110"/>
        <v>1+0.013114320431298i</v>
      </c>
      <c r="AK150" s="98">
        <f t="shared" si="125"/>
        <v>1.0000859890031331</v>
      </c>
      <c r="AL150" s="98">
        <f t="shared" si="126"/>
        <v>1.3113568684986769E-2</v>
      </c>
      <c r="AM150" s="98" t="str">
        <f t="shared" si="111"/>
        <v>1+13.1274347517293i</v>
      </c>
      <c r="AN150" s="98">
        <f t="shared" si="127"/>
        <v>13.165467829169994</v>
      </c>
      <c r="AO150" s="98">
        <f t="shared" si="128"/>
        <v>1.4947668170582686</v>
      </c>
      <c r="AP150" s="168" t="str">
        <f t="shared" si="129"/>
        <v>-0.099286704833332+0.00887424132949503i</v>
      </c>
      <c r="AQ150" s="98">
        <f t="shared" si="130"/>
        <v>-20.027621087125649</v>
      </c>
      <c r="AR150" s="169">
        <f t="shared" si="131"/>
        <v>174.89247783363774</v>
      </c>
      <c r="AS150" s="168" t="str">
        <f t="shared" si="132"/>
        <v>0.223181388719317+2.61192823799518i</v>
      </c>
      <c r="AT150" s="190">
        <f t="shared" si="133"/>
        <v>8.3708182700079057</v>
      </c>
      <c r="AU150" s="169">
        <f t="shared" si="134"/>
        <v>85.116111487871464</v>
      </c>
      <c r="AV150" s="225"/>
      <c r="AX150">
        <f t="shared" si="135"/>
        <v>0</v>
      </c>
      <c r="AY150">
        <f t="shared" si="136"/>
        <v>0</v>
      </c>
    </row>
    <row r="151" spans="14:51" x14ac:dyDescent="0.55000000000000004">
      <c r="N151" s="170">
        <v>33</v>
      </c>
      <c r="O151" s="199">
        <f t="shared" si="102"/>
        <v>213.79620895022339</v>
      </c>
      <c r="P151" s="189" t="str">
        <f t="shared" si="103"/>
        <v>1078.86904761905</v>
      </c>
      <c r="Q151" s="160" t="str">
        <f t="shared" si="104"/>
        <v>1+41.9787874627106i</v>
      </c>
      <c r="R151" s="160">
        <f t="shared" si="112"/>
        <v>41.990696551015063</v>
      </c>
      <c r="S151" s="160">
        <f t="shared" si="113"/>
        <v>1.5469792761054422</v>
      </c>
      <c r="T151" s="160" t="str">
        <f t="shared" si="105"/>
        <v>1+0.0000268664239761348i</v>
      </c>
      <c r="U151" s="160">
        <f t="shared" si="114"/>
        <v>1.0000000003609024</v>
      </c>
      <c r="V151" s="160">
        <f t="shared" si="115"/>
        <v>2.6866423969670694E-5</v>
      </c>
      <c r="W151" s="98" t="str">
        <f t="shared" si="106"/>
        <v>1-0.0194308724764997i</v>
      </c>
      <c r="X151" s="160">
        <f t="shared" si="116"/>
        <v>1.0001887615871305</v>
      </c>
      <c r="Y151" s="160">
        <f t="shared" si="117"/>
        <v>-1.9428427597994988E-2</v>
      </c>
      <c r="Z151" s="98" t="str">
        <f t="shared" si="107"/>
        <v>0.999917231654212+0.00154343999054772i</v>
      </c>
      <c r="AA151" s="160">
        <f t="shared" si="118"/>
        <v>0.99991842285559851</v>
      </c>
      <c r="AB151" s="160">
        <f t="shared" si="119"/>
        <v>1.5435665231964524E-3</v>
      </c>
      <c r="AC151" s="171" t="str">
        <f t="shared" si="120"/>
        <v>0.0738083078485383-25.6998899781924i</v>
      </c>
      <c r="AD151" s="190">
        <f t="shared" si="121"/>
        <v>28.198661102621188</v>
      </c>
      <c r="AE151" s="169">
        <f t="shared" si="122"/>
        <v>-89.835450933458489</v>
      </c>
      <c r="AF151" s="98" t="str">
        <f t="shared" si="108"/>
        <v>-9.95024875621891E-06</v>
      </c>
      <c r="AG151" s="98" t="str">
        <f t="shared" si="109"/>
        <v>0.00134466452000555i</v>
      </c>
      <c r="AH151" s="98">
        <f t="shared" si="123"/>
        <v>1.3446645200055501E-3</v>
      </c>
      <c r="AI151" s="98">
        <f t="shared" si="124"/>
        <v>1.5707963267948966</v>
      </c>
      <c r="AJ151" s="98" t="str">
        <f t="shared" si="110"/>
        <v>1+0.0134197921958715i</v>
      </c>
      <c r="AK151" s="98">
        <f t="shared" si="125"/>
        <v>1.0000900413575671</v>
      </c>
      <c r="AL151" s="98">
        <f t="shared" si="126"/>
        <v>1.3418986689103197E-2</v>
      </c>
      <c r="AM151" s="98" t="str">
        <f t="shared" si="111"/>
        <v>1+13.4332119880674i</v>
      </c>
      <c r="AN151" s="98">
        <f t="shared" si="127"/>
        <v>13.470381743527453</v>
      </c>
      <c r="AO151" s="98">
        <f t="shared" si="128"/>
        <v>1.4964910231158497</v>
      </c>
      <c r="AP151" s="168" t="str">
        <f t="shared" si="129"/>
        <v>-0.0992859002175733+0.00873219632818759i</v>
      </c>
      <c r="AQ151" s="98">
        <f t="shared" si="130"/>
        <v>-20.028784134477888</v>
      </c>
      <c r="AR151" s="169">
        <f t="shared" si="131"/>
        <v>174.97376840112486</v>
      </c>
      <c r="AS151" s="168" t="str">
        <f t="shared" si="132"/>
        <v>0.217088360614119+2.55228122061221i</v>
      </c>
      <c r="AT151" s="190">
        <f t="shared" si="133"/>
        <v>8.1698769681433099</v>
      </c>
      <c r="AU151" s="169">
        <f t="shared" si="134"/>
        <v>85.138317467666383</v>
      </c>
      <c r="AV151" s="225"/>
      <c r="AX151">
        <f t="shared" si="135"/>
        <v>0</v>
      </c>
      <c r="AY151">
        <f t="shared" si="136"/>
        <v>0</v>
      </c>
    </row>
    <row r="152" spans="14:51" x14ac:dyDescent="0.55000000000000004">
      <c r="N152" s="170">
        <v>34</v>
      </c>
      <c r="O152" s="199">
        <f t="shared" si="102"/>
        <v>218.77616239495524</v>
      </c>
      <c r="P152" s="189" t="str">
        <f t="shared" si="103"/>
        <v>1078.86904761905</v>
      </c>
      <c r="Q152" s="160" t="str">
        <f t="shared" si="104"/>
        <v>1+42.956599035035i</v>
      </c>
      <c r="R152" s="160">
        <f t="shared" si="112"/>
        <v>42.968237113672352</v>
      </c>
      <c r="S152" s="160">
        <f t="shared" si="113"/>
        <v>1.5475212203135376</v>
      </c>
      <c r="T152" s="160" t="str">
        <f t="shared" si="105"/>
        <v>1+0.0000274922233824224i</v>
      </c>
      <c r="U152" s="160">
        <f t="shared" si="114"/>
        <v>1.000000000377911</v>
      </c>
      <c r="V152" s="160">
        <f t="shared" si="115"/>
        <v>2.7492223375495988E-5</v>
      </c>
      <c r="W152" s="98" t="str">
        <f t="shared" si="106"/>
        <v>1-0.0198834756391032i</v>
      </c>
      <c r="X152" s="160">
        <f t="shared" si="116"/>
        <v>1.0001976567676465</v>
      </c>
      <c r="Y152" s="160">
        <f t="shared" si="117"/>
        <v>-1.9880855932546355E-2</v>
      </c>
      <c r="Z152" s="98" t="str">
        <f t="shared" si="107"/>
        <v>0.99991333090225+0.00157939132633335i</v>
      </c>
      <c r="AA152" s="160">
        <f t="shared" si="118"/>
        <v>0.99991457824805907</v>
      </c>
      <c r="AB152" s="160">
        <f t="shared" si="119"/>
        <v>1.5795269090279681E-3</v>
      </c>
      <c r="AC152" s="171" t="str">
        <f t="shared" si="120"/>
        <v>0.0462683915596187-25.1155904927286i</v>
      </c>
      <c r="AD152" s="190">
        <f t="shared" si="121"/>
        <v>27.998882605208813</v>
      </c>
      <c r="AE152" s="169">
        <f t="shared" si="122"/>
        <v>-89.89444880608886</v>
      </c>
      <c r="AF152" s="98" t="str">
        <f t="shared" si="108"/>
        <v>-9.95024875621891E-06</v>
      </c>
      <c r="AG152" s="98" t="str">
        <f t="shared" si="109"/>
        <v>0.00137598578029024i</v>
      </c>
      <c r="AH152" s="98">
        <f t="shared" si="123"/>
        <v>1.3759857802902399E-3</v>
      </c>
      <c r="AI152" s="98">
        <f t="shared" si="124"/>
        <v>1.5707963267948966</v>
      </c>
      <c r="AJ152" s="98" t="str">
        <f t="shared" si="110"/>
        <v>1+0.0137323793118993i</v>
      </c>
      <c r="AK152" s="98">
        <f t="shared" si="125"/>
        <v>1.0000942846759828</v>
      </c>
      <c r="AL152" s="98">
        <f t="shared" si="126"/>
        <v>1.3731516200241257E-2</v>
      </c>
      <c r="AM152" s="98" t="str">
        <f t="shared" si="111"/>
        <v>1+13.7461116912112i</v>
      </c>
      <c r="AN152" s="98">
        <f t="shared" si="127"/>
        <v>13.782437615576324</v>
      </c>
      <c r="AO152" s="98">
        <f t="shared" si="128"/>
        <v>1.4981764092544951</v>
      </c>
      <c r="AP152" s="168" t="str">
        <f t="shared" si="129"/>
        <v>-0.0992850576954204+0.00859478023511278i</v>
      </c>
      <c r="AQ152" s="98">
        <f t="shared" si="130"/>
        <v>-20.0298983520068</v>
      </c>
      <c r="AR152" s="169">
        <f t="shared" si="131"/>
        <v>175.0524272917576</v>
      </c>
      <c r="AS152" s="168" t="str">
        <f t="shared" si="132"/>
        <v>0.211269220834619+2.4940005177824i</v>
      </c>
      <c r="AT152" s="190">
        <f t="shared" si="133"/>
        <v>7.9689842532020192</v>
      </c>
      <c r="AU152" s="169">
        <f t="shared" si="134"/>
        <v>85.15797848566875</v>
      </c>
      <c r="AV152" s="225"/>
      <c r="AX152">
        <f t="shared" si="135"/>
        <v>0</v>
      </c>
      <c r="AY152">
        <f t="shared" si="136"/>
        <v>0</v>
      </c>
    </row>
    <row r="153" spans="14:51" x14ac:dyDescent="0.55000000000000004">
      <c r="N153" s="170">
        <v>35</v>
      </c>
      <c r="O153" s="199">
        <f t="shared" si="102"/>
        <v>223.87211385683412</v>
      </c>
      <c r="P153" s="189" t="str">
        <f t="shared" si="103"/>
        <v>1078.86904761905</v>
      </c>
      <c r="Q153" s="160" t="str">
        <f t="shared" si="104"/>
        <v>1+43.9571867647656i</v>
      </c>
      <c r="R153" s="160">
        <f t="shared" si="112"/>
        <v>43.968559997712958</v>
      </c>
      <c r="S153" s="160">
        <f t="shared" si="113"/>
        <v>1.5480508415791032</v>
      </c>
      <c r="T153" s="160" t="str">
        <f t="shared" si="105"/>
        <v>1+0.00002813259952945i</v>
      </c>
      <c r="U153" s="160">
        <f t="shared" si="114"/>
        <v>1.0000000003957215</v>
      </c>
      <c r="V153" s="160">
        <f t="shared" si="115"/>
        <v>2.8132599522028218E-5</v>
      </c>
      <c r="W153" s="98" t="str">
        <f t="shared" si="106"/>
        <v>1-0.0203466212836794i</v>
      </c>
      <c r="X153" s="160">
        <f t="shared" si="116"/>
        <v>1.0002069710803168</v>
      </c>
      <c r="Y153" s="160">
        <f t="shared" si="117"/>
        <v>-2.0343814248900412E-2</v>
      </c>
      <c r="Z153" s="98" t="str">
        <f t="shared" si="107"/>
        <v>0.999909246313513+0.00161618007630593i</v>
      </c>
      <c r="AA153" s="160">
        <f t="shared" si="118"/>
        <v>0.99991055245021609</v>
      </c>
      <c r="AB153" s="160">
        <f t="shared" si="119"/>
        <v>1.6163253563627287E-3</v>
      </c>
      <c r="AC153" s="171" t="str">
        <f t="shared" si="120"/>
        <v>0.0199664609524676-24.5445499356844i</v>
      </c>
      <c r="AD153" s="190">
        <f t="shared" si="121"/>
        <v>27.799104334168952</v>
      </c>
      <c r="AE153" s="169">
        <f t="shared" si="122"/>
        <v>-89.95339113183816</v>
      </c>
      <c r="AF153" s="98" t="str">
        <f t="shared" si="108"/>
        <v>-9.95024875621891E-06</v>
      </c>
      <c r="AG153" s="98" t="str">
        <f t="shared" si="109"/>
        <v>0.00140803660644897i</v>
      </c>
      <c r="AH153" s="98">
        <f t="shared" si="123"/>
        <v>1.4080366064489699E-3</v>
      </c>
      <c r="AI153" s="98">
        <f t="shared" si="124"/>
        <v>1.5707963267948966</v>
      </c>
      <c r="AJ153" s="98" t="str">
        <f t="shared" si="110"/>
        <v>1+0.0140522475172078i</v>
      </c>
      <c r="AK153" s="98">
        <f t="shared" si="125"/>
        <v>1.0000987279565376</v>
      </c>
      <c r="AL153" s="98">
        <f t="shared" si="126"/>
        <v>1.4051322681334499E-2</v>
      </c>
      <c r="AM153" s="98" t="str">
        <f t="shared" si="111"/>
        <v>1+14.066299764725i</v>
      </c>
      <c r="AN153" s="98">
        <f t="shared" si="127"/>
        <v>14.101800915879597</v>
      </c>
      <c r="AO153" s="98">
        <f t="shared" si="128"/>
        <v>1.4998238307677147</v>
      </c>
      <c r="AP153" s="168" t="str">
        <f t="shared" si="129"/>
        <v>-0.0992841754817472+0.00846192011767128i</v>
      </c>
      <c r="AQ153" s="98">
        <f t="shared" si="130"/>
        <v>-20.03096606624424</v>
      </c>
      <c r="AR153" s="169">
        <f t="shared" si="131"/>
        <v>175.12849402991654</v>
      </c>
      <c r="AS153" s="168" t="str">
        <f t="shared" si="132"/>
        <v>0.205711667267001+2.43705435753261i</v>
      </c>
      <c r="AT153" s="190">
        <f t="shared" si="133"/>
        <v>7.7681382679247175</v>
      </c>
      <c r="AU153" s="169">
        <f t="shared" si="134"/>
        <v>85.175102898078421</v>
      </c>
      <c r="AV153" s="225"/>
      <c r="AX153">
        <f t="shared" si="135"/>
        <v>0</v>
      </c>
      <c r="AY153">
        <f t="shared" si="136"/>
        <v>0</v>
      </c>
    </row>
    <row r="154" spans="14:51" x14ac:dyDescent="0.55000000000000004">
      <c r="N154" s="170">
        <v>36</v>
      </c>
      <c r="O154" s="199">
        <f t="shared" si="102"/>
        <v>229.08676527677744</v>
      </c>
      <c r="P154" s="189" t="str">
        <f t="shared" si="103"/>
        <v>1078.86904761905</v>
      </c>
      <c r="Q154" s="160" t="str">
        <f t="shared" si="104"/>
        <v>1+44.9810811767609i</v>
      </c>
      <c r="R154" s="160">
        <f t="shared" si="112"/>
        <v>44.992195588016749</v>
      </c>
      <c r="S154" s="160">
        <f t="shared" si="113"/>
        <v>1.5485684195251992</v>
      </c>
      <c r="T154" s="160" t="str">
        <f t="shared" si="105"/>
        <v>1+0.000028787891953127i</v>
      </c>
      <c r="U154" s="160">
        <f t="shared" si="114"/>
        <v>1.0000000004143712</v>
      </c>
      <c r="V154" s="160">
        <f t="shared" si="115"/>
        <v>2.8787891945174414E-5</v>
      </c>
      <c r="W154" s="98" t="str">
        <f t="shared" si="106"/>
        <v>1-0.0208205549761796i</v>
      </c>
      <c r="X154" s="160">
        <f t="shared" si="116"/>
        <v>1.0002167242700535</v>
      </c>
      <c r="Y154" s="160">
        <f t="shared" si="117"/>
        <v>-2.0817547219421011E-2</v>
      </c>
      <c r="Z154" s="98" t="str">
        <f t="shared" si="107"/>
        <v>0.999904969224038+0.00165382574634763i</v>
      </c>
      <c r="AA154" s="160">
        <f t="shared" si="118"/>
        <v>0.99990633692287578</v>
      </c>
      <c r="AB154" s="160">
        <f t="shared" si="119"/>
        <v>1.6539814173862448E-3</v>
      </c>
      <c r="AC154" s="171" t="str">
        <f t="shared" si="120"/>
        <v>-0.00515309665320886-23.9864693804471i</v>
      </c>
      <c r="AD154" s="190">
        <f t="shared" si="121"/>
        <v>27.59932675927238</v>
      </c>
      <c r="AE154" s="169">
        <f t="shared" si="122"/>
        <v>-90.012309051425063</v>
      </c>
      <c r="AF154" s="98" t="str">
        <f t="shared" si="108"/>
        <v>-9.95024875621891E-06</v>
      </c>
      <c r="AG154" s="98" t="str">
        <f t="shared" si="109"/>
        <v>0.001440833992254i</v>
      </c>
      <c r="AH154" s="98">
        <f t="shared" si="123"/>
        <v>1.440833992254E-3</v>
      </c>
      <c r="AI154" s="98">
        <f t="shared" si="124"/>
        <v>1.5707963267948966</v>
      </c>
      <c r="AJ154" s="98" t="str">
        <f t="shared" si="110"/>
        <v>1+0.0143795664101533i</v>
      </c>
      <c r="AK154" s="98">
        <f t="shared" si="125"/>
        <v>1.0001033806212956</v>
      </c>
      <c r="AL154" s="98">
        <f t="shared" si="126"/>
        <v>1.4378575436193334E-2</v>
      </c>
      <c r="AM154" s="98" t="str">
        <f t="shared" si="111"/>
        <v>1+14.3939459765635i</v>
      </c>
      <c r="AN154" s="98">
        <f t="shared" si="127"/>
        <v>14.428640988541803</v>
      </c>
      <c r="AO154" s="98">
        <f t="shared" si="128"/>
        <v>1.5014341253513523</v>
      </c>
      <c r="AP154" s="168" t="str">
        <f t="shared" si="129"/>
        <v>-0.0992832517074283+0.00833354545370158i</v>
      </c>
      <c r="AQ154" s="98">
        <f t="shared" si="130"/>
        <v>-20.031989508296956</v>
      </c>
      <c r="AR154" s="169">
        <f t="shared" si="131"/>
        <v>175.20200691164433</v>
      </c>
      <c r="AS154" s="168" t="str">
        <f t="shared" si="132"/>
        <v>0.20040394904787+2.38141173350626i</v>
      </c>
      <c r="AT154" s="190">
        <f t="shared" si="133"/>
        <v>7.5673372509754069</v>
      </c>
      <c r="AU154" s="169">
        <f t="shared" si="134"/>
        <v>85.189697860219269</v>
      </c>
      <c r="AV154" s="225"/>
      <c r="AX154">
        <f t="shared" si="135"/>
        <v>0</v>
      </c>
      <c r="AY154">
        <f t="shared" si="136"/>
        <v>0</v>
      </c>
    </row>
    <row r="155" spans="14:51" x14ac:dyDescent="0.55000000000000004">
      <c r="N155" s="170">
        <v>37</v>
      </c>
      <c r="O155" s="199">
        <f t="shared" si="102"/>
        <v>234.42288153199232</v>
      </c>
      <c r="P155" s="189" t="str">
        <f t="shared" si="103"/>
        <v>1078.86904761905</v>
      </c>
      <c r="Q155" s="160" t="str">
        <f t="shared" si="104"/>
        <v>1+46.0288251533909i</v>
      </c>
      <c r="R155" s="160">
        <f t="shared" si="112"/>
        <v>46.039686630139336</v>
      </c>
      <c r="S155" s="160">
        <f t="shared" si="113"/>
        <v>1.5490742274686484</v>
      </c>
      <c r="T155" s="160" t="str">
        <f t="shared" si="105"/>
        <v>1+0.0000294584480981702i</v>
      </c>
      <c r="U155" s="160">
        <f t="shared" si="114"/>
        <v>1.0000000004339</v>
      </c>
      <c r="V155" s="160">
        <f t="shared" si="115"/>
        <v>2.9458448089648853E-5</v>
      </c>
      <c r="W155" s="98" t="str">
        <f t="shared" si="106"/>
        <v>1-0.0213055280025206i</v>
      </c>
      <c r="X155" s="160">
        <f t="shared" si="116"/>
        <v>1.0002269370115295</v>
      </c>
      <c r="Y155" s="160">
        <f t="shared" si="117"/>
        <v>-2.1302305172579514E-2</v>
      </c>
      <c r="Z155" s="98" t="str">
        <f t="shared" si="107"/>
        <v>0.999900490561547+0.00169234829669101i</v>
      </c>
      <c r="AA155" s="160">
        <f t="shared" si="118"/>
        <v>0.99990192272441381</v>
      </c>
      <c r="AB155" s="160">
        <f t="shared" si="119"/>
        <v>1.692515101946935E-3</v>
      </c>
      <c r="AC155" s="171" t="str">
        <f t="shared" si="120"/>
        <v>-0.0291434015463803-23.4410565156506i</v>
      </c>
      <c r="AD155" s="190">
        <f t="shared" si="121"/>
        <v>27.399550351779421</v>
      </c>
      <c r="AE155" s="169">
        <f t="shared" si="122"/>
        <v>-90.071233694087681</v>
      </c>
      <c r="AF155" s="98" t="str">
        <f t="shared" si="108"/>
        <v>-9.95024875621891E-06</v>
      </c>
      <c r="AG155" s="98" t="str">
        <f t="shared" si="109"/>
        <v>0.00147439532731342i</v>
      </c>
      <c r="AH155" s="98">
        <f t="shared" si="123"/>
        <v>1.4743953273134199E-3</v>
      </c>
      <c r="AI155" s="98">
        <f t="shared" si="124"/>
        <v>1.5707963267948966</v>
      </c>
      <c r="AJ155" s="98" t="str">
        <f t="shared" si="110"/>
        <v>1+0.0147145095395456i</v>
      </c>
      <c r="AK155" s="98">
        <f t="shared" si="125"/>
        <v>1.0001082525361888</v>
      </c>
      <c r="AL155" s="98">
        <f t="shared" si="126"/>
        <v>1.4713447698023937E-2</v>
      </c>
      <c r="AM155" s="98" t="str">
        <f t="shared" si="111"/>
        <v>1+14.7292240490851i</v>
      </c>
      <c r="AN155" s="98">
        <f t="shared" si="127"/>
        <v>14.763131141060384</v>
      </c>
      <c r="AO155" s="98">
        <f t="shared" si="128"/>
        <v>1.5030081133815758</v>
      </c>
      <c r="AP155" s="168" t="str">
        <f t="shared" si="129"/>
        <v>-0.0992822844153906+0.00820958809371639i</v>
      </c>
      <c r="AQ155" s="98">
        <f t="shared" si="130"/>
        <v>-20.03297081829842</v>
      </c>
      <c r="AR155" s="169">
        <f t="shared" si="131"/>
        <v>175.27300301550133</v>
      </c>
      <c r="AS155" s="168" t="str">
        <f t="shared" si="132"/>
        <v>0.195334841956178+2.32704238466172i</v>
      </c>
      <c r="AT155" s="190">
        <f t="shared" si="133"/>
        <v>7.3665795334809889</v>
      </c>
      <c r="AU155" s="169">
        <f t="shared" si="134"/>
        <v>85.20176932141365</v>
      </c>
      <c r="AV155" s="225"/>
      <c r="AX155">
        <f t="shared" si="135"/>
        <v>0</v>
      </c>
      <c r="AY155">
        <f t="shared" si="136"/>
        <v>0</v>
      </c>
    </row>
    <row r="156" spans="14:51" x14ac:dyDescent="0.55000000000000004">
      <c r="N156" s="170">
        <v>38</v>
      </c>
      <c r="O156" s="199">
        <f t="shared" si="102"/>
        <v>239.88329190194912</v>
      </c>
      <c r="P156" s="189" t="str">
        <f t="shared" si="103"/>
        <v>1078.86904761905</v>
      </c>
      <c r="Q156" s="160" t="str">
        <f t="shared" si="104"/>
        <v>1+47.1009742223812i</v>
      </c>
      <c r="R156" s="160">
        <f t="shared" si="112"/>
        <v>47.111588518085632</v>
      </c>
      <c r="S156" s="160">
        <f t="shared" si="113"/>
        <v>1.5495685325596709</v>
      </c>
      <c r="T156" s="160" t="str">
        <f t="shared" si="105"/>
        <v>1+0.000030144623502324i</v>
      </c>
      <c r="U156" s="160">
        <f t="shared" si="114"/>
        <v>1.000000000454349</v>
      </c>
      <c r="V156" s="160">
        <f t="shared" si="115"/>
        <v>3.0144623493193213E-5</v>
      </c>
      <c r="W156" s="98" t="str">
        <f t="shared" si="106"/>
        <v>1-0.0218017975018208i</v>
      </c>
      <c r="X156" s="160">
        <f t="shared" si="116"/>
        <v>1.0002376309529204</v>
      </c>
      <c r="Y156" s="160">
        <f t="shared" si="117"/>
        <v>-2.1798344221629962E-2</v>
      </c>
      <c r="Z156" s="98" t="str">
        <f t="shared" si="107"/>
        <v>0.999895800826195+0.00173176815250219i</v>
      </c>
      <c r="AA156" s="160">
        <f t="shared" si="118"/>
        <v>0.99989730049180148</v>
      </c>
      <c r="AB156" s="160">
        <f t="shared" si="119"/>
        <v>1.7319468883763324E-3</v>
      </c>
      <c r="AC156" s="171" t="str">
        <f t="shared" si="120"/>
        <v>-0.0520551929311092-22.9080255072502i</v>
      </c>
      <c r="AD156" s="190">
        <f t="shared" si="121"/>
        <v>27.199775585435226</v>
      </c>
      <c r="AE156" s="169">
        <f t="shared" si="122"/>
        <v>-90.130196193565794</v>
      </c>
      <c r="AF156" s="98" t="str">
        <f t="shared" si="108"/>
        <v>-9.95024875621891E-06</v>
      </c>
      <c r="AG156" s="98" t="str">
        <f t="shared" si="109"/>
        <v>0.00150873840629132i</v>
      </c>
      <c r="AH156" s="98">
        <f t="shared" si="123"/>
        <v>1.50873840629132E-3</v>
      </c>
      <c r="AI156" s="98">
        <f t="shared" si="124"/>
        <v>1.5707963267948966</v>
      </c>
      <c r="AJ156" s="98" t="str">
        <f t="shared" si="110"/>
        <v>1+0.0150572544966653i</v>
      </c>
      <c r="AK156" s="98">
        <f t="shared" si="125"/>
        <v>1.0001133540319205</v>
      </c>
      <c r="AL156" s="98">
        <f t="shared" si="126"/>
        <v>1.5056116719940485E-2</v>
      </c>
      <c r="AM156" s="98" t="str">
        <f t="shared" si="111"/>
        <v>1+15.072311751162i</v>
      </c>
      <c r="AN156" s="98">
        <f t="shared" si="127"/>
        <v>15.105448736274472</v>
      </c>
      <c r="AO156" s="98">
        <f t="shared" si="128"/>
        <v>1.5045465981944726</v>
      </c>
      <c r="AP156" s="168" t="str">
        <f t="shared" si="129"/>
        <v>-0.0992812715564853+0.00808998222437097i</v>
      </c>
      <c r="AQ156" s="98">
        <f t="shared" si="130"/>
        <v>-20.033912049691502</v>
      </c>
      <c r="AR156" s="169">
        <f t="shared" si="131"/>
        <v>175.34151821339964</v>
      </c>
      <c r="AS156" s="168" t="str">
        <f t="shared" si="132"/>
        <v>0.19049362489441+2.2739167756227i</v>
      </c>
      <c r="AT156" s="190">
        <f t="shared" si="133"/>
        <v>7.1658635357437204</v>
      </c>
      <c r="AU156" s="169">
        <f t="shared" si="134"/>
        <v>85.211322019833815</v>
      </c>
      <c r="AV156" s="225"/>
      <c r="AX156">
        <f t="shared" si="135"/>
        <v>0</v>
      </c>
      <c r="AY156">
        <f t="shared" si="136"/>
        <v>0</v>
      </c>
    </row>
    <row r="157" spans="14:51" x14ac:dyDescent="0.55000000000000004">
      <c r="N157" s="170">
        <v>39</v>
      </c>
      <c r="O157" s="199">
        <f t="shared" si="102"/>
        <v>245.4708915685033</v>
      </c>
      <c r="P157" s="189" t="str">
        <f t="shared" si="103"/>
        <v>1078.86904761905</v>
      </c>
      <c r="Q157" s="160" t="str">
        <f t="shared" si="104"/>
        <v>1+48.1980968513591i</v>
      </c>
      <c r="R157" s="160">
        <f t="shared" si="112"/>
        <v>48.208469588786905</v>
      </c>
      <c r="S157" s="160">
        <f t="shared" si="113"/>
        <v>1.5500515959185959</v>
      </c>
      <c r="T157" s="160" t="str">
        <f t="shared" si="105"/>
        <v>1+0.0000308467819848698i</v>
      </c>
      <c r="U157" s="160">
        <f t="shared" si="114"/>
        <v>1.0000000004757619</v>
      </c>
      <c r="V157" s="160">
        <f t="shared" si="115"/>
        <v>3.0846781975085978E-5</v>
      </c>
      <c r="W157" s="98" t="str">
        <f t="shared" si="106"/>
        <v>1-0.0223096266027372i</v>
      </c>
      <c r="X157" s="160">
        <f t="shared" si="116"/>
        <v>1.0002488287617004</v>
      </c>
      <c r="Y157" s="160">
        <f t="shared" si="117"/>
        <v>-2.2305926396059755E-2</v>
      </c>
      <c r="Z157" s="98" t="str">
        <f t="shared" si="107"/>
        <v>0.999890890070426+0.00177210621471047i</v>
      </c>
      <c r="AA157" s="160">
        <f t="shared" si="118"/>
        <v>0.99989246042075186</v>
      </c>
      <c r="AB157" s="160">
        <f t="shared" si="119"/>
        <v>1.7722977345726871E-3</v>
      </c>
      <c r="AC157" s="171" t="str">
        <f t="shared" si="120"/>
        <v>-0.0739369353024779-22.3870968628975i</v>
      </c>
      <c r="AD157" s="190">
        <f t="shared" si="121"/>
        <v>27.000002937470178</v>
      </c>
      <c r="AE157" s="169">
        <f t="shared" si="122"/>
        <v>-90.189227704089802</v>
      </c>
      <c r="AF157" s="98" t="str">
        <f t="shared" si="108"/>
        <v>-9.95024875621891E-06</v>
      </c>
      <c r="AG157" s="98" t="str">
        <f t="shared" si="109"/>
        <v>0.00154388143834274i</v>
      </c>
      <c r="AH157" s="98">
        <f t="shared" si="123"/>
        <v>1.5438814383427399E-3</v>
      </c>
      <c r="AI157" s="98">
        <f t="shared" si="124"/>
        <v>1.5707963267948966</v>
      </c>
      <c r="AJ157" s="98" t="str">
        <f t="shared" si="110"/>
        <v>1+0.0154079830094255i</v>
      </c>
      <c r="AK157" s="98">
        <f t="shared" si="125"/>
        <v>1.0001186959258479</v>
      </c>
      <c r="AL157" s="98">
        <f t="shared" si="126"/>
        <v>1.5406763867514273E-2</v>
      </c>
      <c r="AM157" s="98" t="str">
        <f t="shared" si="111"/>
        <v>1+15.4233909924349i</v>
      </c>
      <c r="AN157" s="98">
        <f t="shared" si="127"/>
        <v>15.455775286459172</v>
      </c>
      <c r="AO157" s="98">
        <f t="shared" si="128"/>
        <v>1.5060503663667077</v>
      </c>
      <c r="AP157" s="168" t="str">
        <f t="shared" si="129"/>
        <v>-0.09928021098516+0.00797466433314161i</v>
      </c>
      <c r="AQ157" s="98">
        <f t="shared" si="130"/>
        <v>-20.034815173350033</v>
      </c>
      <c r="AR157" s="169">
        <f t="shared" si="131"/>
        <v>175.40758718138053</v>
      </c>
      <c r="AS157" s="168" t="str">
        <f t="shared" si="132"/>
        <v>0.185870057411561+2.22200607765282i</v>
      </c>
      <c r="AT157" s="190">
        <f t="shared" si="133"/>
        <v>6.9651877641201523</v>
      </c>
      <c r="AU157" s="169">
        <f t="shared" si="134"/>
        <v>85.218359477290718</v>
      </c>
      <c r="AV157" s="225"/>
      <c r="AX157">
        <f t="shared" si="135"/>
        <v>0</v>
      </c>
      <c r="AY157">
        <f t="shared" si="136"/>
        <v>0</v>
      </c>
    </row>
    <row r="158" spans="14:51" x14ac:dyDescent="0.55000000000000004">
      <c r="N158" s="170">
        <v>40</v>
      </c>
      <c r="O158" s="199">
        <f t="shared" si="102"/>
        <v>251.18864315095806</v>
      </c>
      <c r="P158" s="189" t="str">
        <f t="shared" si="103"/>
        <v>1078.86904761905</v>
      </c>
      <c r="Q158" s="160" t="str">
        <f t="shared" si="104"/>
        <v>1+49.320774749265i</v>
      </c>
      <c r="R158" s="160">
        <f t="shared" si="112"/>
        <v>49.330911423444583</v>
      </c>
      <c r="S158" s="160">
        <f t="shared" si="113"/>
        <v>1.5505236727697103</v>
      </c>
      <c r="T158" s="160" t="str">
        <f t="shared" si="105"/>
        <v>1+0.0000315652958395296i</v>
      </c>
      <c r="U158" s="160">
        <f t="shared" si="114"/>
        <v>1.0000000004981839</v>
      </c>
      <c r="V158" s="160">
        <f t="shared" si="115"/>
        <v>3.1565295829046047E-5</v>
      </c>
      <c r="W158" s="98" t="str">
        <f t="shared" si="106"/>
        <v>1-0.0228292845629814i</v>
      </c>
      <c r="X158" s="160">
        <f t="shared" si="116"/>
        <v>1.0002605541725904</v>
      </c>
      <c r="Y158" s="160">
        <f t="shared" si="117"/>
        <v>-2.2825319775870715E-2</v>
      </c>
      <c r="Z158" s="98" t="str">
        <f t="shared" si="107"/>
        <v>0.999885747877867+0.00181338387109041i</v>
      </c>
      <c r="AA158" s="160">
        <f t="shared" si="118"/>
        <v>0.99988739224491929</v>
      </c>
      <c r="AB158" s="160">
        <f t="shared" si="119"/>
        <v>1.813589089355225E-3</v>
      </c>
      <c r="AC158" s="171" t="str">
        <f t="shared" si="120"/>
        <v>-0.0948349201073036-21.8779972986198i</v>
      </c>
      <c r="AD158" s="190">
        <f t="shared" si="121"/>
        <v>26.800232889607965</v>
      </c>
      <c r="AE158" s="169">
        <f t="shared" si="122"/>
        <v>-90.248359416382741</v>
      </c>
      <c r="AF158" s="98" t="str">
        <f t="shared" si="108"/>
        <v>-9.95024875621891E-06</v>
      </c>
      <c r="AG158" s="98" t="str">
        <f t="shared" si="109"/>
        <v>0.00157984305676845i</v>
      </c>
      <c r="AH158" s="98">
        <f t="shared" si="123"/>
        <v>1.57984305676845E-3</v>
      </c>
      <c r="AI158" s="98">
        <f t="shared" si="124"/>
        <v>1.5707963267948966</v>
      </c>
      <c r="AJ158" s="98" t="str">
        <f t="shared" si="110"/>
        <v>1+0.0157668810387261i</v>
      </c>
      <c r="AK158" s="98">
        <f t="shared" si="125"/>
        <v>1.0001242895448992</v>
      </c>
      <c r="AL158" s="98">
        <f t="shared" si="126"/>
        <v>1.5765574713400225E-2</v>
      </c>
      <c r="AM158" s="98" t="str">
        <f t="shared" si="111"/>
        <v>1+15.7826479197648i</v>
      </c>
      <c r="AN158" s="98">
        <f t="shared" si="127"/>
        <v>15.814296549617886</v>
      </c>
      <c r="AO158" s="98">
        <f t="shared" si="128"/>
        <v>1.5075201879967579</v>
      </c>
      <c r="AP158" s="168" t="str">
        <f t="shared" si="129"/>
        <v>-0.099279100454935+0.00786357317419328i</v>
      </c>
      <c r="AQ158" s="98">
        <f t="shared" si="130"/>
        <v>-20.035682081544884</v>
      </c>
      <c r="AR158" s="169">
        <f t="shared" si="131"/>
        <v>175.47124341030664</v>
      </c>
      <c r="AS158" s="168" t="str">
        <f t="shared" si="132"/>
        <v>0.181454358222468+2.17128215022874i</v>
      </c>
      <c r="AT158" s="190">
        <f t="shared" si="133"/>
        <v>6.7645508080630847</v>
      </c>
      <c r="AU158" s="169">
        <f t="shared" si="134"/>
        <v>85.222883993923915</v>
      </c>
      <c r="AV158" s="225"/>
      <c r="AX158">
        <f t="shared" si="135"/>
        <v>0</v>
      </c>
      <c r="AY158">
        <f t="shared" si="136"/>
        <v>0</v>
      </c>
    </row>
    <row r="159" spans="14:51" x14ac:dyDescent="0.55000000000000004">
      <c r="N159" s="170">
        <v>41</v>
      </c>
      <c r="O159" s="199">
        <f t="shared" si="102"/>
        <v>257.03957827688663</v>
      </c>
      <c r="P159" s="189" t="str">
        <f t="shared" si="103"/>
        <v>1078.86904761905</v>
      </c>
      <c r="Q159" s="160" t="str">
        <f t="shared" si="104"/>
        <v>1+50.4696031747803i</v>
      </c>
      <c r="R159" s="160">
        <f t="shared" si="112"/>
        <v>50.479509155892103</v>
      </c>
      <c r="S159" s="160">
        <f t="shared" si="113"/>
        <v>1.5509850125722828</v>
      </c>
      <c r="T159" s="160" t="str">
        <f t="shared" si="105"/>
        <v>1+0.0000323005460318594i</v>
      </c>
      <c r="U159" s="160">
        <f t="shared" si="114"/>
        <v>1.0000000005216625</v>
      </c>
      <c r="V159" s="160">
        <f t="shared" si="115"/>
        <v>3.2300546020626078E-5</v>
      </c>
      <c r="W159" s="98" t="str">
        <f t="shared" si="106"/>
        <v>1-0.023361046912082i</v>
      </c>
      <c r="X159" s="160">
        <f t="shared" si="116"/>
        <v>1.0002728320377539</v>
      </c>
      <c r="Y159" s="160">
        <f t="shared" si="117"/>
        <v>-2.335679862873306E-2</v>
      </c>
      <c r="Z159" s="98" t="str">
        <f t="shared" si="107"/>
        <v>0.999880363341239+0.00185562300760175i</v>
      </c>
      <c r="AA159" s="160">
        <f t="shared" si="118"/>
        <v>0.99988208521412891</v>
      </c>
      <c r="AB159" s="160">
        <f t="shared" si="119"/>
        <v>1.855842904095714E-3</v>
      </c>
      <c r="AC159" s="171" t="str">
        <f t="shared" si="120"/>
        <v>-0.114793362895499-21.3804596078012i</v>
      </c>
      <c r="AD159" s="190">
        <f t="shared" si="121"/>
        <v>26.600465929082603</v>
      </c>
      <c r="AE159" s="169">
        <f t="shared" si="122"/>
        <v>-90.307622573681115</v>
      </c>
      <c r="AF159" s="98" t="str">
        <f t="shared" si="108"/>
        <v>-9.95024875621891E-06</v>
      </c>
      <c r="AG159" s="98" t="str">
        <f t="shared" si="109"/>
        <v>0.00161664232889456i</v>
      </c>
      <c r="AH159" s="98">
        <f t="shared" si="123"/>
        <v>1.61664232889456E-3</v>
      </c>
      <c r="AI159" s="98">
        <f t="shared" si="124"/>
        <v>1.5707963267948966</v>
      </c>
      <c r="AJ159" s="98" t="str">
        <f t="shared" si="110"/>
        <v>1+0.0161341388770526i</v>
      </c>
      <c r="AK159" s="98">
        <f t="shared" si="125"/>
        <v>1.0001301467495638</v>
      </c>
      <c r="AL159" s="98">
        <f t="shared" si="126"/>
        <v>1.6132739134084518E-2</v>
      </c>
      <c r="AM159" s="98" t="str">
        <f t="shared" si="111"/>
        <v>1+16.1502730159297i</v>
      </c>
      <c r="AN159" s="98">
        <f t="shared" si="127"/>
        <v>16.181202628020792</v>
      </c>
      <c r="AO159" s="98">
        <f t="shared" si="128"/>
        <v>1.5089568169862517</v>
      </c>
      <c r="AP159" s="168" t="str">
        <f t="shared" si="129"/>
        <v>-0.0992779376136597+0.00775664973541676i</v>
      </c>
      <c r="AQ159" s="98">
        <f t="shared" si="130"/>
        <v>-20.036514591762593</v>
      </c>
      <c r="AR159" s="169">
        <f t="shared" si="131"/>
        <v>175.5325192164382</v>
      </c>
      <c r="AS159" s="168" t="str">
        <f t="shared" si="132"/>
        <v>0.177237184679941+2.12171752318673i</v>
      </c>
      <c r="AT159" s="190">
        <f t="shared" si="133"/>
        <v>6.5639513373200149</v>
      </c>
      <c r="AU159" s="169">
        <f t="shared" si="134"/>
        <v>85.224896642757116</v>
      </c>
      <c r="AV159" s="225"/>
      <c r="AX159">
        <f t="shared" si="135"/>
        <v>0</v>
      </c>
      <c r="AY159">
        <f t="shared" si="136"/>
        <v>0</v>
      </c>
    </row>
    <row r="160" spans="14:51" x14ac:dyDescent="0.55000000000000004">
      <c r="N160" s="170">
        <v>42</v>
      </c>
      <c r="O160" s="199">
        <f t="shared" si="102"/>
        <v>263.02679918953817</v>
      </c>
      <c r="P160" s="189" t="str">
        <f t="shared" si="103"/>
        <v>1078.86904761905</v>
      </c>
      <c r="Q160" s="160" t="str">
        <f t="shared" si="104"/>
        <v>1+51.6451912519431i</v>
      </c>
      <c r="R160" s="160">
        <f t="shared" si="112"/>
        <v>51.654871788145797</v>
      </c>
      <c r="S160" s="160">
        <f t="shared" si="113"/>
        <v>1.5514358591488215</v>
      </c>
      <c r="T160" s="160" t="str">
        <f t="shared" si="105"/>
        <v>1+0.0000330529224012436i</v>
      </c>
      <c r="U160" s="160">
        <f t="shared" si="114"/>
        <v>1.0000000005462477</v>
      </c>
      <c r="V160" s="160">
        <f t="shared" si="115"/>
        <v>3.3052922389206872E-5</v>
      </c>
      <c r="W160" s="98" t="str">
        <f t="shared" si="106"/>
        <v>1-0.0239051955974754i</v>
      </c>
      <c r="X160" s="160">
        <f t="shared" si="116"/>
        <v>1.0002856883793516</v>
      </c>
      <c r="Y160" s="160">
        <f t="shared" si="117"/>
        <v>-2.3900643550067758E-2</v>
      </c>
      <c r="Z160" s="98" t="str">
        <f t="shared" si="107"/>
        <v>0.999874725039218+0.00189884601999381i</v>
      </c>
      <c r="AA160" s="160">
        <f t="shared" si="118"/>
        <v>0.99987652807157124</v>
      </c>
      <c r="AB160" s="160">
        <f t="shared" si="119"/>
        <v>1.8990816446354029E-3</v>
      </c>
      <c r="AC160" s="171" t="str">
        <f t="shared" si="120"/>
        <v>-0.133854496159462-20.8942225324645i</v>
      </c>
      <c r="AD160" s="190">
        <f t="shared" si="121"/>
        <v>26.400702549667578</v>
      </c>
      <c r="AE160" s="169">
        <f t="shared" si="122"/>
        <v>-90.367048487780679</v>
      </c>
      <c r="AF160" s="98" t="str">
        <f t="shared" si="108"/>
        <v>-9.95024875621891E-06</v>
      </c>
      <c r="AG160" s="98" t="str">
        <f t="shared" si="109"/>
        <v>0.00165429876618224i</v>
      </c>
      <c r="AH160" s="98">
        <f t="shared" si="123"/>
        <v>1.6542987661822401E-3</v>
      </c>
      <c r="AI160" s="98">
        <f t="shared" si="124"/>
        <v>1.5707963267948966</v>
      </c>
      <c r="AJ160" s="98" t="str">
        <f t="shared" si="110"/>
        <v>1+0.0165099512493724i</v>
      </c>
      <c r="AK160" s="98">
        <f t="shared" si="125"/>
        <v>1.0001362799590148</v>
      </c>
      <c r="AL160" s="98">
        <f t="shared" si="126"/>
        <v>1.6508451408797406E-2</v>
      </c>
      <c r="AM160" s="98" t="str">
        <f t="shared" si="111"/>
        <v>1+16.5264612006218i</v>
      </c>
      <c r="AN160" s="98">
        <f t="shared" si="127"/>
        <v>16.556688069045023</v>
      </c>
      <c r="AO160" s="98">
        <f t="shared" si="128"/>
        <v>1.5103609913210123</v>
      </c>
      <c r="AP160" s="168" t="str">
        <f t="shared" si="129"/>
        <v>-0.0992767199985597+0.00765383720661549i</v>
      </c>
      <c r="AQ160" s="98">
        <f t="shared" si="130"/>
        <v>-20.037314450381132</v>
      </c>
      <c r="AR160" s="169">
        <f t="shared" si="131"/>
        <v>175.59144575186826</v>
      </c>
      <c r="AS160" s="168" t="str">
        <f t="shared" si="132"/>
        <v>0.173209613158052+2.0732853794201i</v>
      </c>
      <c r="AT160" s="190">
        <f t="shared" si="133"/>
        <v>6.3633880992864613</v>
      </c>
      <c r="AU160" s="169">
        <f t="shared" si="134"/>
        <v>85.2243972640876</v>
      </c>
      <c r="AV160" s="225"/>
      <c r="AX160">
        <f t="shared" si="135"/>
        <v>0</v>
      </c>
      <c r="AY160">
        <f t="shared" si="136"/>
        <v>0</v>
      </c>
    </row>
    <row r="161" spans="14:51" x14ac:dyDescent="0.55000000000000004">
      <c r="N161" s="170">
        <v>43</v>
      </c>
      <c r="O161" s="199">
        <f t="shared" si="102"/>
        <v>269.15348039269179</v>
      </c>
      <c r="P161" s="189" t="str">
        <f t="shared" si="103"/>
        <v>1078.86904761905</v>
      </c>
      <c r="Q161" s="160" t="str">
        <f t="shared" si="104"/>
        <v>1+52.8481622931128i</v>
      </c>
      <c r="R161" s="160">
        <f t="shared" si="112"/>
        <v>52.857622513306339</v>
      </c>
      <c r="S161" s="160">
        <f t="shared" si="113"/>
        <v>1.5518764508106064</v>
      </c>
      <c r="T161" s="160" t="str">
        <f t="shared" si="105"/>
        <v>1+0.0000338228238675922i</v>
      </c>
      <c r="U161" s="160">
        <f t="shared" si="114"/>
        <v>1.0000000005719916</v>
      </c>
      <c r="V161" s="160">
        <f t="shared" si="115"/>
        <v>3.3822823854694618E-5</v>
      </c>
      <c r="W161" s="98" t="str">
        <f t="shared" si="106"/>
        <v>1-0.0244620191339974i</v>
      </c>
      <c r="X161" s="160">
        <f t="shared" si="116"/>
        <v>1.0002991504445617</v>
      </c>
      <c r="Y161" s="160">
        <f t="shared" si="117"/>
        <v>-2.4457141606101174E-2</v>
      </c>
      <c r="Z161" s="98" t="str">
        <f t="shared" si="107"/>
        <v>0.999868821012209+0.00194307582567987i</v>
      </c>
      <c r="AA161" s="160">
        <f t="shared" si="118"/>
        <v>0.99987070902992714</v>
      </c>
      <c r="AB161" s="160">
        <f t="shared" si="119"/>
        <v>1.9433283034943094E-3</v>
      </c>
      <c r="AC161" s="171" t="str">
        <f t="shared" si="120"/>
        <v>-0.152058658050359-20.4190306368454i</v>
      </c>
      <c r="AD161" s="190">
        <f t="shared" si="121"/>
        <v>26.200943252718854</v>
      </c>
      <c r="AE161" s="169">
        <f t="shared" si="122"/>
        <v>-90.426668555113096</v>
      </c>
      <c r="AF161" s="98" t="str">
        <f t="shared" si="108"/>
        <v>-9.95024875621891E-06</v>
      </c>
      <c r="AG161" s="98" t="str">
        <f t="shared" si="109"/>
        <v>0.00169283233457299i</v>
      </c>
      <c r="AH161" s="98">
        <f t="shared" si="123"/>
        <v>1.69283233457299E-3</v>
      </c>
      <c r="AI161" s="98">
        <f t="shared" si="124"/>
        <v>1.5707963267948966</v>
      </c>
      <c r="AJ161" s="98" t="str">
        <f t="shared" si="110"/>
        <v>1+0.0168945174163797i</v>
      </c>
      <c r="AK161" s="98">
        <f t="shared" si="125"/>
        <v>1.0001427021774105</v>
      </c>
      <c r="AL161" s="98">
        <f t="shared" si="126"/>
        <v>1.6892910320633069E-2</v>
      </c>
      <c r="AM161" s="98" t="str">
        <f t="shared" si="111"/>
        <v>1+16.9114119337961i</v>
      </c>
      <c r="AN161" s="98">
        <f t="shared" si="127"/>
        <v>16.940951968367692</v>
      </c>
      <c r="AO161" s="98">
        <f t="shared" si="128"/>
        <v>1.5117334333514054</v>
      </c>
      <c r="AP161" s="168" t="str">
        <f t="shared" si="129"/>
        <v>-0.0992754450310393+0.00755508094882179i</v>
      </c>
      <c r="AQ161" s="98">
        <f t="shared" si="130"/>
        <v>-20.038083336211411</v>
      </c>
      <c r="AR161" s="169">
        <f t="shared" si="131"/>
        <v>175.6480530147918</v>
      </c>
      <c r="AS161" s="168" t="str">
        <f t="shared" si="132"/>
        <v>0.169363120306611+2.02595953810471i</v>
      </c>
      <c r="AT161" s="190">
        <f t="shared" si="133"/>
        <v>6.1628599165074309</v>
      </c>
      <c r="AU161" s="169">
        <f t="shared" si="134"/>
        <v>85.221384459678688</v>
      </c>
      <c r="AV161" s="225"/>
      <c r="AX161">
        <f t="shared" si="135"/>
        <v>0</v>
      </c>
      <c r="AY161">
        <f t="shared" si="136"/>
        <v>0</v>
      </c>
    </row>
    <row r="162" spans="14:51" x14ac:dyDescent="0.55000000000000004">
      <c r="N162" s="170">
        <v>44</v>
      </c>
      <c r="O162" s="199">
        <f t="shared" si="102"/>
        <v>275.42287033381683</v>
      </c>
      <c r="P162" s="189" t="str">
        <f t="shared" si="103"/>
        <v>1078.86904761905</v>
      </c>
      <c r="Q162" s="160" t="str">
        <f t="shared" si="104"/>
        <v>1+54.0791541294584i</v>
      </c>
      <c r="R162" s="160">
        <f t="shared" si="112"/>
        <v>54.088399045985064</v>
      </c>
      <c r="S162" s="160">
        <f t="shared" si="113"/>
        <v>1.5523070204805509</v>
      </c>
      <c r="T162" s="160" t="str">
        <f t="shared" si="105"/>
        <v>1+0.0000346106586428534i</v>
      </c>
      <c r="U162" s="160">
        <f t="shared" si="114"/>
        <v>1.0000000005989489</v>
      </c>
      <c r="V162" s="160">
        <f t="shared" si="115"/>
        <v>3.4610658629033395E-5</v>
      </c>
      <c r="W162" s="98" t="str">
        <f t="shared" si="106"/>
        <v>1-0.0250318127568573i</v>
      </c>
      <c r="X162" s="160">
        <f t="shared" si="116"/>
        <v>1.0003132467631799</v>
      </c>
      <c r="Y162" s="160">
        <f t="shared" si="117"/>
        <v>-2.5026586479943137E-2</v>
      </c>
      <c r="Z162" s="98" t="str">
        <f t="shared" si="107"/>
        <v>0.99986263873698+0.00198833587588836i</v>
      </c>
      <c r="AA162" s="160">
        <f t="shared" si="118"/>
        <v>0.99986461574636776</v>
      </c>
      <c r="AB162" s="160">
        <f t="shared" si="119"/>
        <v>1.9886064123812897E-3</v>
      </c>
      <c r="AC162" s="171" t="str">
        <f t="shared" si="120"/>
        <v>-0.169444377152211-19.9546341832486i</v>
      </c>
      <c r="AD162" s="190">
        <f t="shared" si="121"/>
        <v>26.001188548233536</v>
      </c>
      <c r="AE162" s="169">
        <f t="shared" si="122"/>
        <v>-90.486514272859807</v>
      </c>
      <c r="AF162" s="98" t="str">
        <f t="shared" si="108"/>
        <v>-9.95024875621891E-06</v>
      </c>
      <c r="AG162" s="98" t="str">
        <f t="shared" si="109"/>
        <v>0.00173226346507481i</v>
      </c>
      <c r="AH162" s="98">
        <f t="shared" si="123"/>
        <v>1.73226346507481E-3</v>
      </c>
      <c r="AI162" s="98">
        <f t="shared" si="124"/>
        <v>1.5707963267948966</v>
      </c>
      <c r="AJ162" s="98" t="str">
        <f t="shared" si="110"/>
        <v>1+0.0172880412801466i</v>
      </c>
      <c r="AK162" s="98">
        <f t="shared" si="125"/>
        <v>1.0001494270214346</v>
      </c>
      <c r="AL162" s="98">
        <f t="shared" si="126"/>
        <v>1.7286319259923827E-2</v>
      </c>
      <c r="AM162" s="98" t="str">
        <f t="shared" si="111"/>
        <v>1+17.3053293214267i</v>
      </c>
      <c r="AN162" s="98">
        <f t="shared" si="127"/>
        <v>17.334198075568157</v>
      </c>
      <c r="AO162" s="98">
        <f t="shared" si="128"/>
        <v>1.5130748500716529</v>
      </c>
      <c r="AP162" s="168" t="str">
        <f t="shared" si="129"/>
        <v>-0.0992741100112499+0.00746032846472489i</v>
      </c>
      <c r="AQ162" s="98">
        <f t="shared" si="130"/>
        <v>-20.038822863908816</v>
      </c>
      <c r="AR162" s="169">
        <f t="shared" si="131"/>
        <v>175.70236985958616</v>
      </c>
      <c r="AS162" s="168" t="str">
        <f t="shared" si="132"/>
        <v>0.165689565138658+1.97971443843201i</v>
      </c>
      <c r="AT162" s="190">
        <f t="shared" si="133"/>
        <v>5.9623656843247055</v>
      </c>
      <c r="AU162" s="169">
        <f t="shared" si="134"/>
        <v>85.215855586726363</v>
      </c>
      <c r="AV162" s="225"/>
      <c r="AX162">
        <f t="shared" si="135"/>
        <v>0</v>
      </c>
      <c r="AY162">
        <f t="shared" si="136"/>
        <v>0</v>
      </c>
    </row>
    <row r="163" spans="14:51" x14ac:dyDescent="0.55000000000000004">
      <c r="N163" s="170">
        <v>45</v>
      </c>
      <c r="O163" s="199">
        <f t="shared" si="102"/>
        <v>281.83829312644554</v>
      </c>
      <c r="P163" s="189" t="str">
        <f t="shared" si="103"/>
        <v>1078.86904761905</v>
      </c>
      <c r="Q163" s="160" t="str">
        <f t="shared" si="104"/>
        <v>1+55.3388194491456i</v>
      </c>
      <c r="R163" s="160">
        <f t="shared" si="112"/>
        <v>55.347853960430434</v>
      </c>
      <c r="S163" s="160">
        <f t="shared" si="113"/>
        <v>1.55272779581344</v>
      </c>
      <c r="T163" s="160" t="str">
        <f t="shared" si="105"/>
        <v>1+0.0000354168444474532i</v>
      </c>
      <c r="U163" s="160">
        <f t="shared" si="114"/>
        <v>1.0000000006271763</v>
      </c>
      <c r="V163" s="160">
        <f t="shared" si="115"/>
        <v>3.5416844432644795E-5</v>
      </c>
      <c r="W163" s="98" t="str">
        <f t="shared" si="106"/>
        <v>1-0.0256148785781761i</v>
      </c>
      <c r="X163" s="160">
        <f t="shared" si="116"/>
        <v>1.000328007207923</v>
      </c>
      <c r="Y163" s="160">
        <f t="shared" si="117"/>
        <v>-2.5609278620737478E-2</v>
      </c>
      <c r="Z163" s="98" t="str">
        <f t="shared" si="107"/>
        <v>0.999856165100095+0.00203465016809697i</v>
      </c>
      <c r="AA163" s="160">
        <f t="shared" si="118"/>
        <v>0.99985823529637186</v>
      </c>
      <c r="AB163" s="160">
        <f t="shared" si="119"/>
        <v>2.034940055012739E-3</v>
      </c>
      <c r="AC163" s="171" t="str">
        <f t="shared" si="120"/>
        <v>-0.186048453486939-19.5007890101742i</v>
      </c>
      <c r="AD163" s="190">
        <f t="shared" si="121"/>
        <v>25.801438955926823</v>
      </c>
      <c r="AE163" s="169">
        <f t="shared" si="122"/>
        <v>-90.546617255108714</v>
      </c>
      <c r="AF163" s="98" t="str">
        <f t="shared" si="108"/>
        <v>-9.95024875621891E-06</v>
      </c>
      <c r="AG163" s="98" t="str">
        <f t="shared" si="109"/>
        <v>0.00177261306459503i</v>
      </c>
      <c r="AH163" s="98">
        <f t="shared" si="123"/>
        <v>1.77261306459503E-3</v>
      </c>
      <c r="AI163" s="98">
        <f t="shared" si="124"/>
        <v>1.5707963267948966</v>
      </c>
      <c r="AJ163" s="98" t="str">
        <f t="shared" si="110"/>
        <v>1+0.0176907314922344i</v>
      </c>
      <c r="AK163" s="98">
        <f t="shared" si="125"/>
        <v>1.0001564687491304</v>
      </c>
      <c r="AL163" s="98">
        <f t="shared" si="126"/>
        <v>1.7688886329911942E-2</v>
      </c>
      <c r="AM163" s="98" t="str">
        <f t="shared" si="111"/>
        <v>1+17.7084222237266i</v>
      </c>
      <c r="AN163" s="98">
        <f t="shared" si="127"/>
        <v>17.736634902195345</v>
      </c>
      <c r="AO163" s="98">
        <f t="shared" si="128"/>
        <v>1.514385933397786</v>
      </c>
      <c r="AP163" s="168" t="str">
        <f t="shared" si="129"/>
        <v>-0.0992727121123993+0.00736952937019095i</v>
      </c>
      <c r="AQ163" s="98">
        <f t="shared" si="130"/>
        <v>-20.039534587261933</v>
      </c>
      <c r="AR163" s="169">
        <f t="shared" si="131"/>
        <v>175.75442400668231</v>
      </c>
      <c r="AS163" s="168" t="str">
        <f t="shared" si="132"/>
        <v>0.162181171914342+1.93452512382941i</v>
      </c>
      <c r="AT163" s="190">
        <f t="shared" si="133"/>
        <v>5.7619043686648839</v>
      </c>
      <c r="AU163" s="169">
        <f t="shared" si="134"/>
        <v>85.207806751573571</v>
      </c>
      <c r="AV163" s="225"/>
      <c r="AX163">
        <f t="shared" si="135"/>
        <v>0</v>
      </c>
      <c r="AY163">
        <f t="shared" si="136"/>
        <v>0</v>
      </c>
    </row>
    <row r="164" spans="14:51" x14ac:dyDescent="0.55000000000000004">
      <c r="N164" s="170">
        <v>46</v>
      </c>
      <c r="O164" s="199">
        <f t="shared" si="102"/>
        <v>288.40315031266073</v>
      </c>
      <c r="P164" s="189" t="str">
        <f t="shared" si="103"/>
        <v>1078.86904761905</v>
      </c>
      <c r="Q164" s="160" t="str">
        <f t="shared" si="104"/>
        <v>1+56.6278261434006i</v>
      </c>
      <c r="R164" s="160">
        <f t="shared" si="112"/>
        <v>56.636655036532687</v>
      </c>
      <c r="S164" s="160">
        <f t="shared" si="113"/>
        <v>1.5531389993135902</v>
      </c>
      <c r="T164" s="160" t="str">
        <f t="shared" si="105"/>
        <v>1+0.0000362418087317764i</v>
      </c>
      <c r="U164" s="160">
        <f t="shared" si="114"/>
        <v>1.0000000006567342</v>
      </c>
      <c r="V164" s="160">
        <f t="shared" si="115"/>
        <v>3.6241808715908904E-5</v>
      </c>
      <c r="W164" s="98" t="str">
        <f t="shared" si="106"/>
        <v>1-0.02621152574717i</v>
      </c>
      <c r="X164" s="160">
        <f t="shared" si="116"/>
        <v>1.0003434630575614</v>
      </c>
      <c r="Y164" s="160">
        <f t="shared" si="117"/>
        <v>-2.6205525395931122E-2</v>
      </c>
      <c r="Z164" s="98" t="str">
        <f t="shared" si="107"/>
        <v>0.999849386370104+0.00208204325875649i</v>
      </c>
      <c r="AA164" s="160">
        <f t="shared" si="118"/>
        <v>0.99985155414631688</v>
      </c>
      <c r="AB164" s="160">
        <f t="shared" si="119"/>
        <v>2.0823538802485345E-3</v>
      </c>
      <c r="AC164" s="171" t="str">
        <f t="shared" si="120"/>
        <v>-0.201906035916066-19.0572564126996i</v>
      </c>
      <c r="AD164" s="190">
        <f t="shared" si="121"/>
        <v>25.601695006329518</v>
      </c>
      <c r="AE164" s="169">
        <f t="shared" si="122"/>
        <v>-90.607009249060127</v>
      </c>
      <c r="AF164" s="98" t="str">
        <f t="shared" si="108"/>
        <v>-9.95024875621891E-06</v>
      </c>
      <c r="AG164" s="98" t="str">
        <f t="shared" si="109"/>
        <v>0.0018139025270254i</v>
      </c>
      <c r="AH164" s="98">
        <f t="shared" si="123"/>
        <v>1.8139025270253999E-3</v>
      </c>
      <c r="AI164" s="98">
        <f t="shared" si="124"/>
        <v>1.5707963267948966</v>
      </c>
      <c r="AJ164" s="98" t="str">
        <f t="shared" si="110"/>
        <v>1+0.0181028015643239i</v>
      </c>
      <c r="AK164" s="98">
        <f t="shared" si="125"/>
        <v>1.0001638422900907</v>
      </c>
      <c r="AL164" s="98">
        <f t="shared" si="126"/>
        <v>1.8100824454766282E-2</v>
      </c>
      <c r="AM164" s="98" t="str">
        <f t="shared" si="111"/>
        <v>1+18.1209043658882i</v>
      </c>
      <c r="AN164" s="98">
        <f t="shared" si="127"/>
        <v>18.148475832357548</v>
      </c>
      <c r="AO164" s="98">
        <f t="shared" si="128"/>
        <v>1.515667360443953</v>
      </c>
      <c r="AP164" s="168" t="str">
        <f t="shared" si="129"/>
        <v>-0.0992712483748003+0.0072826353668581i</v>
      </c>
      <c r="AQ164" s="98">
        <f t="shared" si="130"/>
        <v>-20.040220002363505</v>
      </c>
      <c r="AR164" s="169">
        <f t="shared" si="131"/>
        <v>175.80424205220692</v>
      </c>
      <c r="AS164" s="168" t="str">
        <f t="shared" si="132"/>
        <v>0.158830513786205+1.89036722664941i</v>
      </c>
      <c r="AT164" s="190">
        <f t="shared" si="133"/>
        <v>5.5614750039659953</v>
      </c>
      <c r="AU164" s="169">
        <f t="shared" si="134"/>
        <v>85.197232803146761</v>
      </c>
      <c r="AV164" s="225"/>
      <c r="AX164">
        <f t="shared" si="135"/>
        <v>0</v>
      </c>
      <c r="AY164">
        <f t="shared" si="136"/>
        <v>0</v>
      </c>
    </row>
    <row r="165" spans="14:51" x14ac:dyDescent="0.55000000000000004">
      <c r="N165" s="170">
        <v>47</v>
      </c>
      <c r="O165" s="199">
        <f t="shared" si="102"/>
        <v>295.12092266663871</v>
      </c>
      <c r="P165" s="189" t="str">
        <f t="shared" si="103"/>
        <v>1078.86904761905</v>
      </c>
      <c r="Q165" s="160" t="str">
        <f t="shared" si="104"/>
        <v>1+57.9468576606347i</v>
      </c>
      <c r="R165" s="160">
        <f t="shared" si="112"/>
        <v>57.955485613890403</v>
      </c>
      <c r="S165" s="160">
        <f t="shared" si="113"/>
        <v>1.5535408484499835</v>
      </c>
      <c r="T165" s="160" t="str">
        <f t="shared" si="105"/>
        <v>1+0.0000370859889028062i</v>
      </c>
      <c r="U165" s="160">
        <f t="shared" si="114"/>
        <v>1.0000000006876852</v>
      </c>
      <c r="V165" s="160">
        <f t="shared" si="115"/>
        <v>3.7085988885803879E-5</v>
      </c>
      <c r="W165" s="98" t="str">
        <f t="shared" si="106"/>
        <v>1-0.0268220706140656i</v>
      </c>
      <c r="X165" s="160">
        <f t="shared" si="116"/>
        <v>1.0003596470630081</v>
      </c>
      <c r="Y165" s="160">
        <f t="shared" si="117"/>
        <v>-2.6815641246710809E-2</v>
      </c>
      <c r="Z165" s="98" t="str">
        <f t="shared" si="107"/>
        <v>0.99984228816841+0.0021305402763109i</v>
      </c>
      <c r="AA165" s="160">
        <f t="shared" si="118"/>
        <v>0.99984455812476702</v>
      </c>
      <c r="AB165" s="160">
        <f t="shared" si="119"/>
        <v>2.1308731155537672E-3</v>
      </c>
      <c r="AC165" s="171" t="str">
        <f t="shared" si="120"/>
        <v>-0.217050696097767-18.6238030250995i</v>
      </c>
      <c r="AD165" s="190">
        <f t="shared" si="121"/>
        <v>25.401957241907986</v>
      </c>
      <c r="AE165" s="169">
        <f t="shared" si="122"/>
        <v>-90.66772215128745</v>
      </c>
      <c r="AF165" s="98" t="str">
        <f t="shared" si="108"/>
        <v>-9.95024875621891E-06</v>
      </c>
      <c r="AG165" s="98" t="str">
        <f t="shared" si="109"/>
        <v>0.00185615374458545i</v>
      </c>
      <c r="AH165" s="98">
        <f t="shared" si="123"/>
        <v>1.8561537445854501E-3</v>
      </c>
      <c r="AI165" s="98">
        <f t="shared" si="124"/>
        <v>1.5707963267948966</v>
      </c>
      <c r="AJ165" s="98" t="str">
        <f t="shared" si="110"/>
        <v>1+0.0185244699814217i</v>
      </c>
      <c r="AK165" s="98">
        <f t="shared" si="125"/>
        <v>1.0001715632770674</v>
      </c>
      <c r="AL165" s="98">
        <f t="shared" si="126"/>
        <v>1.8522351489988285E-2</v>
      </c>
      <c r="AM165" s="98" t="str">
        <f t="shared" si="111"/>
        <v>1+18.5429944514031i</v>
      </c>
      <c r="AN165" s="98">
        <f t="shared" si="127"/>
        <v>18.569939235893212</v>
      </c>
      <c r="AO165" s="98">
        <f t="shared" si="128"/>
        <v>1.5169197937968102</v>
      </c>
      <c r="AP165" s="168" t="str">
        <f t="shared" si="129"/>
        <v>-0.0992697156996358+0.00719960021578755i</v>
      </c>
      <c r="AQ165" s="98">
        <f t="shared" si="130"/>
        <v>-20.040880550670192</v>
      </c>
      <c r="AR165" s="169">
        <f t="shared" si="131"/>
        <v>175.85184947737815</v>
      </c>
      <c r="AS165" s="168" t="str">
        <f t="shared" si="132"/>
        <v>0.155630497172325+1.84721695330918i</v>
      </c>
      <c r="AT165" s="190">
        <f t="shared" si="133"/>
        <v>5.3610766912377823</v>
      </c>
      <c r="AU165" s="169">
        <f t="shared" si="134"/>
        <v>85.184127326090703</v>
      </c>
      <c r="AV165" s="225"/>
      <c r="AX165">
        <f t="shared" si="135"/>
        <v>0</v>
      </c>
      <c r="AY165">
        <f t="shared" si="136"/>
        <v>0</v>
      </c>
    </row>
    <row r="166" spans="14:51" x14ac:dyDescent="0.55000000000000004">
      <c r="N166" s="170">
        <v>48</v>
      </c>
      <c r="O166" s="199">
        <f t="shared" si="102"/>
        <v>301.99517204020168</v>
      </c>
      <c r="P166" s="189" t="str">
        <f t="shared" si="103"/>
        <v>1078.86904761905</v>
      </c>
      <c r="Q166" s="160" t="str">
        <f t="shared" si="104"/>
        <v>1+59.2966133688178i</v>
      </c>
      <c r="R166" s="160">
        <f t="shared" si="112"/>
        <v>59.305044954127325</v>
      </c>
      <c r="S166" s="160">
        <f t="shared" si="113"/>
        <v>1.5539335557689198</v>
      </c>
      <c r="T166" s="160" t="str">
        <f t="shared" si="105"/>
        <v>1+0.0000379498325560434i</v>
      </c>
      <c r="U166" s="160">
        <f t="shared" si="114"/>
        <v>1.0000000007200949</v>
      </c>
      <c r="V166" s="160">
        <f t="shared" si="115"/>
        <v>3.7949832537825076E-5</v>
      </c>
      <c r="W166" s="98" t="str">
        <f t="shared" si="106"/>
        <v>1-0.0274468368978328i</v>
      </c>
      <c r="X166" s="160">
        <f t="shared" si="116"/>
        <v>1.0003765935165099</v>
      </c>
      <c r="Y166" s="160">
        <f t="shared" si="117"/>
        <v>-2.7439947846653202E-2</v>
      </c>
      <c r="Z166" s="98" t="str">
        <f t="shared" si="107"/>
        <v>0.999834855438777+0.00218016693452084i</v>
      </c>
      <c r="AA166" s="160">
        <f t="shared" si="118"/>
        <v>0.99983723239242417</v>
      </c>
      <c r="AB166" s="160">
        <f t="shared" si="119"/>
        <v>2.1805235807954484E-3</v>
      </c>
      <c r="AC166" s="171" t="str">
        <f t="shared" si="120"/>
        <v>-0.231514499151028-18.2002007056859i</v>
      </c>
      <c r="AD166" s="190">
        <f t="shared" si="121"/>
        <v>25.202226218209415</v>
      </c>
      <c r="AE166" s="169">
        <f t="shared" si="122"/>
        <v>-90.728788024059043</v>
      </c>
      <c r="AF166" s="98" t="str">
        <f t="shared" si="108"/>
        <v>-9.95024875621891E-06</v>
      </c>
      <c r="AG166" s="98" t="str">
        <f t="shared" si="109"/>
        <v>0.00189938911942997i</v>
      </c>
      <c r="AH166" s="98">
        <f t="shared" si="123"/>
        <v>1.8993891194299701E-3</v>
      </c>
      <c r="AI166" s="98">
        <f t="shared" si="124"/>
        <v>1.5707963267948966</v>
      </c>
      <c r="AJ166" s="98" t="str">
        <f t="shared" si="110"/>
        <v>1+0.018955960317704i</v>
      </c>
      <c r="AK166" s="98">
        <f t="shared" si="125"/>
        <v>1.000179648079067</v>
      </c>
      <c r="AL166" s="98">
        <f t="shared" si="126"/>
        <v>1.8953690335255513E-2</v>
      </c>
      <c r="AM166" s="98" t="str">
        <f t="shared" si="111"/>
        <v>1+18.9749162780217i</v>
      </c>
      <c r="AN166" s="98">
        <f t="shared" si="127"/>
        <v>19.001248584183429</v>
      </c>
      <c r="AO166" s="98">
        <f t="shared" si="128"/>
        <v>1.5181438817877653</v>
      </c>
      <c r="AP166" s="168" t="str">
        <f t="shared" si="129"/>
        <v>-0.0992681108424409+0.0071203797121545i</v>
      </c>
      <c r="AQ166" s="98">
        <f t="shared" si="130"/>
        <v>-20.041517621955492</v>
      </c>
      <c r="AR166" s="169">
        <f t="shared" si="131"/>
        <v>175.89727065763867</v>
      </c>
      <c r="AS166" s="168" t="str">
        <f t="shared" si="132"/>
        <v>0.152574346825262+1.80505106986387i</v>
      </c>
      <c r="AT166" s="190">
        <f t="shared" si="133"/>
        <v>5.1607085962539001</v>
      </c>
      <c r="AU166" s="169">
        <f t="shared" si="134"/>
        <v>85.168482633579615</v>
      </c>
      <c r="AV166" s="225"/>
      <c r="AX166">
        <f t="shared" si="135"/>
        <v>0</v>
      </c>
      <c r="AY166">
        <f t="shared" si="136"/>
        <v>0</v>
      </c>
    </row>
    <row r="167" spans="14:51" x14ac:dyDescent="0.55000000000000004">
      <c r="N167" s="170">
        <v>49</v>
      </c>
      <c r="O167" s="199">
        <f t="shared" si="102"/>
        <v>309.02954325135937</v>
      </c>
      <c r="P167" s="189" t="str">
        <f t="shared" si="103"/>
        <v>1078.86904761905</v>
      </c>
      <c r="Q167" s="160" t="str">
        <f t="shared" si="104"/>
        <v>1+60.6778089262925i</v>
      </c>
      <c r="R167" s="160">
        <f t="shared" si="112"/>
        <v>60.686048611650946</v>
      </c>
      <c r="S167" s="160">
        <f t="shared" si="113"/>
        <v>1.5543173290042362</v>
      </c>
      <c r="T167" s="160" t="str">
        <f t="shared" si="105"/>
        <v>1+0.0000388337977128272i</v>
      </c>
      <c r="U167" s="160">
        <f t="shared" si="114"/>
        <v>1.0000000007540319</v>
      </c>
      <c r="V167" s="160">
        <f t="shared" si="115"/>
        <v>3.8833797693305919E-5</v>
      </c>
      <c r="W167" s="98" t="str">
        <f t="shared" si="106"/>
        <v>1-0.0280861558578252i</v>
      </c>
      <c r="X167" s="160">
        <f t="shared" si="116"/>
        <v>1.0003943383240781</v>
      </c>
      <c r="Y167" s="160">
        <f t="shared" si="117"/>
        <v>-2.8078774263635323E-2</v>
      </c>
      <c r="Z167" s="98" t="str">
        <f t="shared" si="107"/>
        <v>0.999827072415388+0.00223094954609739i</v>
      </c>
      <c r="AA167" s="160">
        <f t="shared" si="118"/>
        <v>0.99982956141064494</v>
      </c>
      <c r="AB167" s="160">
        <f t="shared" si="119"/>
        <v>2.2313317023834427E-3</v>
      </c>
      <c r="AC167" s="171" t="str">
        <f t="shared" si="120"/>
        <v>-0.245328071172223-17.7862264238469i</v>
      </c>
      <c r="AD167" s="190">
        <f t="shared" si="121"/>
        <v>25.002502505034169</v>
      </c>
      <c r="AE167" s="169">
        <f t="shared" si="122"/>
        <v>-90.790239111726635</v>
      </c>
      <c r="AF167" s="98" t="str">
        <f t="shared" si="108"/>
        <v>-9.95024875621891E-06</v>
      </c>
      <c r="AG167" s="98" t="str">
        <f t="shared" si="109"/>
        <v>0.001943631575527i</v>
      </c>
      <c r="AH167" s="98">
        <f t="shared" si="123"/>
        <v>1.9436315755270001E-3</v>
      </c>
      <c r="AI167" s="98">
        <f t="shared" si="124"/>
        <v>1.5707963267948966</v>
      </c>
      <c r="AJ167" s="98" t="str">
        <f t="shared" si="110"/>
        <v>1+0.0193975013550585i</v>
      </c>
      <c r="AK167" s="98">
        <f t="shared" si="125"/>
        <v>1.000188113836002</v>
      </c>
      <c r="AL167" s="98">
        <f t="shared" si="126"/>
        <v>1.9395069049749105E-2</v>
      </c>
      <c r="AM167" s="98" t="str">
        <f t="shared" si="111"/>
        <v>1+19.4168988564136i</v>
      </c>
      <c r="AN167" s="98">
        <f t="shared" si="127"/>
        <v>19.442632568667129</v>
      </c>
      <c r="AO167" s="98">
        <f t="shared" si="128"/>
        <v>1.5193402587628504</v>
      </c>
      <c r="AP167" s="168" t="str">
        <f t="shared" si="129"/>
        <v>-0.0992664304062717+0.00704493166096023i</v>
      </c>
      <c r="AQ167" s="98">
        <f t="shared" si="130"/>
        <v>-20.042132557162734</v>
      </c>
      <c r="AR167" s="169">
        <f t="shared" si="131"/>
        <v>175.94052887151028</v>
      </c>
      <c r="AS167" s="168" t="str">
        <f t="shared" si="132"/>
        <v>0.149655591566089+1.76384688799707i</v>
      </c>
      <c r="AT167" s="190">
        <f t="shared" si="133"/>
        <v>4.9603699478714569</v>
      </c>
      <c r="AU167" s="169">
        <f t="shared" si="134"/>
        <v>85.150289759783661</v>
      </c>
      <c r="AV167" s="225"/>
      <c r="AX167">
        <f t="shared" si="135"/>
        <v>0</v>
      </c>
      <c r="AY167">
        <f t="shared" si="136"/>
        <v>0</v>
      </c>
    </row>
    <row r="168" spans="14:51" x14ac:dyDescent="0.55000000000000004">
      <c r="N168" s="170">
        <v>50</v>
      </c>
      <c r="O168" s="199">
        <f t="shared" si="102"/>
        <v>316.22776601683825</v>
      </c>
      <c r="P168" s="189" t="str">
        <f t="shared" si="103"/>
        <v>1078.86904761905</v>
      </c>
      <c r="Q168" s="160" t="str">
        <f t="shared" si="104"/>
        <v>1+62.0911766612256i</v>
      </c>
      <c r="R168" s="160">
        <f t="shared" si="112"/>
        <v>62.099228813049898</v>
      </c>
      <c r="S168" s="160">
        <f t="shared" si="113"/>
        <v>1.5546923711851395</v>
      </c>
      <c r="T168" s="160" t="str">
        <f t="shared" si="105"/>
        <v>1+0.0000397383530631844i</v>
      </c>
      <c r="U168" s="160">
        <f t="shared" si="114"/>
        <v>1.0000000007895682</v>
      </c>
      <c r="V168" s="160">
        <f t="shared" si="115"/>
        <v>3.9738353042266968E-5</v>
      </c>
      <c r="W168" s="98" t="str">
        <f t="shared" si="106"/>
        <v>1-0.0287403664694175i</v>
      </c>
      <c r="X168" s="160">
        <f t="shared" si="116"/>
        <v>1.0004129190813145</v>
      </c>
      <c r="Y168" s="160">
        <f t="shared" si="117"/>
        <v>-2.8732457125048749E-2</v>
      </c>
      <c r="Z168" s="98" t="str">
        <f t="shared" si="107"/>
        <v>0.999818922589407+0.00228291503665338i</v>
      </c>
      <c r="AA168" s="160">
        <f t="shared" si="118"/>
        <v>0.9998215289084883</v>
      </c>
      <c r="AB168" s="160">
        <f t="shared" si="119"/>
        <v>2.2833245277652323E-3</v>
      </c>
      <c r="AC168" s="171" t="str">
        <f t="shared" si="120"/>
        <v>-0.258520663743065-17.3816621492635i</v>
      </c>
      <c r="AD168" s="190">
        <f t="shared" si="121"/>
        <v>24.802786687638466</v>
      </c>
      <c r="AE168" s="169">
        <f t="shared" si="122"/>
        <v>-90.852107857186297</v>
      </c>
      <c r="AF168" s="98" t="str">
        <f t="shared" si="108"/>
        <v>-9.95024875621891E-06</v>
      </c>
      <c r="AG168" s="98" t="str">
        <f t="shared" si="109"/>
        <v>0.00198890457081238i</v>
      </c>
      <c r="AH168" s="98">
        <f t="shared" si="123"/>
        <v>1.9889045708123801E-3</v>
      </c>
      <c r="AI168" s="98">
        <f t="shared" si="124"/>
        <v>1.5707963267948966</v>
      </c>
      <c r="AJ168" s="98" t="str">
        <f t="shared" si="110"/>
        <v>1+0.0198493272043878i</v>
      </c>
      <c r="AK168" s="98">
        <f t="shared" si="125"/>
        <v>1.0001969784949696</v>
      </c>
      <c r="AL168" s="98">
        <f t="shared" si="126"/>
        <v>1.9846720970013242E-2</v>
      </c>
      <c r="AM168" s="98" t="str">
        <f t="shared" si="111"/>
        <v>1+19.8691765315922i</v>
      </c>
      <c r="AN168" s="98">
        <f t="shared" si="127"/>
        <v>19.894325222122365</v>
      </c>
      <c r="AO168" s="98">
        <f t="shared" si="128"/>
        <v>1.5205095453500357</v>
      </c>
      <c r="AP168" s="168" t="str">
        <f t="shared" si="129"/>
        <v>-0.0992646708345634+0.00697321585375007i</v>
      </c>
      <c r="AQ168" s="98">
        <f t="shared" si="130"/>
        <v>-20.042726651161974</v>
      </c>
      <c r="AR168" s="169">
        <f t="shared" si="131"/>
        <v>175.98164630915713</v>
      </c>
      <c r="AS168" s="168" t="str">
        <f t="shared" si="132"/>
        <v>0.14686805065416+1.7235822514133i</v>
      </c>
      <c r="AT168" s="190">
        <f t="shared" si="133"/>
        <v>4.76006003647651</v>
      </c>
      <c r="AU168" s="169">
        <f t="shared" si="134"/>
        <v>85.129538451970845</v>
      </c>
      <c r="AV168" s="225"/>
      <c r="AX168">
        <f t="shared" si="135"/>
        <v>0</v>
      </c>
      <c r="AY168">
        <f t="shared" si="136"/>
        <v>0</v>
      </c>
    </row>
    <row r="169" spans="14:51" x14ac:dyDescent="0.55000000000000004">
      <c r="N169" s="170">
        <v>51</v>
      </c>
      <c r="O169" s="199">
        <f t="shared" si="102"/>
        <v>323.59365692962825</v>
      </c>
      <c r="P169" s="189" t="str">
        <f t="shared" si="103"/>
        <v>1078.86904761905</v>
      </c>
      <c r="Q169" s="160" t="str">
        <f t="shared" si="104"/>
        <v>1+63.5374659598984i</v>
      </c>
      <c r="R169" s="160">
        <f t="shared" si="112"/>
        <v>63.545334845331077</v>
      </c>
      <c r="S169" s="160">
        <f t="shared" si="113"/>
        <v>1.555058880741699</v>
      </c>
      <c r="T169" s="160" t="str">
        <f t="shared" si="105"/>
        <v>1+0.000040663978214335i</v>
      </c>
      <c r="U169" s="160">
        <f t="shared" si="114"/>
        <v>1.0000000008267795</v>
      </c>
      <c r="V169" s="160">
        <f t="shared" si="115"/>
        <v>4.0663978191921568E-5</v>
      </c>
      <c r="W169" s="98" t="str">
        <f t="shared" si="106"/>
        <v>1-0.0294098156037357i</v>
      </c>
      <c r="X169" s="160">
        <f t="shared" si="116"/>
        <v>1.0004323751527866</v>
      </c>
      <c r="Y169" s="160">
        <f t="shared" si="117"/>
        <v>-2.9401340786364163E-2</v>
      </c>
      <c r="Z169" s="98" t="str">
        <f t="shared" si="107"/>
        <v>0.999810388673961+0.00233609095897977i</v>
      </c>
      <c r="AA169" s="160">
        <f t="shared" si="118"/>
        <v>0.99981311784820348</v>
      </c>
      <c r="AB169" s="160">
        <f t="shared" si="119"/>
        <v>2.3365297402846859E-3</v>
      </c>
      <c r="AC169" s="171" t="str">
        <f t="shared" si="120"/>
        <v>-0.271120215562991-16.9862947432796i</v>
      </c>
      <c r="AD169" s="190">
        <f t="shared" si="121"/>
        <v>24.603079367968981</v>
      </c>
      <c r="AE169" s="169">
        <f t="shared" si="122"/>
        <v>-90.914426918417973</v>
      </c>
      <c r="AF169" s="98" t="str">
        <f t="shared" si="108"/>
        <v>-9.95024875621891E-06</v>
      </c>
      <c r="AG169" s="98" t="str">
        <f t="shared" si="109"/>
        <v>0.00203523210962747i</v>
      </c>
      <c r="AH169" s="98">
        <f t="shared" si="123"/>
        <v>2.03523210962747E-3</v>
      </c>
      <c r="AI169" s="98">
        <f t="shared" si="124"/>
        <v>1.5707963267948966</v>
      </c>
      <c r="AJ169" s="98" t="str">
        <f t="shared" si="110"/>
        <v>1+0.0203116774297378i</v>
      </c>
      <c r="AK169" s="98">
        <f t="shared" si="125"/>
        <v>1.0002062608482361</v>
      </c>
      <c r="AL169" s="98">
        <f t="shared" si="126"/>
        <v>2.0308884830393815E-2</v>
      </c>
      <c r="AM169" s="98" t="str">
        <f t="shared" si="111"/>
        <v>1+20.3319891071675i</v>
      </c>
      <c r="AN169" s="98">
        <f t="shared" si="127"/>
        <v>20.356566042777892</v>
      </c>
      <c r="AO169" s="98">
        <f t="shared" si="128"/>
        <v>1.5216523487238067</v>
      </c>
      <c r="AP169" s="168" t="str">
        <f t="shared" si="129"/>
        <v>-0.0992628284036527+0.00690519404631925i</v>
      </c>
      <c r="AQ169" s="98">
        <f t="shared" si="130"/>
        <v>-20.043301155416763</v>
      </c>
      <c r="AR169" s="169">
        <f t="shared" si="131"/>
        <v>176.02064408064425</v>
      </c>
      <c r="AS169" s="168" t="str">
        <f t="shared" si="132"/>
        <v>0.144205820764509+1.68423552261769i</v>
      </c>
      <c r="AT169" s="190">
        <f t="shared" si="133"/>
        <v>4.5597782125522279</v>
      </c>
      <c r="AU169" s="169">
        <f t="shared" si="134"/>
        <v>85.106217162226287</v>
      </c>
      <c r="AV169" s="225"/>
      <c r="AX169">
        <f t="shared" si="135"/>
        <v>0</v>
      </c>
      <c r="AY169">
        <f t="shared" si="136"/>
        <v>0</v>
      </c>
    </row>
    <row r="170" spans="14:51" x14ac:dyDescent="0.55000000000000004">
      <c r="N170" s="170">
        <v>52</v>
      </c>
      <c r="O170" s="199">
        <f t="shared" si="102"/>
        <v>331.13112148259137</v>
      </c>
      <c r="P170" s="189" t="str">
        <f t="shared" si="103"/>
        <v>1078.86904761905</v>
      </c>
      <c r="Q170" s="160" t="str">
        <f t="shared" si="104"/>
        <v>1+65.0174436640413i</v>
      </c>
      <c r="R170" s="160">
        <f t="shared" si="112"/>
        <v>65.025133453202415</v>
      </c>
      <c r="S170" s="160">
        <f t="shared" si="113"/>
        <v>1.555417051608043</v>
      </c>
      <c r="T170" s="160" t="str">
        <f t="shared" si="105"/>
        <v>1+0.0000416111639449864i</v>
      </c>
      <c r="U170" s="160">
        <f t="shared" si="114"/>
        <v>1.0000000008657444</v>
      </c>
      <c r="V170" s="160">
        <f t="shared" si="115"/>
        <v>4.1611163920969977E-5</v>
      </c>
      <c r="W170" s="98" t="str">
        <f t="shared" si="106"/>
        <v>1-0.030094858211572i</v>
      </c>
      <c r="X170" s="160">
        <f t="shared" si="116"/>
        <v>1.0004527477551224</v>
      </c>
      <c r="Y170" s="160">
        <f t="shared" si="117"/>
        <v>-3.0085777503085401E-2</v>
      </c>
      <c r="Z170" s="98" t="str">
        <f t="shared" si="107"/>
        <v>0.999801452567471+0.00239050550765443i</v>
      </c>
      <c r="AA170" s="160">
        <f t="shared" si="118"/>
        <v>0.99980431038909168</v>
      </c>
      <c r="AB170" s="160">
        <f t="shared" si="119"/>
        <v>2.3909756744149406E-3</v>
      </c>
      <c r="AC170" s="171" t="str">
        <f t="shared" si="120"/>
        <v>-0.283153411333117-16.5999158524011i</v>
      </c>
      <c r="AD170" s="190">
        <f t="shared" si="121"/>
        <v>24.403381165932267</v>
      </c>
      <c r="AE170" s="169">
        <f t="shared" si="122"/>
        <v>-90.97722918510857</v>
      </c>
      <c r="AF170" s="98" t="str">
        <f t="shared" si="108"/>
        <v>-9.95024875621891E-06</v>
      </c>
      <c r="AG170" s="98" t="str">
        <f t="shared" si="109"/>
        <v>0.00208263875544657i</v>
      </c>
      <c r="AH170" s="98">
        <f t="shared" si="123"/>
        <v>2.0826387554465698E-3</v>
      </c>
      <c r="AI170" s="98">
        <f t="shared" si="124"/>
        <v>1.5707963267948966</v>
      </c>
      <c r="AJ170" s="98" t="str">
        <f t="shared" si="110"/>
        <v>1+0.0207847971753179i</v>
      </c>
      <c r="AK170" s="98">
        <f t="shared" si="125"/>
        <v>1.0002159805730055</v>
      </c>
      <c r="AL170" s="98">
        <f t="shared" si="126"/>
        <v>2.0781804886105461E-2</v>
      </c>
      <c r="AM170" s="98" t="str">
        <f t="shared" si="111"/>
        <v>1+20.8055819724932i</v>
      </c>
      <c r="AN170" s="98">
        <f t="shared" si="127"/>
        <v>20.829600121320958</v>
      </c>
      <c r="AO170" s="98">
        <f t="shared" si="128"/>
        <v>1.5227692628668523</v>
      </c>
      <c r="AP170" s="168" t="str">
        <f t="shared" si="129"/>
        <v>-0.0992608992149519+0.00684082993739097i</v>
      </c>
      <c r="AQ170" s="98">
        <f t="shared" si="130"/>
        <v>-20.043857280565554</v>
      </c>
      <c r="AR170" s="169">
        <f t="shared" si="131"/>
        <v>176.05754222387986</v>
      </c>
      <c r="AS170" s="168" t="str">
        <f t="shared" si="132"/>
        <v>0.141663263545983+1.64578557006875i</v>
      </c>
      <c r="AT170" s="190">
        <f t="shared" si="133"/>
        <v>4.3595238853667331</v>
      </c>
      <c r="AU170" s="169">
        <f t="shared" si="134"/>
        <v>85.080313038771294</v>
      </c>
      <c r="AV170" s="225"/>
      <c r="AX170">
        <f t="shared" si="135"/>
        <v>0</v>
      </c>
      <c r="AY170">
        <f t="shared" si="136"/>
        <v>0</v>
      </c>
    </row>
    <row r="171" spans="14:51" x14ac:dyDescent="0.55000000000000004">
      <c r="N171" s="170">
        <v>53</v>
      </c>
      <c r="O171" s="199">
        <f t="shared" si="102"/>
        <v>338.84415613920277</v>
      </c>
      <c r="P171" s="189" t="str">
        <f t="shared" si="103"/>
        <v>1078.86904761905</v>
      </c>
      <c r="Q171" s="160" t="str">
        <f t="shared" si="104"/>
        <v>1+66.5318944774219i</v>
      </c>
      <c r="R171" s="160">
        <f t="shared" si="112"/>
        <v>66.539409245610244</v>
      </c>
      <c r="S171" s="160">
        <f t="shared" si="113"/>
        <v>1.5557670733233073</v>
      </c>
      <c r="T171" s="160" t="str">
        <f t="shared" si="105"/>
        <v>1+0.00004258041246555i</v>
      </c>
      <c r="U171" s="160">
        <f t="shared" si="114"/>
        <v>1.0000000009065457</v>
      </c>
      <c r="V171" s="160">
        <f t="shared" si="115"/>
        <v>4.2580412439815938E-5</v>
      </c>
      <c r="W171" s="98" t="str">
        <f t="shared" si="106"/>
        <v>1-0.0307958575115844i</v>
      </c>
      <c r="X171" s="160">
        <f t="shared" si="116"/>
        <v>1.0004740800439929</v>
      </c>
      <c r="Y171" s="160">
        <f t="shared" si="117"/>
        <v>-3.0786127606136519E-2</v>
      </c>
      <c r="Z171" s="98" t="str">
        <f t="shared" si="107"/>
        <v>0.999792095315256+0.00244618753399132i</v>
      </c>
      <c r="AA171" s="160">
        <f t="shared" si="118"/>
        <v>0.99979508784966609</v>
      </c>
      <c r="AB171" s="160">
        <f t="shared" si="119"/>
        <v>2.4466913313763894E-3</v>
      </c>
      <c r="AC171" s="171" t="str">
        <f t="shared" si="120"/>
        <v>-0.294645738013531-16.2223218039009i</v>
      </c>
      <c r="AD171" s="190">
        <f t="shared" si="121"/>
        <v>24.203692720702804</v>
      </c>
      <c r="AE171" s="169">
        <f t="shared" si="122"/>
        <v>-91.040547795364787</v>
      </c>
      <c r="AF171" s="98" t="str">
        <f t="shared" si="108"/>
        <v>-9.95024875621891E-06</v>
      </c>
      <c r="AG171" s="98" t="str">
        <f t="shared" si="109"/>
        <v>0.00213114964390078i</v>
      </c>
      <c r="AH171" s="98">
        <f t="shared" si="123"/>
        <v>2.1311496439007801E-3</v>
      </c>
      <c r="AI171" s="98">
        <f t="shared" si="124"/>
        <v>1.5707963267948966</v>
      </c>
      <c r="AJ171" s="98" t="str">
        <f t="shared" si="110"/>
        <v>1+0.0212689372954795i</v>
      </c>
      <c r="AK171" s="98">
        <f t="shared" si="125"/>
        <v>1.0002261582730572</v>
      </c>
      <c r="AL171" s="98">
        <f t="shared" si="126"/>
        <v>2.1265731038974851E-2</v>
      </c>
      <c r="AM171" s="98" t="str">
        <f t="shared" si="111"/>
        <v>1+21.290206232775i</v>
      </c>
      <c r="AN171" s="98">
        <f t="shared" si="127"/>
        <v>21.313678270868486</v>
      </c>
      <c r="AO171" s="98">
        <f t="shared" si="128"/>
        <v>1.5238608688287221</v>
      </c>
      <c r="AP171" s="168" t="str">
        <f t="shared" si="129"/>
        <v>-0.0992588791867593+0.00678008914825022i</v>
      </c>
      <c r="AQ171" s="98">
        <f t="shared" si="130"/>
        <v>-20.044396198922662</v>
      </c>
      <c r="AR171" s="169">
        <f t="shared" si="131"/>
        <v>176.09235971223089</v>
      </c>
      <c r="AS171" s="168" t="str">
        <f t="shared" si="132"/>
        <v>0.13923499373443+1.60821175569125i</v>
      </c>
      <c r="AT171" s="190">
        <f t="shared" si="133"/>
        <v>4.1592965217801634</v>
      </c>
      <c r="AU171" s="169">
        <f t="shared" si="134"/>
        <v>85.051811916866129</v>
      </c>
      <c r="AV171" s="225"/>
      <c r="AX171">
        <f t="shared" si="135"/>
        <v>0</v>
      </c>
      <c r="AY171">
        <f t="shared" si="136"/>
        <v>0</v>
      </c>
    </row>
    <row r="172" spans="14:51" x14ac:dyDescent="0.55000000000000004">
      <c r="N172" s="170">
        <v>54</v>
      </c>
      <c r="O172" s="199">
        <f t="shared" si="102"/>
        <v>346.73685045253183</v>
      </c>
      <c r="P172" s="189" t="str">
        <f t="shared" si="103"/>
        <v>1078.86904761905</v>
      </c>
      <c r="Q172" s="160" t="str">
        <f t="shared" si="104"/>
        <v>1+68.0816213819084i</v>
      </c>
      <c r="R172" s="160">
        <f t="shared" si="112"/>
        <v>68.088965111753083</v>
      </c>
      <c r="S172" s="160">
        <f t="shared" si="113"/>
        <v>1.5561091311303781</v>
      </c>
      <c r="T172" s="160" t="str">
        <f t="shared" si="105"/>
        <v>1+0.0000435722376844214i</v>
      </c>
      <c r="U172" s="160">
        <f t="shared" si="114"/>
        <v>1.00000000094927</v>
      </c>
      <c r="V172" s="160">
        <f t="shared" si="115"/>
        <v>4.3572237656846861E-5</v>
      </c>
      <c r="W172" s="98" t="str">
        <f t="shared" si="106"/>
        <v>1-0.031513185182881i</v>
      </c>
      <c r="X172" s="160">
        <f t="shared" si="116"/>
        <v>1.0004964172051645</v>
      </c>
      <c r="Y172" s="160">
        <f t="shared" si="117"/>
        <v>-3.150275968072147E-2</v>
      </c>
      <c r="Z172" s="98" t="str">
        <f t="shared" si="107"/>
        <v>0.999782297069331+0.00250316656133785i</v>
      </c>
      <c r="AA172" s="160">
        <f t="shared" si="118"/>
        <v>0.99978543066803172</v>
      </c>
      <c r="AB172" s="160">
        <f t="shared" si="119"/>
        <v>2.5037063951507507E-3</v>
      </c>
      <c r="AC172" s="171" t="str">
        <f t="shared" si="120"/>
        <v>-0.305621538570346-15.8533135034972i</v>
      </c>
      <c r="AD172" s="190">
        <f t="shared" si="121"/>
        <v>24.004014692069276</v>
      </c>
      <c r="AE172" s="169">
        <f t="shared" si="122"/>
        <v>-91.104416152520855</v>
      </c>
      <c r="AF172" s="98" t="str">
        <f t="shared" si="108"/>
        <v>-9.95024875621891E-06</v>
      </c>
      <c r="AG172" s="98" t="str">
        <f t="shared" si="109"/>
        <v>0.0021807904961053i</v>
      </c>
      <c r="AH172" s="98">
        <f t="shared" si="123"/>
        <v>2.1807904961052998E-3</v>
      </c>
      <c r="AI172" s="98">
        <f t="shared" si="124"/>
        <v>1.5707963267948966</v>
      </c>
      <c r="AJ172" s="98" t="str">
        <f t="shared" si="110"/>
        <v>1+0.021764354487723i</v>
      </c>
      <c r="AK172" s="98">
        <f t="shared" si="125"/>
        <v>1.0002368155223378</v>
      </c>
      <c r="AL172" s="98">
        <f t="shared" si="126"/>
        <v>2.1760918965910175E-2</v>
      </c>
      <c r="AM172" s="98" t="str">
        <f t="shared" si="111"/>
        <v>1+21.7861188422107i</v>
      </c>
      <c r="AN172" s="98">
        <f t="shared" si="127"/>
        <v>21.809057159972053</v>
      </c>
      <c r="AO172" s="98">
        <f t="shared" si="128"/>
        <v>1.5249277349813382</v>
      </c>
      <c r="AP172" s="168" t="str">
        <f t="shared" si="129"/>
        <v>-0.0992567640456906+0.0067229392033172i</v>
      </c>
      <c r="AQ172" s="98">
        <f t="shared" si="130"/>
        <v>-20.044919046903193</v>
      </c>
      <c r="AR172" s="169">
        <f t="shared" si="131"/>
        <v>176.12511446180193</v>
      </c>
      <c r="AS172" s="168" t="str">
        <f t="shared" si="132"/>
        <v>0.136915867796297+1.57149392273595i</v>
      </c>
      <c r="AT172" s="190">
        <f t="shared" si="133"/>
        <v>3.9590956451660819</v>
      </c>
      <c r="AU172" s="169">
        <f t="shared" si="134"/>
        <v>85.020698309281087</v>
      </c>
      <c r="AV172" s="225"/>
      <c r="AX172">
        <f t="shared" si="135"/>
        <v>0</v>
      </c>
      <c r="AY172">
        <f t="shared" si="136"/>
        <v>0</v>
      </c>
    </row>
    <row r="173" spans="14:51" x14ac:dyDescent="0.55000000000000004">
      <c r="N173" s="170">
        <v>55</v>
      </c>
      <c r="O173" s="199">
        <f t="shared" si="102"/>
        <v>354.81338923357566</v>
      </c>
      <c r="P173" s="189" t="str">
        <f t="shared" si="103"/>
        <v>1078.86904761905</v>
      </c>
      <c r="Q173" s="160" t="str">
        <f t="shared" si="104"/>
        <v>1+69.6674460632184i</v>
      </c>
      <c r="R173" s="160">
        <f t="shared" si="112"/>
        <v>69.674622646781842</v>
      </c>
      <c r="S173" s="160">
        <f t="shared" si="113"/>
        <v>1.5564434060724723</v>
      </c>
      <c r="T173" s="160" t="str">
        <f t="shared" si="105"/>
        <v>1+0.0000445871654804598i</v>
      </c>
      <c r="U173" s="160">
        <f t="shared" si="114"/>
        <v>1.0000000009940075</v>
      </c>
      <c r="V173" s="160">
        <f t="shared" si="115"/>
        <v>4.4587165450913141E-5</v>
      </c>
      <c r="W173" s="98" t="str">
        <f t="shared" si="106"/>
        <v>1-0.0322472215620878i</v>
      </c>
      <c r="X173" s="160">
        <f t="shared" si="116"/>
        <v>1.0005198065498127</v>
      </c>
      <c r="Y173" s="160">
        <f t="shared" si="117"/>
        <v>-3.2236050748690417E-2</v>
      </c>
      <c r="Z173" s="98" t="str">
        <f t="shared" si="107"/>
        <v>0.999772037046303+0.00256147280072854i</v>
      </c>
      <c r="AA173" s="160">
        <f t="shared" si="118"/>
        <v>0.99977531836039191</v>
      </c>
      <c r="AB173" s="160">
        <f t="shared" si="119"/>
        <v>2.562051248902803E-3</v>
      </c>
      <c r="AC173" s="171" t="str">
        <f t="shared" si="120"/>
        <v>-0.316104063323759-15.4926963350861i</v>
      </c>
      <c r="AD173" s="190">
        <f t="shared" si="121"/>
        <v>23.804347761826158</v>
      </c>
      <c r="AE173" s="169">
        <f t="shared" si="122"/>
        <v>-91.16886794204629</v>
      </c>
      <c r="AF173" s="98" t="str">
        <f t="shared" si="108"/>
        <v>-9.95024875621891E-06</v>
      </c>
      <c r="AG173" s="98" t="str">
        <f t="shared" si="109"/>
        <v>0.00223158763229702i</v>
      </c>
      <c r="AH173" s="98">
        <f t="shared" si="123"/>
        <v>2.23158763229702E-3</v>
      </c>
      <c r="AI173" s="98">
        <f t="shared" si="124"/>
        <v>1.5707963267948966</v>
      </c>
      <c r="AJ173" s="98" t="str">
        <f t="shared" si="110"/>
        <v>1+0.0222713114288011i</v>
      </c>
      <c r="AK173" s="98">
        <f t="shared" si="125"/>
        <v>1.0002479749106012</v>
      </c>
      <c r="AL173" s="98">
        <f t="shared" si="126"/>
        <v>2.2267630250143215E-2</v>
      </c>
      <c r="AM173" s="98" t="str">
        <f t="shared" si="111"/>
        <v>1+22.2935827402299i</v>
      </c>
      <c r="AN173" s="98">
        <f t="shared" si="127"/>
        <v>22.315999448724597</v>
      </c>
      <c r="AO173" s="98">
        <f t="shared" si="128"/>
        <v>1.5259704172712449</v>
      </c>
      <c r="AP173" s="168" t="str">
        <f t="shared" si="129"/>
        <v>-0.0992545493177097+0.00666934951164458i</v>
      </c>
      <c r="AQ173" s="98">
        <f t="shared" si="130"/>
        <v>-20.045426927377207</v>
      </c>
      <c r="AR173" s="169">
        <f t="shared" si="131"/>
        <v>176.15582333836844</v>
      </c>
      <c r="AS173" s="168" t="str">
        <f t="shared" si="132"/>
        <v>0.134700973079161+1.53561238397475i</v>
      </c>
      <c r="AT173" s="190">
        <f t="shared" si="133"/>
        <v>3.7589208344489728</v>
      </c>
      <c r="AU173" s="169">
        <f t="shared" si="134"/>
        <v>84.986955396322145</v>
      </c>
      <c r="AV173" s="225"/>
      <c r="AX173">
        <f t="shared" si="135"/>
        <v>0</v>
      </c>
      <c r="AY173">
        <f t="shared" si="136"/>
        <v>0</v>
      </c>
    </row>
    <row r="174" spans="14:51" x14ac:dyDescent="0.55000000000000004">
      <c r="N174" s="170">
        <v>56</v>
      </c>
      <c r="O174" s="199">
        <f t="shared" si="102"/>
        <v>363.07805477010152</v>
      </c>
      <c r="P174" s="189" t="str">
        <f t="shared" si="103"/>
        <v>1078.86904761905</v>
      </c>
      <c r="Q174" s="160" t="str">
        <f t="shared" si="104"/>
        <v>1+71.2902093465891i</v>
      </c>
      <c r="R174" s="160">
        <f t="shared" si="112"/>
        <v>71.297222587422695</v>
      </c>
      <c r="S174" s="160">
        <f t="shared" si="113"/>
        <v>1.5567700750876035</v>
      </c>
      <c r="T174" s="160" t="str">
        <f t="shared" si="105"/>
        <v>1+0.000045625733981817i</v>
      </c>
      <c r="U174" s="160">
        <f t="shared" si="114"/>
        <v>1.0000000010408538</v>
      </c>
      <c r="V174" s="160">
        <f t="shared" si="115"/>
        <v>4.5625733950157185E-5</v>
      </c>
      <c r="W174" s="98" t="str">
        <f t="shared" si="106"/>
        <v>1-0.0329983558450093i</v>
      </c>
      <c r="X174" s="160">
        <f t="shared" si="116"/>
        <v>1.0005442976142904</v>
      </c>
      <c r="Y174" s="160">
        <f t="shared" si="117"/>
        <v>-3.298638645445276E-2</v>
      </c>
      <c r="Z174" s="98" t="str">
        <f t="shared" si="107"/>
        <v>0.999761293483285+0.00262113716690328i</v>
      </c>
      <c r="AA174" s="160">
        <f t="shared" si="118"/>
        <v>0.99976472947759998</v>
      </c>
      <c r="AB174" s="160">
        <f t="shared" si="119"/>
        <v>2.6217569918217465E-3</v>
      </c>
      <c r="AC174" s="171" t="str">
        <f t="shared" si="120"/>
        <v>-0.326115519003758-15.1402800624929i</v>
      </c>
      <c r="AD174" s="190">
        <f t="shared" si="121"/>
        <v>23.604692635209638</v>
      </c>
      <c r="AE174" s="169">
        <f t="shared" si="122"/>
        <v>-91.233937148559349</v>
      </c>
      <c r="AF174" s="98" t="str">
        <f t="shared" si="108"/>
        <v>-9.95024875621891E-06</v>
      </c>
      <c r="AG174" s="98" t="str">
        <f t="shared" si="109"/>
        <v>0.00228356798578994i</v>
      </c>
      <c r="AH174" s="98">
        <f t="shared" si="123"/>
        <v>2.2835679857899399E-3</v>
      </c>
      <c r="AI174" s="98">
        <f t="shared" si="124"/>
        <v>1.5707963267948966</v>
      </c>
      <c r="AJ174" s="98" t="str">
        <f t="shared" si="110"/>
        <v>1+0.0227900769139945i</v>
      </c>
      <c r="AK174" s="98">
        <f t="shared" si="125"/>
        <v>1.0002596600911915</v>
      </c>
      <c r="AL174" s="98">
        <f t="shared" si="126"/>
        <v>2.2786132515296927E-2</v>
      </c>
      <c r="AM174" s="98" t="str">
        <f t="shared" si="111"/>
        <v>1+22.8128669909085i</v>
      </c>
      <c r="AN174" s="98">
        <f t="shared" si="127"/>
        <v>22.8347739280441</v>
      </c>
      <c r="AO174" s="98">
        <f t="shared" si="128"/>
        <v>1.5269894594685136</v>
      </c>
      <c r="AP174" s="168" t="str">
        <f t="shared" si="129"/>
        <v>-0.0992522303187442+0.00661929134932241i</v>
      </c>
      <c r="AQ174" s="98">
        <f t="shared" si="130"/>
        <v>-20.045920911957069</v>
      </c>
      <c r="AR174" s="169">
        <f t="shared" si="131"/>
        <v>176.18450216395638</v>
      </c>
      <c r="AS174" s="168" t="str">
        <f t="shared" si="132"/>
        <v>0.132585617446656+1.50054791021901i</v>
      </c>
      <c r="AT174" s="190">
        <f t="shared" si="133"/>
        <v>3.5587717232525429</v>
      </c>
      <c r="AU174" s="169">
        <f t="shared" si="134"/>
        <v>84.950565015397004</v>
      </c>
      <c r="AV174" s="225"/>
      <c r="AX174">
        <f t="shared" si="135"/>
        <v>0</v>
      </c>
      <c r="AY174">
        <f t="shared" si="136"/>
        <v>0</v>
      </c>
    </row>
    <row r="175" spans="14:51" x14ac:dyDescent="0.55000000000000004">
      <c r="N175" s="170">
        <v>57</v>
      </c>
      <c r="O175" s="199">
        <f t="shared" si="102"/>
        <v>371.53522909717265</v>
      </c>
      <c r="P175" s="189" t="str">
        <f t="shared" si="103"/>
        <v>1078.86904761905</v>
      </c>
      <c r="Q175" s="160" t="str">
        <f t="shared" si="104"/>
        <v>1+72.9507716425925i</v>
      </c>
      <c r="R175" s="160">
        <f t="shared" si="112"/>
        <v>72.95762525774586</v>
      </c>
      <c r="S175" s="160">
        <f t="shared" si="113"/>
        <v>1.5570893111009692</v>
      </c>
      <c r="T175" s="160" t="str">
        <f t="shared" si="105"/>
        <v>1+0.0000466884938512592i</v>
      </c>
      <c r="U175" s="160">
        <f t="shared" si="114"/>
        <v>1.0000000010899077</v>
      </c>
      <c r="V175" s="160">
        <f t="shared" si="115"/>
        <v>4.6688493817335097E-5</v>
      </c>
      <c r="W175" s="98" t="str">
        <f t="shared" si="106"/>
        <v>1-0.0337669862929847i</v>
      </c>
      <c r="X175" s="160">
        <f t="shared" si="116"/>
        <v>1.0005699422645629</v>
      </c>
      <c r="Y175" s="160">
        <f t="shared" si="117"/>
        <v>-3.3754161254465426E-2</v>
      </c>
      <c r="Z175" s="98" t="str">
        <f t="shared" si="107"/>
        <v>0.999750043591742+0.00268219129469875i</v>
      </c>
      <c r="AA175" s="160">
        <f t="shared" si="118"/>
        <v>0.99975364155967517</v>
      </c>
      <c r="AB175" s="160">
        <f t="shared" si="119"/>
        <v>2.6828554563946769E-3</v>
      </c>
      <c r="AC175" s="171" t="str">
        <f t="shared" si="120"/>
        <v>-0.335677115615169-14.795878733218i</v>
      </c>
      <c r="AD175" s="190">
        <f t="shared" si="121"/>
        <v>23.405050042383095</v>
      </c>
      <c r="AE175" s="169">
        <f t="shared" si="122"/>
        <v>-91.299658072950749</v>
      </c>
      <c r="AF175" s="98" t="str">
        <f t="shared" si="108"/>
        <v>-9.95024875621891E-06</v>
      </c>
      <c r="AG175" s="98" t="str">
        <f t="shared" si="109"/>
        <v>0.00233675911725552i</v>
      </c>
      <c r="AH175" s="98">
        <f t="shared" si="123"/>
        <v>2.3367591172555198E-3</v>
      </c>
      <c r="AI175" s="98">
        <f t="shared" si="124"/>
        <v>1.5707963267948966</v>
      </c>
      <c r="AJ175" s="98" t="str">
        <f t="shared" si="110"/>
        <v>1+0.02332092599963i</v>
      </c>
      <c r="AK175" s="98">
        <f t="shared" si="125"/>
        <v>1.0002718958310686</v>
      </c>
      <c r="AL175" s="98">
        <f t="shared" si="126"/>
        <v>2.331669956232392E-2</v>
      </c>
      <c r="AM175" s="98" t="str">
        <f t="shared" si="111"/>
        <v>1+23.3442469256296i</v>
      </c>
      <c r="AN175" s="98">
        <f t="shared" si="127"/>
        <v>23.365655662205739</v>
      </c>
      <c r="AO175" s="98">
        <f t="shared" si="128"/>
        <v>1.5279853934122156</v>
      </c>
      <c r="AP175" s="168" t="str">
        <f t="shared" si="129"/>
        <v>-0.0992498021448652+0.00657273784277514i</v>
      </c>
      <c r="AQ175" s="98">
        <f t="shared" si="130"/>
        <v>-20.046402043222727</v>
      </c>
      <c r="AR175" s="169">
        <f t="shared" si="131"/>
        <v>176.21116572306099</v>
      </c>
      <c r="AS175" s="168" t="str">
        <f t="shared" si="132"/>
        <v>0.130565319376298+1.46628171915055i</v>
      </c>
      <c r="AT175" s="190">
        <f t="shared" si="133"/>
        <v>3.3586479991603833</v>
      </c>
      <c r="AU175" s="169">
        <f t="shared" si="134"/>
        <v>84.911507650110238</v>
      </c>
      <c r="AV175" s="225"/>
      <c r="AX175">
        <f t="shared" si="135"/>
        <v>0</v>
      </c>
      <c r="AY175">
        <f t="shared" si="136"/>
        <v>0</v>
      </c>
    </row>
    <row r="176" spans="14:51" x14ac:dyDescent="0.55000000000000004">
      <c r="N176" s="170">
        <v>58</v>
      </c>
      <c r="O176" s="199">
        <f t="shared" si="102"/>
        <v>380.18939632056163</v>
      </c>
      <c r="P176" s="189" t="str">
        <f t="shared" si="103"/>
        <v>1078.86904761905</v>
      </c>
      <c r="Q176" s="160" t="str">
        <f t="shared" si="104"/>
        <v>1+74.6500134033384i</v>
      </c>
      <c r="R176" s="160">
        <f t="shared" si="112"/>
        <v>74.656711025323119</v>
      </c>
      <c r="S176" s="160">
        <f t="shared" si="113"/>
        <v>1.5574012831153092</v>
      </c>
      <c r="T176" s="160" t="str">
        <f t="shared" si="105"/>
        <v>1+0.0000477760085781366i</v>
      </c>
      <c r="U176" s="160">
        <f t="shared" si="114"/>
        <v>1.0000000011412735</v>
      </c>
      <c r="V176" s="160">
        <f t="shared" si="115"/>
        <v>4.7776008541786268E-5</v>
      </c>
      <c r="W176" s="98" t="str">
        <f t="shared" si="106"/>
        <v>1-0.0345535204440515i</v>
      </c>
      <c r="X176" s="160">
        <f t="shared" si="116"/>
        <v>1.0005967948055188</v>
      </c>
      <c r="Y176" s="160">
        <f t="shared" si="117"/>
        <v>-3.4539778610328913E-2</v>
      </c>
      <c r="Z176" s="98" t="str">
        <f t="shared" si="107"/>
        <v>0.999738263509145+0.00274466755582168i</v>
      </c>
      <c r="AA176" s="160">
        <f t="shared" si="118"/>
        <v>0.99974203108815651</v>
      </c>
      <c r="AB176" s="160">
        <f t="shared" si="119"/>
        <v>2.7453792261251577E-3</v>
      </c>
      <c r="AC176" s="171" t="str">
        <f t="shared" si="120"/>
        <v>-0.344809111209538-14.4593105841464i</v>
      </c>
      <c r="AD176" s="190">
        <f t="shared" si="121"/>
        <v>23.205420739974297</v>
      </c>
      <c r="AE176" s="169">
        <f t="shared" si="122"/>
        <v>-91.366065349622787</v>
      </c>
      <c r="AF176" s="98" t="str">
        <f t="shared" si="108"/>
        <v>-9.95024875621891E-06</v>
      </c>
      <c r="AG176" s="98" t="str">
        <f t="shared" si="109"/>
        <v>0.00239118922933574i</v>
      </c>
      <c r="AH176" s="98">
        <f t="shared" si="123"/>
        <v>2.3911892293357398E-3</v>
      </c>
      <c r="AI176" s="98">
        <f t="shared" si="124"/>
        <v>1.5707963267948966</v>
      </c>
      <c r="AJ176" s="98" t="str">
        <f t="shared" si="110"/>
        <v>1+0.0238641401489194i</v>
      </c>
      <c r="AK176" s="98">
        <f t="shared" si="125"/>
        <v>1.0002847080631829</v>
      </c>
      <c r="AL176" s="98">
        <f t="shared" si="126"/>
        <v>2.3859611509367738E-2</v>
      </c>
      <c r="AM176" s="98" t="str">
        <f t="shared" si="111"/>
        <v>1+23.8880042890683i</v>
      </c>
      <c r="AN176" s="98">
        <f t="shared" si="127"/>
        <v>23.908926134700103</v>
      </c>
      <c r="AO176" s="98">
        <f t="shared" si="128"/>
        <v>1.5289587392523991</v>
      </c>
      <c r="AP176" s="168" t="str">
        <f t="shared" si="129"/>
        <v>-0.0992472596620131+0.00652966395293492i</v>
      </c>
      <c r="AQ176" s="98">
        <f t="shared" si="130"/>
        <v>-20.046871336888969</v>
      </c>
      <c r="AR176" s="169">
        <f t="shared" si="131"/>
        <v>176.23582776849724</v>
      </c>
      <c r="AS176" s="168" t="str">
        <f t="shared" si="132"/>
        <v>0.128635798499632+1.43279546445436i</v>
      </c>
      <c r="AT176" s="190">
        <f t="shared" si="133"/>
        <v>3.158549403085301</v>
      </c>
      <c r="AU176" s="169">
        <f t="shared" si="134"/>
        <v>84.869762418874458</v>
      </c>
      <c r="AV176" s="225"/>
      <c r="AX176">
        <f t="shared" si="135"/>
        <v>0</v>
      </c>
      <c r="AY176">
        <f t="shared" si="136"/>
        <v>0</v>
      </c>
    </row>
    <row r="177" spans="14:51" x14ac:dyDescent="0.55000000000000004">
      <c r="N177" s="170">
        <v>59</v>
      </c>
      <c r="O177" s="199">
        <f t="shared" si="102"/>
        <v>389.04514499428063</v>
      </c>
      <c r="P177" s="189" t="str">
        <f t="shared" si="103"/>
        <v>1078.86904761905</v>
      </c>
      <c r="Q177" s="160" t="str">
        <f t="shared" si="104"/>
        <v>1+76.3888355893006i</v>
      </c>
      <c r="R177" s="160">
        <f t="shared" si="112"/>
        <v>76.395380768009773</v>
      </c>
      <c r="S177" s="160">
        <f t="shared" si="113"/>
        <v>1.5577061562992705</v>
      </c>
      <c r="T177" s="160" t="str">
        <f t="shared" si="105"/>
        <v>1+0.0000488888547771524i</v>
      </c>
      <c r="U177" s="160">
        <f t="shared" si="114"/>
        <v>1.0000000011950601</v>
      </c>
      <c r="V177" s="160">
        <f t="shared" si="115"/>
        <v>4.8888854738202318E-5</v>
      </c>
      <c r="W177" s="98" t="str">
        <f t="shared" si="106"/>
        <v>1-0.0353583753290277i</v>
      </c>
      <c r="X177" s="160">
        <f t="shared" si="116"/>
        <v>1.0006249120953907</v>
      </c>
      <c r="Y177" s="160">
        <f t="shared" si="117"/>
        <v>-3.534365118551723E-2</v>
      </c>
      <c r="Z177" s="98" t="str">
        <f t="shared" si="107"/>
        <v>0.999725928248359+0.00280859907601267i</v>
      </c>
      <c r="AA177" s="160">
        <f t="shared" si="118"/>
        <v>0.99972987343622621</v>
      </c>
      <c r="AB177" s="160">
        <f t="shared" si="119"/>
        <v>2.8093616537100598E-3</v>
      </c>
      <c r="AC177" s="171" t="str">
        <f t="shared" si="120"/>
        <v>-0.353530854656909-14.1303979491921i</v>
      </c>
      <c r="AD177" s="190">
        <f t="shared" si="121"/>
        <v>23.005805512667887</v>
      </c>
      <c r="AE177" s="169">
        <f t="shared" si="122"/>
        <v>-91.433193963848368</v>
      </c>
      <c r="AF177" s="98" t="str">
        <f t="shared" si="108"/>
        <v>-9.95024875621891E-06</v>
      </c>
      <c r="AG177" s="98" t="str">
        <f t="shared" si="109"/>
        <v>0.00244688718159647i</v>
      </c>
      <c r="AH177" s="98">
        <f t="shared" si="123"/>
        <v>2.4468871815964701E-3</v>
      </c>
      <c r="AI177" s="98">
        <f t="shared" si="124"/>
        <v>1.5707963267948966</v>
      </c>
      <c r="AJ177" s="98" t="str">
        <f t="shared" si="110"/>
        <v>1+0.024420007381195i</v>
      </c>
      <c r="AK177" s="98">
        <f t="shared" si="125"/>
        <v>1.0002981239413067</v>
      </c>
      <c r="AL177" s="98">
        <f t="shared" si="126"/>
        <v>2.4415154934594403E-2</v>
      </c>
      <c r="AM177" s="98" t="str">
        <f t="shared" si="111"/>
        <v>1+24.4444273885762i</v>
      </c>
      <c r="AN177" s="98">
        <f t="shared" si="127"/>
        <v>24.464873397493275</v>
      </c>
      <c r="AO177" s="98">
        <f t="shared" si="128"/>
        <v>1.5299100056885095</v>
      </c>
      <c r="AP177" s="168" t="str">
        <f t="shared" si="129"/>
        <v>-0.0992445974952475+0.00649004646027527i</v>
      </c>
      <c r="AQ177" s="98">
        <f t="shared" si="130"/>
        <v>-20.047329783919082</v>
      </c>
      <c r="AR177" s="169">
        <f t="shared" si="131"/>
        <v>176.2585010268771</v>
      </c>
      <c r="AS177" s="168" t="str">
        <f t="shared" si="132"/>
        <v>0.126792966565011+1.40007122524338i</v>
      </c>
      <c r="AT177" s="190">
        <f t="shared" si="133"/>
        <v>2.9584757287488284</v>
      </c>
      <c r="AU177" s="169">
        <f t="shared" si="134"/>
        <v>84.825307063028731</v>
      </c>
      <c r="AV177" s="225"/>
      <c r="AX177">
        <f t="shared" si="135"/>
        <v>0</v>
      </c>
      <c r="AY177">
        <f t="shared" si="136"/>
        <v>0</v>
      </c>
    </row>
    <row r="178" spans="14:51" x14ac:dyDescent="0.55000000000000004">
      <c r="N178" s="170">
        <v>60</v>
      </c>
      <c r="O178" s="199">
        <f t="shared" si="102"/>
        <v>398.10717055349761</v>
      </c>
      <c r="P178" s="189" t="str">
        <f t="shared" si="103"/>
        <v>1078.86904761905</v>
      </c>
      <c r="Q178" s="160" t="str">
        <f t="shared" si="104"/>
        <v>1+78.1681601470178i</v>
      </c>
      <c r="R178" s="160">
        <f t="shared" si="112"/>
        <v>78.174556351602149</v>
      </c>
      <c r="S178" s="160">
        <f t="shared" si="113"/>
        <v>1.5580040920738221</v>
      </c>
      <c r="T178" s="160" t="str">
        <f t="shared" si="105"/>
        <v>1+0.0000500276224940914i</v>
      </c>
      <c r="U178" s="160">
        <f t="shared" si="114"/>
        <v>1.0000000012513814</v>
      </c>
      <c r="V178" s="160">
        <f t="shared" si="115"/>
        <v>5.0027622452355644E-5</v>
      </c>
      <c r="W178" s="98" t="str">
        <f t="shared" si="106"/>
        <v>1-0.0361819776926267i</v>
      </c>
      <c r="X178" s="160">
        <f t="shared" si="116"/>
        <v>1.000654353665515</v>
      </c>
      <c r="Y178" s="160">
        <f t="shared" si="117"/>
        <v>-3.6166201045764915E-2</v>
      </c>
      <c r="Z178" s="98" t="str">
        <f t="shared" si="107"/>
        <v>0.999713011644643+0.00287401975260996i</v>
      </c>
      <c r="AA178" s="160">
        <f t="shared" si="118"/>
        <v>0.99971714281647706</v>
      </c>
      <c r="AB178" s="160">
        <f t="shared" si="119"/>
        <v>2.8748368796889753E-3</v>
      </c>
      <c r="AC178" s="171" t="str">
        <f t="shared" si="120"/>
        <v>-0.361860826506593-13.8089671688466i</v>
      </c>
      <c r="AD178" s="190">
        <f t="shared" si="121"/>
        <v>22.806205174856014</v>
      </c>
      <c r="AE178" s="169">
        <f t="shared" si="122"/>
        <v>-91.501079269254816</v>
      </c>
      <c r="AF178" s="98" t="str">
        <f t="shared" si="108"/>
        <v>-9.95024875621891E-06</v>
      </c>
      <c r="AG178" s="98" t="str">
        <f t="shared" si="109"/>
        <v>0.00250388250582928i</v>
      </c>
      <c r="AH178" s="98">
        <f t="shared" si="123"/>
        <v>2.5038825058292802E-3</v>
      </c>
      <c r="AI178" s="98">
        <f t="shared" si="124"/>
        <v>1.5707963267948966</v>
      </c>
      <c r="AJ178" s="98" t="str">
        <f t="shared" si="110"/>
        <v>1+0.0249888224246211i</v>
      </c>
      <c r="AK178" s="98">
        <f t="shared" si="125"/>
        <v>1.0003121718974379</v>
      </c>
      <c r="AL178" s="98">
        <f t="shared" si="126"/>
        <v>2.4983623022043266E-2</v>
      </c>
      <c r="AM178" s="98" t="str">
        <f t="shared" si="111"/>
        <v>1+25.0138112470457i</v>
      </c>
      <c r="AN178" s="98">
        <f t="shared" si="127"/>
        <v>25.033792223768856</v>
      </c>
      <c r="AO178" s="98">
        <f t="shared" si="128"/>
        <v>1.5308396902042098</v>
      </c>
      <c r="AP178" s="168" t="str">
        <f t="shared" si="129"/>
        <v>-0.0992418100174948+0.00645386395068897i</v>
      </c>
      <c r="AQ178" s="98">
        <f t="shared" si="130"/>
        <v>-20.047778352589386</v>
      </c>
      <c r="AR178" s="169">
        <f t="shared" si="131"/>
        <v>176.2791972037067</v>
      </c>
      <c r="AS178" s="168" t="str">
        <f t="shared" si="132"/>
        <v>0.125032918804208+1.36809149576514i</v>
      </c>
      <c r="AT178" s="190">
        <f t="shared" si="133"/>
        <v>2.7584268222666291</v>
      </c>
      <c r="AU178" s="169">
        <f t="shared" si="134"/>
        <v>84.77811793445187</v>
      </c>
      <c r="AV178" s="225"/>
      <c r="AX178">
        <f t="shared" si="135"/>
        <v>0</v>
      </c>
      <c r="AY178">
        <f t="shared" si="136"/>
        <v>0</v>
      </c>
    </row>
    <row r="179" spans="14:51" x14ac:dyDescent="0.55000000000000004">
      <c r="N179" s="170">
        <v>61</v>
      </c>
      <c r="O179" s="199">
        <f t="shared" si="102"/>
        <v>407.38027780411272</v>
      </c>
      <c r="P179" s="189" t="str">
        <f t="shared" si="103"/>
        <v>1078.86904761905</v>
      </c>
      <c r="Q179" s="160" t="str">
        <f t="shared" si="104"/>
        <v>1+79.9889304979231i</v>
      </c>
      <c r="R179" s="160">
        <f t="shared" si="112"/>
        <v>79.995181118624728</v>
      </c>
      <c r="S179" s="160">
        <f t="shared" si="113"/>
        <v>1.5582952481967625</v>
      </c>
      <c r="T179" s="160" t="str">
        <f t="shared" si="105"/>
        <v>1+0.0000511929155186708i</v>
      </c>
      <c r="U179" s="160">
        <f t="shared" si="114"/>
        <v>1.0000000013103572</v>
      </c>
      <c r="V179" s="160">
        <f t="shared" si="115"/>
        <v>5.1192915473950127E-5</v>
      </c>
      <c r="W179" s="98" t="str">
        <f t="shared" si="106"/>
        <v>1-0.0370247642197235i</v>
      </c>
      <c r="X179" s="160">
        <f t="shared" si="116"/>
        <v>1.0006851818456823</v>
      </c>
      <c r="Y179" s="160">
        <f t="shared" si="117"/>
        <v>-3.7007859863132292E-2</v>
      </c>
      <c r="Z179" s="98" t="str">
        <f t="shared" si="107"/>
        <v>0.999699486300147+0.00294096427252224i</v>
      </c>
      <c r="AA179" s="160">
        <f t="shared" si="118"/>
        <v>0.99970381222621651</v>
      </c>
      <c r="AB179" s="160">
        <f t="shared" si="119"/>
        <v>2.9418398515805E-3</v>
      </c>
      <c r="AC179" s="171" t="str">
        <f t="shared" si="120"/>
        <v>-0.369816678022013-13.4948485016027i</v>
      </c>
      <c r="AD179" s="190">
        <f t="shared" si="121"/>
        <v>22.606620572351098</v>
      </c>
      <c r="AE179" s="169">
        <f t="shared" si="122"/>
        <v>-91.569757005436003</v>
      </c>
      <c r="AF179" s="98" t="str">
        <f t="shared" si="108"/>
        <v>-9.95024875621891E-06</v>
      </c>
      <c r="AG179" s="98" t="str">
        <f t="shared" si="109"/>
        <v>0.00256220542170947i</v>
      </c>
      <c r="AH179" s="98">
        <f t="shared" si="123"/>
        <v>2.56220542170947E-3</v>
      </c>
      <c r="AI179" s="98">
        <f t="shared" si="124"/>
        <v>1.5707963267948966</v>
      </c>
      <c r="AJ179" s="98" t="str">
        <f t="shared" si="110"/>
        <v>1+0.0255708868724629i</v>
      </c>
      <c r="AK179" s="98">
        <f t="shared" si="125"/>
        <v>1.0003268817018987</v>
      </c>
      <c r="AL179" s="98">
        <f t="shared" si="126"/>
        <v>2.5565315710546117E-2</v>
      </c>
      <c r="AM179" s="98" t="str">
        <f t="shared" si="111"/>
        <v>1+25.5964577593354i</v>
      </c>
      <c r="AN179" s="98">
        <f t="shared" si="127"/>
        <v>25.61598426423317</v>
      </c>
      <c r="AO179" s="98">
        <f t="shared" si="128"/>
        <v>1.5317482792985617</v>
      </c>
      <c r="AP179" s="168" t="str">
        <f t="shared" si="129"/>
        <v>-0.0992388913377855+0.00642109680219497i</v>
      </c>
      <c r="AQ179" s="98">
        <f t="shared" si="130"/>
        <v>-20.048217990507517</v>
      </c>
      <c r="AR179" s="169">
        <f t="shared" si="131"/>
        <v>176.29792698809985</v>
      </c>
      <c r="AS179" s="168" t="str">
        <f t="shared" si="132"/>
        <v>0.123351925684874+1.33683917538178i</v>
      </c>
      <c r="AT179" s="190">
        <f t="shared" si="133"/>
        <v>2.5584025818435752</v>
      </c>
      <c r="AU179" s="169">
        <f t="shared" si="134"/>
        <v>84.728169982663843</v>
      </c>
      <c r="AV179" s="225"/>
      <c r="AX179">
        <f t="shared" si="135"/>
        <v>0</v>
      </c>
      <c r="AY179">
        <f t="shared" si="136"/>
        <v>0</v>
      </c>
    </row>
    <row r="180" spans="14:51" x14ac:dyDescent="0.55000000000000004">
      <c r="N180" s="170">
        <v>62</v>
      </c>
      <c r="O180" s="199">
        <f t="shared" si="102"/>
        <v>416.86938347033572</v>
      </c>
      <c r="P180" s="189" t="str">
        <f t="shared" si="103"/>
        <v>1078.86904761905</v>
      </c>
      <c r="Q180" s="160" t="str">
        <f t="shared" si="104"/>
        <v>1+81.8521120385572i</v>
      </c>
      <c r="R180" s="160">
        <f t="shared" si="112"/>
        <v>81.858220388501721</v>
      </c>
      <c r="S180" s="160">
        <f t="shared" si="113"/>
        <v>1.5585797788453535</v>
      </c>
      <c r="T180" s="160" t="str">
        <f t="shared" si="105"/>
        <v>1+0.0000523853517046766i</v>
      </c>
      <c r="U180" s="160">
        <f t="shared" si="114"/>
        <v>1.0000000013721124</v>
      </c>
      <c r="V180" s="160">
        <f t="shared" si="115"/>
        <v>5.2385351656757534E-5</v>
      </c>
      <c r="W180" s="98" t="str">
        <f t="shared" si="106"/>
        <v>1-0.0378871817668903i</v>
      </c>
      <c r="X180" s="160">
        <f t="shared" si="116"/>
        <v>1.0007174618953332</v>
      </c>
      <c r="Y180" s="160">
        <f t="shared" si="117"/>
        <v>-3.7869069123763012E-2</v>
      </c>
      <c r="Z180" s="98" t="str">
        <f t="shared" si="107"/>
        <v>0.999685323525804+0.00300946813062008i</v>
      </c>
      <c r="AA180" s="160">
        <f t="shared" si="118"/>
        <v>0.99968985339020056</v>
      </c>
      <c r="AB180" s="160">
        <f t="shared" si="119"/>
        <v>3.0104063435205195E-3</v>
      </c>
      <c r="AC180" s="171" t="str">
        <f t="shared" si="120"/>
        <v>-0.377415268471074-13.1878760372216i</v>
      </c>
      <c r="AD180" s="190">
        <f t="shared" si="121"/>
        <v>22.407052584163452</v>
      </c>
      <c r="AE180" s="169">
        <f t="shared" si="122"/>
        <v>-91.639263315697676</v>
      </c>
      <c r="AF180" s="98" t="str">
        <f t="shared" si="108"/>
        <v>-9.95024875621891E-06</v>
      </c>
      <c r="AG180" s="98" t="str">
        <f t="shared" si="109"/>
        <v>0.00262188685281906i</v>
      </c>
      <c r="AH180" s="98">
        <f t="shared" si="123"/>
        <v>2.6218868528190601E-3</v>
      </c>
      <c r="AI180" s="98">
        <f t="shared" si="124"/>
        <v>1.5707963267948966</v>
      </c>
      <c r="AJ180" s="98" t="str">
        <f t="shared" si="110"/>
        <v>1+0.0261665093429953i</v>
      </c>
      <c r="AK180" s="98">
        <f t="shared" si="125"/>
        <v>1.0003422845262502</v>
      </c>
      <c r="AL180" s="98">
        <f t="shared" si="126"/>
        <v>2.6160539845762169E-2</v>
      </c>
      <c r="AM180" s="98" t="str">
        <f t="shared" si="111"/>
        <v>1+26.1926758523383i</v>
      </c>
      <c r="AN180" s="98">
        <f t="shared" si="127"/>
        <v>26.211758207065508</v>
      </c>
      <c r="AO180" s="98">
        <f t="shared" si="128"/>
        <v>1.5326362487135365</v>
      </c>
      <c r="AP180" s="168" t="str">
        <f t="shared" si="129"/>
        <v>-0.0992358352889356+0.00639172717245694i</v>
      </c>
      <c r="AQ180" s="98">
        <f t="shared" si="130"/>
        <v>-20.048649626590297</v>
      </c>
      <c r="AR180" s="169">
        <f t="shared" si="131"/>
        <v>176.31470005710239</v>
      </c>
      <c r="AS180" s="168" t="str">
        <f t="shared" si="132"/>
        <v>0.121746425031628+1.30629755881384i</v>
      </c>
      <c r="AT180" s="190">
        <f t="shared" si="133"/>
        <v>2.3584029575731784</v>
      </c>
      <c r="AU180" s="169">
        <f t="shared" si="134"/>
        <v>84.675436741404738</v>
      </c>
      <c r="AV180" s="225"/>
      <c r="AX180">
        <f t="shared" si="135"/>
        <v>0</v>
      </c>
      <c r="AY180">
        <f t="shared" si="136"/>
        <v>0</v>
      </c>
    </row>
    <row r="181" spans="14:51" x14ac:dyDescent="0.55000000000000004">
      <c r="N181" s="170">
        <v>63</v>
      </c>
      <c r="O181" s="199">
        <f t="shared" si="102"/>
        <v>426.57951880159294</v>
      </c>
      <c r="P181" s="189" t="str">
        <f t="shared" si="103"/>
        <v>1078.86904761905</v>
      </c>
      <c r="Q181" s="160" t="str">
        <f t="shared" si="104"/>
        <v>1+83.7586926524347i</v>
      </c>
      <c r="R181" s="160">
        <f t="shared" si="112"/>
        <v>83.764661969383113</v>
      </c>
      <c r="S181" s="160">
        <f t="shared" si="113"/>
        <v>1.5588578346971258</v>
      </c>
      <c r="T181" s="160" t="str">
        <f t="shared" si="105"/>
        <v>1+0.0000536055632975582i</v>
      </c>
      <c r="U181" s="160">
        <f t="shared" si="114"/>
        <v>1.0000000014367783</v>
      </c>
      <c r="V181" s="160">
        <f t="shared" si="115"/>
        <v>5.3605563246211999E-5</v>
      </c>
      <c r="W181" s="98" t="str">
        <f t="shared" si="106"/>
        <v>1-0.038769687599326i</v>
      </c>
      <c r="X181" s="160">
        <f t="shared" si="116"/>
        <v>1.0007512621408725</v>
      </c>
      <c r="Y181" s="160">
        <f t="shared" si="117"/>
        <v>-3.8750280339346702E-2</v>
      </c>
      <c r="Z181" s="98" t="str">
        <f t="shared" si="107"/>
        <v>0.999670493280469+0.00307956764855579i</v>
      </c>
      <c r="AA181" s="160">
        <f t="shared" si="118"/>
        <v>0.99967523670065894</v>
      </c>
      <c r="AB181" s="160">
        <f t="shared" si="119"/>
        <v>3.0805729764183643E-3</v>
      </c>
      <c r="AC181" s="171" t="str">
        <f t="shared" si="120"/>
        <v>-0.384672700749863-12.8878876118143i</v>
      </c>
      <c r="AD181" s="190">
        <f t="shared" si="121"/>
        <v>22.2075021243481</v>
      </c>
      <c r="AE181" s="169">
        <f t="shared" si="122"/>
        <v>-91.709634764939182</v>
      </c>
      <c r="AF181" s="98" t="str">
        <f t="shared" si="108"/>
        <v>-9.95024875621891E-06</v>
      </c>
      <c r="AG181" s="98" t="str">
        <f t="shared" si="109"/>
        <v>0.00268295844304279i</v>
      </c>
      <c r="AH181" s="98">
        <f t="shared" si="123"/>
        <v>2.68295844304279E-3</v>
      </c>
      <c r="AI181" s="98">
        <f t="shared" si="124"/>
        <v>1.5707963267948966</v>
      </c>
      <c r="AJ181" s="98" t="str">
        <f t="shared" si="110"/>
        <v>1+0.026776005643136i</v>
      </c>
      <c r="AK181" s="98">
        <f t="shared" si="125"/>
        <v>1.0003584130091581</v>
      </c>
      <c r="AL181" s="98">
        <f t="shared" si="126"/>
        <v>2.6769609335376129E-2</v>
      </c>
      <c r="AM181" s="98" t="str">
        <f t="shared" si="111"/>
        <v>1+26.8027816487791i</v>
      </c>
      <c r="AN181" s="98">
        <f t="shared" si="127"/>
        <v>26.821429941599494</v>
      </c>
      <c r="AO181" s="98">
        <f t="shared" si="128"/>
        <v>1.5335040636578376</v>
      </c>
      <c r="AP181" s="168" t="str">
        <f t="shared" si="129"/>
        <v>-0.09923263541467+0.00636573898709827i</v>
      </c>
      <c r="AQ181" s="98">
        <f t="shared" si="130"/>
        <v>-20.049074173003241</v>
      </c>
      <c r="AR181" s="169">
        <f t="shared" si="131"/>
        <v>176.32952507962418</v>
      </c>
      <c r="AS181" s="168" t="str">
        <f t="shared" si="132"/>
        <v>0.120213014499355+1.27645032663997i</v>
      </c>
      <c r="AT181" s="190">
        <f t="shared" si="133"/>
        <v>2.1584279513448217</v>
      </c>
      <c r="AU181" s="169">
        <f t="shared" si="134"/>
        <v>84.619890314684966</v>
      </c>
      <c r="AV181" s="225"/>
      <c r="AX181">
        <f t="shared" si="135"/>
        <v>0</v>
      </c>
      <c r="AY181">
        <f t="shared" si="136"/>
        <v>0</v>
      </c>
    </row>
    <row r="182" spans="14:51" x14ac:dyDescent="0.55000000000000004">
      <c r="N182" s="170">
        <v>64</v>
      </c>
      <c r="O182" s="199">
        <f t="shared" si="102"/>
        <v>436.51583224016622</v>
      </c>
      <c r="P182" s="189" t="str">
        <f t="shared" si="103"/>
        <v>1078.86904761905</v>
      </c>
      <c r="Q182" s="160" t="str">
        <f t="shared" si="104"/>
        <v>1+85.7096832338337i</v>
      </c>
      <c r="R182" s="160">
        <f t="shared" si="112"/>
        <v>85.715516681894385</v>
      </c>
      <c r="S182" s="160">
        <f t="shared" si="113"/>
        <v>1.5591295630088906</v>
      </c>
      <c r="T182" s="160" t="str">
        <f t="shared" si="105"/>
        <v>1+0.0000548541972696536i</v>
      </c>
      <c r="U182" s="160">
        <f t="shared" si="114"/>
        <v>1.0000000015044914</v>
      </c>
      <c r="V182" s="160">
        <f t="shared" si="115"/>
        <v>5.4854197214635153E-5</v>
      </c>
      <c r="W182" s="98" t="str">
        <f t="shared" si="106"/>
        <v>1-0.0396727496333043i</v>
      </c>
      <c r="X182" s="160">
        <f t="shared" si="116"/>
        <v>1.0007866541193817</v>
      </c>
      <c r="Y182" s="160">
        <f t="shared" si="117"/>
        <v>-3.9651955262292149E-2</v>
      </c>
      <c r="Z182" s="98" t="str">
        <f t="shared" si="107"/>
        <v>0.999654964107204+0.00315129999402165i</v>
      </c>
      <c r="AA182" s="160">
        <f t="shared" si="118"/>
        <v>0.99965993115450402</v>
      </c>
      <c r="AB182" s="160">
        <f t="shared" si="119"/>
        <v>3.1523772386471108E-3</v>
      </c>
      <c r="AC182" s="171" t="str">
        <f t="shared" si="120"/>
        <v>-0.39160435541408-12.594724724706i</v>
      </c>
      <c r="AD182" s="190">
        <f t="shared" si="121"/>
        <v>22.007970143924169</v>
      </c>
      <c r="AE182" s="169">
        <f t="shared" si="122"/>
        <v>-91.780908357675301</v>
      </c>
      <c r="AF182" s="98" t="str">
        <f t="shared" si="108"/>
        <v>-9.95024875621891E-06</v>
      </c>
      <c r="AG182" s="98" t="str">
        <f t="shared" si="109"/>
        <v>0.00274545257334617i</v>
      </c>
      <c r="AH182" s="98">
        <f t="shared" si="123"/>
        <v>2.7454525733461698E-3</v>
      </c>
      <c r="AI182" s="98">
        <f t="shared" si="124"/>
        <v>1.5707963267948966</v>
      </c>
      <c r="AJ182" s="98" t="str">
        <f t="shared" si="110"/>
        <v>1+0.0273996989358909i</v>
      </c>
      <c r="AK182" s="98">
        <f t="shared" si="125"/>
        <v>1.0003753013253462</v>
      </c>
      <c r="AL182" s="98">
        <f t="shared" si="126"/>
        <v>2.739284530750738E-2</v>
      </c>
      <c r="AM182" s="98" t="str">
        <f t="shared" si="111"/>
        <v>1+27.4270986348268i</v>
      </c>
      <c r="AN182" s="98">
        <f t="shared" si="127"/>
        <v>27.445322725821942</v>
      </c>
      <c r="AO182" s="98">
        <f t="shared" si="128"/>
        <v>1.5343521790270211</v>
      </c>
      <c r="AP182" s="168" t="str">
        <f t="shared" si="129"/>
        <v>-0.0992292849561473+0.00634311792879612i</v>
      </c>
      <c r="AQ182" s="98">
        <f t="shared" si="130"/>
        <v>-20.049492527066736</v>
      </c>
      <c r="AR182" s="169">
        <f t="shared" si="131"/>
        <v>176.34240971997468</v>
      </c>
      <c r="AS182" s="168" t="str">
        <f t="shared" si="132"/>
        <v>0.118748444382987+1.24728153604426i</v>
      </c>
      <c r="AT182" s="190">
        <f t="shared" si="133"/>
        <v>1.9584776168574063</v>
      </c>
      <c r="AU182" s="169">
        <f t="shared" si="134"/>
        <v>84.561501362299367</v>
      </c>
      <c r="AV182" s="225"/>
      <c r="AX182">
        <f t="shared" si="135"/>
        <v>0</v>
      </c>
      <c r="AY182">
        <f t="shared" si="136"/>
        <v>0</v>
      </c>
    </row>
    <row r="183" spans="14:51" x14ac:dyDescent="0.55000000000000004">
      <c r="N183" s="170">
        <v>65</v>
      </c>
      <c r="O183" s="199">
        <f t="shared" si="102"/>
        <v>446.68359215096331</v>
      </c>
      <c r="P183" s="189" t="str">
        <f t="shared" si="103"/>
        <v>1078.86904761905</v>
      </c>
      <c r="Q183" s="160" t="str">
        <f t="shared" si="104"/>
        <v>1+87.7061182237853i</v>
      </c>
      <c r="R183" s="160">
        <f t="shared" si="112"/>
        <v>87.711818895087347</v>
      </c>
      <c r="S183" s="160">
        <f t="shared" si="113"/>
        <v>1.5593951076939963</v>
      </c>
      <c r="T183" s="160" t="str">
        <f t="shared" si="105"/>
        <v>1+0.0000561319156632226i</v>
      </c>
      <c r="U183" s="160">
        <f t="shared" si="114"/>
        <v>1.0000000015753958</v>
      </c>
      <c r="V183" s="160">
        <f t="shared" si="115"/>
        <v>5.6131915604269271E-5</v>
      </c>
      <c r="W183" s="98" t="str">
        <f t="shared" si="106"/>
        <v>1-0.0405968466842691i</v>
      </c>
      <c r="X183" s="160">
        <f t="shared" si="116"/>
        <v>1.0008237127290232</v>
      </c>
      <c r="Y183" s="160">
        <f t="shared" si="117"/>
        <v>-4.0574566104612117E-2</v>
      </c>
      <c r="Z183" s="98" t="str">
        <f t="shared" si="107"/>
        <v>0.999638703066552+0.00322470320045674i</v>
      </c>
      <c r="AA183" s="160">
        <f t="shared" si="118"/>
        <v>0.99964390428757643</v>
      </c>
      <c r="AB183" s="160">
        <f t="shared" si="119"/>
        <v>3.2258575072852099E-3</v>
      </c>
      <c r="AC183" s="171" t="str">
        <f t="shared" si="120"/>
        <v>-0.398224923189314-12.3082324570532i</v>
      </c>
      <c r="AD183" s="190">
        <f t="shared" si="121"/>
        <v>21.808457632870976</v>
      </c>
      <c r="AE183" s="169">
        <f t="shared" si="122"/>
        <v>-91.853121556201231</v>
      </c>
      <c r="AF183" s="98" t="str">
        <f t="shared" si="108"/>
        <v>-9.95024875621891E-06</v>
      </c>
      <c r="AG183" s="98" t="str">
        <f t="shared" si="109"/>
        <v>0.00280940237894429i</v>
      </c>
      <c r="AH183" s="98">
        <f t="shared" si="123"/>
        <v>2.8094023789442899E-3</v>
      </c>
      <c r="AI183" s="98">
        <f t="shared" si="124"/>
        <v>1.5707963267948966</v>
      </c>
      <c r="AJ183" s="98" t="str">
        <f t="shared" si="110"/>
        <v>1+0.0280379199116996i</v>
      </c>
      <c r="AK183" s="98">
        <f t="shared" si="125"/>
        <v>1.0003929852577811</v>
      </c>
      <c r="AL183" s="98">
        <f t="shared" si="126"/>
        <v>2.8030576272375363E-2</v>
      </c>
      <c r="AM183" s="98" t="str">
        <f t="shared" si="111"/>
        <v>1+28.0659578316113i</v>
      </c>
      <c r="AN183" s="98">
        <f t="shared" si="127"/>
        <v>28.083767357777763</v>
      </c>
      <c r="AO183" s="98">
        <f t="shared" si="128"/>
        <v>1.5351810396199024</v>
      </c>
      <c r="AP183" s="168" t="str">
        <f t="shared" si="129"/>
        <v>-0.0992257768378638+0.00632385142713777i</v>
      </c>
      <c r="AQ183" s="98">
        <f t="shared" si="130"/>
        <v>-20.049905573132417</v>
      </c>
      <c r="AR183" s="169">
        <f t="shared" si="131"/>
        <v>176.35336064099977</v>
      </c>
      <c r="AS183" s="168" t="str">
        <f t="shared" si="132"/>
        <v>0.117349610748738+1.21877561180328i</v>
      </c>
      <c r="AT183" s="190">
        <f t="shared" si="133"/>
        <v>1.7585520597385615</v>
      </c>
      <c r="AU183" s="169">
        <f t="shared" si="134"/>
        <v>84.500239084798523</v>
      </c>
      <c r="AV183" s="225"/>
      <c r="AX183">
        <f t="shared" si="135"/>
        <v>0</v>
      </c>
      <c r="AY183">
        <f t="shared" si="136"/>
        <v>0</v>
      </c>
    </row>
    <row r="184" spans="14:51" x14ac:dyDescent="0.55000000000000004">
      <c r="N184" s="170">
        <v>66</v>
      </c>
      <c r="O184" s="199">
        <f t="shared" ref="O184:O218" si="137">10^(2+(N184/100))</f>
        <v>457.0881896148756</v>
      </c>
      <c r="P184" s="189" t="str">
        <f t="shared" si="103"/>
        <v>1078.86904761905</v>
      </c>
      <c r="Q184" s="160" t="str">
        <f t="shared" si="104"/>
        <v>1+89.7490561585469i</v>
      </c>
      <c r="R184" s="160">
        <f t="shared" si="112"/>
        <v>89.754627074875685</v>
      </c>
      <c r="S184" s="160">
        <f t="shared" si="113"/>
        <v>1.5596546093978667</v>
      </c>
      <c r="T184" s="160" t="str">
        <f t="shared" si="105"/>
        <v>1+0.00005743939594147i</v>
      </c>
      <c r="U184" s="160">
        <f t="shared" si="114"/>
        <v>1.000000001649642</v>
      </c>
      <c r="V184" s="160">
        <f t="shared" si="115"/>
        <v>5.7439395878300373E-5</v>
      </c>
      <c r="W184" s="98" t="str">
        <f t="shared" si="106"/>
        <v>1-0.0415424687207088i</v>
      </c>
      <c r="X184" s="160">
        <f t="shared" si="116"/>
        <v>1.0008625163864471</v>
      </c>
      <c r="Y184" s="160">
        <f t="shared" si="117"/>
        <v>-4.1518595760514601E-2</v>
      </c>
      <c r="Z184" s="98" t="str">
        <f t="shared" si="107"/>
        <v>0.999621675666663+0.0032998161872127i</v>
      </c>
      <c r="AA184" s="160">
        <f t="shared" si="118"/>
        <v>0.9996271221057863</v>
      </c>
      <c r="AB184" s="160">
        <f t="shared" si="119"/>
        <v>3.3010530699271413E-3</v>
      </c>
      <c r="AC184" s="171" t="str">
        <f t="shared" si="120"/>
        <v>-0.404548436028197-12.0282593921823i</v>
      </c>
      <c r="AD184" s="190">
        <f t="shared" si="121"/>
        <v>21.60896562220422</v>
      </c>
      <c r="AE184" s="169">
        <f t="shared" si="122"/>
        <v>-91.926312298903881</v>
      </c>
      <c r="AF184" s="98" t="str">
        <f t="shared" si="108"/>
        <v>-9.95024875621891E-06</v>
      </c>
      <c r="AG184" s="98" t="str">
        <f t="shared" si="109"/>
        <v>0.00287484176687058i</v>
      </c>
      <c r="AH184" s="98">
        <f t="shared" si="123"/>
        <v>2.87484176687058E-3</v>
      </c>
      <c r="AI184" s="98">
        <f t="shared" si="124"/>
        <v>1.5707963267948966</v>
      </c>
      <c r="AJ184" s="98" t="str">
        <f t="shared" si="110"/>
        <v>1+0.0286910069637712i</v>
      </c>
      <c r="AK184" s="98">
        <f t="shared" si="125"/>
        <v>1.0004115022732372</v>
      </c>
      <c r="AL184" s="98">
        <f t="shared" si="126"/>
        <v>2.8683138287265604E-2</v>
      </c>
      <c r="AM184" s="98" t="str">
        <f t="shared" si="111"/>
        <v>1+28.719697970735i</v>
      </c>
      <c r="AN184" s="98">
        <f t="shared" si="127"/>
        <v>28.737102350971991</v>
      </c>
      <c r="AO184" s="98">
        <f t="shared" si="128"/>
        <v>1.5359910803512544</v>
      </c>
      <c r="AP184" s="168" t="str">
        <f t="shared" si="129"/>
        <v>-0.0992221036529094+0.00630792864922183i</v>
      </c>
      <c r="AQ184" s="98">
        <f t="shared" si="130"/>
        <v>-20.05031418443339</v>
      </c>
      <c r="AR184" s="169">
        <f t="shared" si="131"/>
        <v>176.36238350681614</v>
      </c>
      <c r="AS184" s="168" t="str">
        <f t="shared" si="132"/>
        <v>0.11601354887243+1.19091733750557i</v>
      </c>
      <c r="AT184" s="190">
        <f t="shared" si="133"/>
        <v>1.5586514377708092</v>
      </c>
      <c r="AU184" s="169">
        <f t="shared" si="134"/>
        <v>84.436071207912306</v>
      </c>
      <c r="AV184" s="225"/>
      <c r="AX184">
        <f t="shared" si="135"/>
        <v>0</v>
      </c>
      <c r="AY184">
        <f t="shared" si="136"/>
        <v>0</v>
      </c>
    </row>
    <row r="185" spans="14:51" x14ac:dyDescent="0.55000000000000004">
      <c r="N185" s="170">
        <v>67</v>
      </c>
      <c r="O185" s="199">
        <f t="shared" si="137"/>
        <v>467.7351412871983</v>
      </c>
      <c r="P185" s="189" t="str">
        <f t="shared" si="103"/>
        <v>1078.86904761905</v>
      </c>
      <c r="Q185" s="160" t="str">
        <f t="shared" si="104"/>
        <v>1+91.8395802308528i</v>
      </c>
      <c r="R185" s="160">
        <f t="shared" si="112"/>
        <v>91.845024345248262</v>
      </c>
      <c r="S185" s="160">
        <f t="shared" si="113"/>
        <v>1.5599082055718589</v>
      </c>
      <c r="T185" s="160" t="str">
        <f t="shared" si="105"/>
        <v>1+0.0000587773313477458i</v>
      </c>
      <c r="U185" s="160">
        <f t="shared" si="114"/>
        <v>1.0000000017273873</v>
      </c>
      <c r="V185" s="160">
        <f t="shared" si="115"/>
        <v>5.877733128005832E-5</v>
      </c>
      <c r="W185" s="98" t="str">
        <f t="shared" si="106"/>
        <v>1-0.0425101171239437i</v>
      </c>
      <c r="X185" s="160">
        <f t="shared" si="116"/>
        <v>1.0009031471915208</v>
      </c>
      <c r="Y185" s="160">
        <f t="shared" si="117"/>
        <v>-4.2484538032688632E-2</v>
      </c>
      <c r="Z185" s="98" t="str">
        <f t="shared" si="107"/>
        <v>0.99960384579014+0.00337667878018935i</v>
      </c>
      <c r="AA185" s="160">
        <f t="shared" si="118"/>
        <v>0.99960954901302479</v>
      </c>
      <c r="AB185" s="160">
        <f t="shared" si="119"/>
        <v>3.3780041470818797E-3</v>
      </c>
      <c r="AC185" s="171" t="str">
        <f t="shared" si="120"/>
        <v>-0.410588296779371-11.7546575376219i</v>
      </c>
      <c r="AD185" s="190">
        <f t="shared" si="121"/>
        <v>21.409495186138518</v>
      </c>
      <c r="AE185" s="169">
        <f t="shared" si="122"/>
        <v>-92.000519018721278</v>
      </c>
      <c r="AF185" s="98" t="str">
        <f t="shared" si="108"/>
        <v>-9.95024875621891E-06</v>
      </c>
      <c r="AG185" s="98" t="str">
        <f t="shared" si="109"/>
        <v>0.00294180543395468i</v>
      </c>
      <c r="AH185" s="98">
        <f t="shared" si="123"/>
        <v>2.9418054339546799E-3</v>
      </c>
      <c r="AI185" s="98">
        <f t="shared" si="124"/>
        <v>1.5707963267948966</v>
      </c>
      <c r="AJ185" s="98" t="str">
        <f t="shared" si="110"/>
        <v>1+0.0293593063675054i</v>
      </c>
      <c r="AK185" s="98">
        <f t="shared" si="125"/>
        <v>1.0004308916014044</v>
      </c>
      <c r="AL185" s="98">
        <f t="shared" si="126"/>
        <v>2.935087512484234E-2</v>
      </c>
      <c r="AM185" s="98" t="str">
        <f t="shared" si="111"/>
        <v>1+29.3886656738729i</v>
      </c>
      <c r="AN185" s="98">
        <f t="shared" si="127"/>
        <v>29.405674113862364</v>
      </c>
      <c r="AO185" s="98">
        <f t="shared" si="128"/>
        <v>1.5367827264607967</v>
      </c>
      <c r="AP185" s="168" t="str">
        <f t="shared" si="129"/>
        <v>-0.0992182576475486+0.00629534049098693i</v>
      </c>
      <c r="AQ185" s="98">
        <f t="shared" si="130"/>
        <v>-20.050719224911838</v>
      </c>
      <c r="AR185" s="169">
        <f t="shared" si="131"/>
        <v>176.36948298514233</v>
      </c>
      <c r="AS185" s="168" t="str">
        <f t="shared" si="132"/>
        <v>0.1147374269712+1.16369184699663i</v>
      </c>
      <c r="AT185" s="190">
        <f t="shared" si="133"/>
        <v>1.3587759612266945</v>
      </c>
      <c r="AU185" s="169">
        <f t="shared" si="134"/>
        <v>84.368963966421035</v>
      </c>
      <c r="AV185" s="225"/>
      <c r="AX185">
        <f t="shared" si="135"/>
        <v>0</v>
      </c>
      <c r="AY185">
        <f t="shared" si="136"/>
        <v>0</v>
      </c>
    </row>
    <row r="186" spans="14:51" x14ac:dyDescent="0.55000000000000004">
      <c r="N186" s="170">
        <v>68</v>
      </c>
      <c r="O186" s="199">
        <f t="shared" si="137"/>
        <v>478.63009232263886</v>
      </c>
      <c r="P186" s="189" t="str">
        <f t="shared" si="103"/>
        <v>1078.86904761905</v>
      </c>
      <c r="Q186" s="160" t="str">
        <f t="shared" si="104"/>
        <v>1+93.9787988642378i</v>
      </c>
      <c r="R186" s="160">
        <f t="shared" si="112"/>
        <v>93.984119062556871</v>
      </c>
      <c r="S186" s="160">
        <f t="shared" si="113"/>
        <v>1.560156030545474</v>
      </c>
      <c r="T186" s="160" t="str">
        <f t="shared" si="105"/>
        <v>1+0.0000601464312731122i</v>
      </c>
      <c r="U186" s="160">
        <f t="shared" si="114"/>
        <v>1.0000000018087964</v>
      </c>
      <c r="V186" s="160">
        <f t="shared" si="115"/>
        <v>6.014643120058376E-5</v>
      </c>
      <c r="W186" s="98" t="str">
        <f t="shared" si="106"/>
        <v>1-0.0435003049539657i</v>
      </c>
      <c r="X186" s="160">
        <f t="shared" si="116"/>
        <v>1.0009456910997159</v>
      </c>
      <c r="Y186" s="160">
        <f t="shared" si="117"/>
        <v>-4.3472897862267476E-2</v>
      </c>
      <c r="Z186" s="98" t="str">
        <f t="shared" si="107"/>
        <v>0.999585175617425+0.00345533173295089i</v>
      </c>
      <c r="AA186" s="160">
        <f t="shared" si="118"/>
        <v>0.99959114773566449</v>
      </c>
      <c r="AB186" s="160">
        <f t="shared" si="119"/>
        <v>3.4567519151784518E-3</v>
      </c>
      <c r="AC186" s="171" t="str">
        <f t="shared" si="120"/>
        <v>-0.41635730753047-11.4872822487929i</v>
      </c>
      <c r="AD186" s="190">
        <f t="shared" si="121"/>
        <v>21.210047444336624</v>
      </c>
      <c r="AE186" s="169">
        <f t="shared" si="122"/>
        <v>-92.075780661753342</v>
      </c>
      <c r="AF186" s="98" t="str">
        <f t="shared" si="108"/>
        <v>-9.95024875621891E-06</v>
      </c>
      <c r="AG186" s="98" t="str">
        <f t="shared" si="109"/>
        <v>0.00301032888521927i</v>
      </c>
      <c r="AH186" s="98">
        <f t="shared" si="123"/>
        <v>3.0103288852192699E-3</v>
      </c>
      <c r="AI186" s="98">
        <f t="shared" si="124"/>
        <v>1.5707963267948966</v>
      </c>
      <c r="AJ186" s="98" t="str">
        <f t="shared" si="110"/>
        <v>1+0.030043172464092i</v>
      </c>
      <c r="AK186" s="98">
        <f t="shared" si="125"/>
        <v>1.0004511943176975</v>
      </c>
      <c r="AL186" s="98">
        <f t="shared" si="126"/>
        <v>3.0034138444848455E-2</v>
      </c>
      <c r="AM186" s="98" t="str">
        <f t="shared" si="111"/>
        <v>1+30.0732156365561i</v>
      </c>
      <c r="AN186" s="98">
        <f t="shared" si="127"/>
        <v>30.089837133537337</v>
      </c>
      <c r="AO186" s="98">
        <f t="shared" si="128"/>
        <v>1.537556393718488</v>
      </c>
      <c r="AP186" s="168" t="str">
        <f t="shared" si="129"/>
        <v>-0.0992142307050893+0.0062860795692488i</v>
      </c>
      <c r="AQ186" s="98">
        <f t="shared" si="130"/>
        <v>-20.051121551028253</v>
      </c>
      <c r="AR186" s="169">
        <f t="shared" si="131"/>
        <v>176.37466274922303</v>
      </c>
      <c r="AS186" s="168" t="str">
        <f t="shared" si="132"/>
        <v>0.113518540215409+1.13708461604184i</v>
      </c>
      <c r="AT186" s="190">
        <f t="shared" si="133"/>
        <v>1.1589258933083659</v>
      </c>
      <c r="AU186" s="169">
        <f t="shared" si="134"/>
        <v>84.298882087469721</v>
      </c>
      <c r="AV186" s="225"/>
      <c r="AX186">
        <f t="shared" si="135"/>
        <v>0</v>
      </c>
      <c r="AY186">
        <f t="shared" si="136"/>
        <v>0</v>
      </c>
    </row>
    <row r="187" spans="14:51" x14ac:dyDescent="0.55000000000000004">
      <c r="N187" s="170">
        <v>69</v>
      </c>
      <c r="O187" s="199">
        <f t="shared" si="137"/>
        <v>489.77881936844625</v>
      </c>
      <c r="P187" s="189" t="str">
        <f t="shared" si="103"/>
        <v>1078.86904761905</v>
      </c>
      <c r="Q187" s="160" t="str">
        <f t="shared" si="104"/>
        <v>1+96.1678463007372i</v>
      </c>
      <c r="R187" s="160">
        <f t="shared" si="112"/>
        <v>96.173045403180467</v>
      </c>
      <c r="S187" s="160">
        <f t="shared" si="113"/>
        <v>1.5603982155969573</v>
      </c>
      <c r="T187" s="160" t="str">
        <f t="shared" si="105"/>
        <v>1+0.0000615474216324718i</v>
      </c>
      <c r="U187" s="160">
        <f t="shared" si="114"/>
        <v>1.0000000018940425</v>
      </c>
      <c r="V187" s="160">
        <f t="shared" si="115"/>
        <v>6.1547421554756176E-5</v>
      </c>
      <c r="W187" s="98" t="str">
        <f t="shared" si="106"/>
        <v>1-0.0445135572214689i</v>
      </c>
      <c r="X187" s="160">
        <f t="shared" si="116"/>
        <v>1.0009902381025046</v>
      </c>
      <c r="Y187" s="160">
        <f t="shared" si="117"/>
        <v>-4.4484191562440427E-2</v>
      </c>
      <c r="Z187" s="98" t="str">
        <f t="shared" si="107"/>
        <v>0.999565625546579+0.00353581674833396i</v>
      </c>
      <c r="AA187" s="160">
        <f t="shared" si="118"/>
        <v>0.99957187924350965</v>
      </c>
      <c r="AB187" s="160">
        <f t="shared" si="119"/>
        <v>3.5373385301989166E-3</v>
      </c>
      <c r="AC187" s="171" t="str">
        <f t="shared" si="120"/>
        <v>-0.421867696684428-11.2259921543338i</v>
      </c>
      <c r="AD187" s="190">
        <f t="shared" si="121"/>
        <v>21.010623564255297</v>
      </c>
      <c r="AE187" s="169">
        <f t="shared" si="122"/>
        <v>-92.152136706024081</v>
      </c>
      <c r="AF187" s="98" t="str">
        <f t="shared" si="108"/>
        <v>-9.95024875621891E-06</v>
      </c>
      <c r="AG187" s="98" t="str">
        <f t="shared" si="109"/>
        <v>0.00308044845270521i</v>
      </c>
      <c r="AH187" s="98">
        <f t="shared" si="123"/>
        <v>3.0804484527052101E-3</v>
      </c>
      <c r="AI187" s="98">
        <f t="shared" si="124"/>
        <v>1.5707963267948966</v>
      </c>
      <c r="AJ187" s="98" t="str">
        <f t="shared" si="110"/>
        <v>1+0.0307429678483875i</v>
      </c>
      <c r="AK187" s="98">
        <f t="shared" si="125"/>
        <v>1.0004724534299418</v>
      </c>
      <c r="AL187" s="98">
        <f t="shared" si="126"/>
        <v>3.0733287969235145E-2</v>
      </c>
      <c r="AM187" s="98" t="str">
        <f t="shared" si="111"/>
        <v>1+30.7737108162359i</v>
      </c>
      <c r="AN187" s="98">
        <f t="shared" si="127"/>
        <v>30.789954163676736</v>
      </c>
      <c r="AO187" s="98">
        <f t="shared" si="128"/>
        <v>1.5383124886261352</v>
      </c>
      <c r="AP187" s="168" t="str">
        <f t="shared" si="129"/>
        <v>-0.099210014329016+0.00628014021442772i</v>
      </c>
      <c r="AQ187" s="98">
        <f t="shared" si="130"/>
        <v>-20.051522013555253</v>
      </c>
      <c r="AR187" s="169">
        <f t="shared" si="131"/>
        <v>176.37792547934666</v>
      </c>
      <c r="AS187" s="168" t="str">
        <f t="shared" si="132"/>
        <v>0.112354305008293+1.11108145420176i</v>
      </c>
      <c r="AT187" s="190">
        <f t="shared" si="133"/>
        <v>0.95910155070002845</v>
      </c>
      <c r="AU187" s="169">
        <f t="shared" si="134"/>
        <v>84.225788773322549</v>
      </c>
      <c r="AV187" s="225"/>
      <c r="AX187">
        <f t="shared" si="135"/>
        <v>0</v>
      </c>
      <c r="AY187">
        <f t="shared" si="136"/>
        <v>0</v>
      </c>
    </row>
    <row r="188" spans="14:51" x14ac:dyDescent="0.55000000000000004">
      <c r="N188" s="170">
        <v>70</v>
      </c>
      <c r="O188" s="199">
        <f t="shared" si="137"/>
        <v>501.18723362727269</v>
      </c>
      <c r="P188" s="189" t="str">
        <f t="shared" si="103"/>
        <v>1078.86904761905</v>
      </c>
      <c r="Q188" s="160" t="str">
        <f t="shared" si="104"/>
        <v>1+98.4078832022769i</v>
      </c>
      <c r="R188" s="160">
        <f t="shared" si="112"/>
        <v>98.41296396488103</v>
      </c>
      <c r="S188" s="160">
        <f t="shared" si="113"/>
        <v>1.5606348890223238</v>
      </c>
      <c r="T188" s="160" t="str">
        <f t="shared" si="105"/>
        <v>1+0.0000629810452494572i</v>
      </c>
      <c r="U188" s="160">
        <f t="shared" si="114"/>
        <v>1.000000001983306</v>
      </c>
      <c r="V188" s="160">
        <f t="shared" si="115"/>
        <v>6.2981045166183414E-5</v>
      </c>
      <c r="W188" s="98" t="str">
        <f t="shared" si="106"/>
        <v>1-0.0455504111662174i</v>
      </c>
      <c r="X188" s="160">
        <f t="shared" si="116"/>
        <v>1.0010368824161333</v>
      </c>
      <c r="Y188" s="160">
        <f t="shared" si="117"/>
        <v>-4.5518947055680645E-2</v>
      </c>
      <c r="Z188" s="98" t="str">
        <f t="shared" si="107"/>
        <v>0.999545154109278+0.00361817650055906i</v>
      </c>
      <c r="AA188" s="160">
        <f t="shared" si="118"/>
        <v>0.99955170266701532</v>
      </c>
      <c r="AB188" s="160">
        <f t="shared" si="119"/>
        <v>3.619807151960031E-3</v>
      </c>
      <c r="AC188" s="171" t="str">
        <f t="shared" si="120"/>
        <v>-0.427131144825953-10.9706490830245i</v>
      </c>
      <c r="AD188" s="190">
        <f t="shared" si="121"/>
        <v>20.811224763587752</v>
      </c>
      <c r="AE188" s="169">
        <f t="shared" si="122"/>
        <v>-92.229627180397927</v>
      </c>
      <c r="AF188" s="98" t="str">
        <f t="shared" si="108"/>
        <v>-9.95024875621891E-06</v>
      </c>
      <c r="AG188" s="98" t="str">
        <f t="shared" si="109"/>
        <v>0.00315220131473534i</v>
      </c>
      <c r="AH188" s="98">
        <f t="shared" si="123"/>
        <v>3.1522013147353401E-3</v>
      </c>
      <c r="AI188" s="98">
        <f t="shared" si="124"/>
        <v>1.5707963267948966</v>
      </c>
      <c r="AJ188" s="98" t="str">
        <f t="shared" si="110"/>
        <v>1+0.0314590635611674i</v>
      </c>
      <c r="AK188" s="98">
        <f t="shared" si="125"/>
        <v>1.0004947139691172</v>
      </c>
      <c r="AL188" s="98">
        <f t="shared" si="126"/>
        <v>3.1448691660759885E-2</v>
      </c>
      <c r="AM188" s="98" t="str">
        <f t="shared" si="111"/>
        <v>1+31.4905226247286i</v>
      </c>
      <c r="AN188" s="98">
        <f t="shared" si="127"/>
        <v>31.506396416895154</v>
      </c>
      <c r="AO188" s="98">
        <f t="shared" si="128"/>
        <v>1.5390514086153382</v>
      </c>
      <c r="AP188" s="168" t="str">
        <f t="shared" si="129"/>
        <v>-0.0992055996253475+0.00627751846394603i</v>
      </c>
      <c r="AQ188" s="98">
        <f t="shared" si="130"/>
        <v>-20.051921459360248</v>
      </c>
      <c r="AR188" s="169">
        <f t="shared" si="131"/>
        <v>176.37927286395336</v>
      </c>
      <c r="AS188" s="168" t="str">
        <f t="shared" si="132"/>
        <v>0.111242253521279+1.08566849691254i</v>
      </c>
      <c r="AT188" s="190">
        <f t="shared" si="133"/>
        <v>0.75930330422748005</v>
      </c>
      <c r="AU188" s="169">
        <f t="shared" si="134"/>
        <v>84.149645683555406</v>
      </c>
      <c r="AV188" s="225"/>
      <c r="AX188">
        <f t="shared" si="135"/>
        <v>0</v>
      </c>
      <c r="AY188">
        <f t="shared" si="136"/>
        <v>0</v>
      </c>
    </row>
    <row r="189" spans="14:51" x14ac:dyDescent="0.55000000000000004">
      <c r="N189" s="170">
        <v>71</v>
      </c>
      <c r="O189" s="199">
        <f t="shared" si="137"/>
        <v>512.86138399136519</v>
      </c>
      <c r="P189" s="189" t="str">
        <f t="shared" si="103"/>
        <v>1078.86904761905</v>
      </c>
      <c r="Q189" s="160" t="str">
        <f t="shared" si="104"/>
        <v>1+100.700097266073i</v>
      </c>
      <c r="R189" s="160">
        <f t="shared" si="112"/>
        <v>100.70506238216907</v>
      </c>
      <c r="S189" s="160">
        <f t="shared" si="113"/>
        <v>1.5608661762028386</v>
      </c>
      <c r="T189" s="160" t="str">
        <f t="shared" si="105"/>
        <v>1+0.0000644480622502866i</v>
      </c>
      <c r="U189" s="160">
        <f t="shared" si="114"/>
        <v>1.0000000020767763</v>
      </c>
      <c r="V189" s="160">
        <f t="shared" si="115"/>
        <v>6.4448062161057121E-5</v>
      </c>
      <c r="W189" s="98" t="str">
        <f t="shared" si="106"/>
        <v>1-0.0466114165418973i</v>
      </c>
      <c r="X189" s="160">
        <f t="shared" si="116"/>
        <v>1.0010857226791532</v>
      </c>
      <c r="Y189" s="160">
        <f t="shared" si="117"/>
        <v>-4.657770411454451E-2</v>
      </c>
      <c r="Z189" s="98" t="str">
        <f t="shared" si="107"/>
        <v>0.999523717882862+0.00370245465785699i</v>
      </c>
      <c r="AA189" s="160">
        <f t="shared" si="118"/>
        <v>0.99953057521061983</v>
      </c>
      <c r="AB189" s="160">
        <f t="shared" si="119"/>
        <v>3.7042019690656739E-3</v>
      </c>
      <c r="AC189" s="171" t="str">
        <f t="shared" si="120"/>
        <v>-0.432158809432364-10.7211179922814i</v>
      </c>
      <c r="AD189" s="190">
        <f t="shared" si="121"/>
        <v>20.611852312809376</v>
      </c>
      <c r="AE189" s="169">
        <f t="shared" si="122"/>
        <v>-92.30829268365018</v>
      </c>
      <c r="AF189" s="98" t="str">
        <f t="shared" si="108"/>
        <v>-9.95024875621891E-06</v>
      </c>
      <c r="AG189" s="98" t="str">
        <f t="shared" si="109"/>
        <v>0.00322562551562685i</v>
      </c>
      <c r="AH189" s="98">
        <f t="shared" si="123"/>
        <v>3.22562551562685E-3</v>
      </c>
      <c r="AI189" s="98">
        <f t="shared" si="124"/>
        <v>1.5707963267948966</v>
      </c>
      <c r="AJ189" s="98" t="str">
        <f t="shared" si="110"/>
        <v>1+0.0321918392858574i</v>
      </c>
      <c r="AK189" s="98">
        <f t="shared" si="125"/>
        <v>1.0005180230843453</v>
      </c>
      <c r="AL189" s="98">
        <f t="shared" si="126"/>
        <v>3.2180725905091377E-2</v>
      </c>
      <c r="AM189" s="98" t="str">
        <f t="shared" si="111"/>
        <v>1+32.2240311251433i</v>
      </c>
      <c r="AN189" s="98">
        <f t="shared" si="127"/>
        <v>32.23954376157026</v>
      </c>
      <c r="AO189" s="98">
        <f t="shared" si="128"/>
        <v>1.5397735422417913</v>
      </c>
      <c r="AP189" s="168" t="str">
        <f t="shared" si="129"/>
        <v>-0.0992009772841931+0.00627821205627607i</v>
      </c>
      <c r="AQ189" s="98">
        <f t="shared" si="130"/>
        <v>-20.052320733179737</v>
      </c>
      <c r="AR189" s="169">
        <f t="shared" si="131"/>
        <v>176.3787056003344</v>
      </c>
      <c r="AS189" s="168" t="str">
        <f t="shared" si="132"/>
        <v>0.110180028473563+1.06083219776586i</v>
      </c>
      <c r="AT189" s="190">
        <f t="shared" si="133"/>
        <v>0.5595315796296616</v>
      </c>
      <c r="AU189" s="169">
        <f t="shared" si="134"/>
        <v>84.070412916684248</v>
      </c>
      <c r="AV189" s="225"/>
      <c r="AX189">
        <f t="shared" si="135"/>
        <v>0</v>
      </c>
      <c r="AY189">
        <f t="shared" si="136"/>
        <v>0</v>
      </c>
    </row>
    <row r="190" spans="14:51" x14ac:dyDescent="0.55000000000000004">
      <c r="N190" s="170">
        <v>72</v>
      </c>
      <c r="O190" s="199">
        <f t="shared" si="137"/>
        <v>524.80746024977248</v>
      </c>
      <c r="P190" s="189" t="str">
        <f t="shared" si="103"/>
        <v>1078.86904761905</v>
      </c>
      <c r="Q190" s="160" t="str">
        <f t="shared" si="104"/>
        <v>1+103.045703854363i</v>
      </c>
      <c r="R190" s="160">
        <f t="shared" si="112"/>
        <v>103.05055595600192</v>
      </c>
      <c r="S190" s="160">
        <f t="shared" si="113"/>
        <v>1.5610921996709899</v>
      </c>
      <c r="T190" s="160" t="str">
        <f t="shared" si="105"/>
        <v>1+0.0000659492504667922i</v>
      </c>
      <c r="U190" s="160">
        <f t="shared" si="114"/>
        <v>1.0000000021746518</v>
      </c>
      <c r="V190" s="160">
        <f t="shared" si="115"/>
        <v>6.5949250371181105E-5</v>
      </c>
      <c r="W190" s="98" t="str">
        <f t="shared" si="106"/>
        <v>1-0.0476971359076028i</v>
      </c>
      <c r="X190" s="160">
        <f t="shared" si="116"/>
        <v>1.0011368621591097</v>
      </c>
      <c r="Y190" s="160">
        <f t="shared" si="117"/>
        <v>-4.7661014605987796E-2</v>
      </c>
      <c r="Z190" s="98" t="str">
        <f t="shared" si="107"/>
        <v>0.999501271398219+0.0037886959056223i</v>
      </c>
      <c r="AA190" s="160">
        <f t="shared" si="118"/>
        <v>0.99950845206197292</v>
      </c>
      <c r="AB190" s="160">
        <f t="shared" si="119"/>
        <v>3.790568224553328E-3</v>
      </c>
      <c r="AC190" s="171" t="str">
        <f t="shared" si="120"/>
        <v>-0.436961348480693-10.477266898197i</v>
      </c>
      <c r="AD190" s="190">
        <f t="shared" si="121"/>
        <v>20.412507537834014</v>
      </c>
      <c r="AE190" s="169">
        <f t="shared" si="122"/>
        <v>-92.388174403691167</v>
      </c>
      <c r="AF190" s="98" t="str">
        <f t="shared" si="108"/>
        <v>-9.95024875621891E-06</v>
      </c>
      <c r="AG190" s="98" t="str">
        <f t="shared" si="109"/>
        <v>0.00330075998586295i</v>
      </c>
      <c r="AH190" s="98">
        <f t="shared" si="123"/>
        <v>3.3007599858629502E-3</v>
      </c>
      <c r="AI190" s="98">
        <f t="shared" si="124"/>
        <v>1.5707963267948966</v>
      </c>
      <c r="AJ190" s="98" t="str">
        <f t="shared" si="110"/>
        <v>1+0.0329416835498463i</v>
      </c>
      <c r="AK190" s="98">
        <f t="shared" si="125"/>
        <v>1.0005424301423196</v>
      </c>
      <c r="AL190" s="98">
        <f t="shared" si="126"/>
        <v>3.2929775696455485E-2</v>
      </c>
      <c r="AM190" s="98" t="str">
        <f t="shared" si="111"/>
        <v>1+32.9746252333961i</v>
      </c>
      <c r="AN190" s="98">
        <f t="shared" si="127"/>
        <v>32.989784923259542</v>
      </c>
      <c r="AO190" s="98">
        <f t="shared" si="128"/>
        <v>1.540479269375971</v>
      </c>
      <c r="AP190" s="168" t="str">
        <f t="shared" si="129"/>
        <v>-0.0991961375604603+0.00628222042561686i</v>
      </c>
      <c r="AQ190" s="98">
        <f t="shared" si="130"/>
        <v>-20.052720679389914</v>
      </c>
      <c r="AR190" s="169">
        <f t="shared" si="131"/>
        <v>176.3762233949204</v>
      </c>
      <c r="AS190" s="168" t="str">
        <f t="shared" si="132"/>
        <v>0.109165378144988+1.03655932098258i</v>
      </c>
      <c r="AT190" s="190">
        <f t="shared" si="133"/>
        <v>0.35978685844412944</v>
      </c>
      <c r="AU190" s="169">
        <f t="shared" si="134"/>
        <v>83.988048991229249</v>
      </c>
      <c r="AV190" s="225"/>
      <c r="AX190">
        <f t="shared" si="135"/>
        <v>0</v>
      </c>
      <c r="AY190">
        <f t="shared" si="136"/>
        <v>0</v>
      </c>
    </row>
    <row r="191" spans="14:51" x14ac:dyDescent="0.55000000000000004">
      <c r="N191" s="170">
        <v>73</v>
      </c>
      <c r="O191" s="199">
        <f t="shared" si="137"/>
        <v>537.03179637025301</v>
      </c>
      <c r="P191" s="189" t="str">
        <f t="shared" si="103"/>
        <v>1078.86904761905</v>
      </c>
      <c r="Q191" s="160" t="str">
        <f t="shared" si="104"/>
        <v>1+105.445946638807i</v>
      </c>
      <c r="R191" s="160">
        <f t="shared" si="112"/>
        <v>105.45068829815258</v>
      </c>
      <c r="S191" s="160">
        <f t="shared" si="113"/>
        <v>1.561313079174985</v>
      </c>
      <c r="T191" s="160" t="str">
        <f t="shared" si="105"/>
        <v>1+0.0000674854058488366i</v>
      </c>
      <c r="U191" s="160">
        <f t="shared" si="114"/>
        <v>1.00000000227714</v>
      </c>
      <c r="V191" s="160">
        <f t="shared" si="115"/>
        <v>6.7485405746387452E-5</v>
      </c>
      <c r="W191" s="98" t="str">
        <f t="shared" si="106"/>
        <v>1-0.0488081449261126i</v>
      </c>
      <c r="X191" s="160">
        <f t="shared" si="116"/>
        <v>1.0011904089688077</v>
      </c>
      <c r="Y191" s="160">
        <f t="shared" si="117"/>
        <v>-4.8769442739135936E-2</v>
      </c>
      <c r="Z191" s="98" t="str">
        <f t="shared" si="107"/>
        <v>0.999477767043345+0.00387694597010608i</v>
      </c>
      <c r="AA191" s="160">
        <f t="shared" si="118"/>
        <v>0.99948528629690514</v>
      </c>
      <c r="AB191" s="160">
        <f t="shared" si="119"/>
        <v>3.8789522422588494E-3</v>
      </c>
      <c r="AC191" s="171" t="str">
        <f t="shared" si="120"/>
        <v>-0.441548943000613-10.2389668070883i</v>
      </c>
      <c r="AD191" s="190">
        <f t="shared" si="121"/>
        <v>20.21319182278113</v>
      </c>
      <c r="AE191" s="169">
        <f t="shared" si="122"/>
        <v>-92.469314136945258</v>
      </c>
      <c r="AF191" s="98" t="str">
        <f t="shared" si="108"/>
        <v>-9.95024875621891E-06</v>
      </c>
      <c r="AG191" s="98" t="str">
        <f t="shared" si="109"/>
        <v>0.00337764456273428i</v>
      </c>
      <c r="AH191" s="98">
        <f t="shared" si="123"/>
        <v>3.3776445627342801E-3</v>
      </c>
      <c r="AI191" s="98">
        <f t="shared" si="124"/>
        <v>1.5707963267948966</v>
      </c>
      <c r="AJ191" s="98" t="str">
        <f t="shared" si="110"/>
        <v>1+0.0337089939304878i</v>
      </c>
      <c r="AK191" s="98">
        <f t="shared" si="125"/>
        <v>1.0005679868313824</v>
      </c>
      <c r="AL191" s="98">
        <f t="shared" si="126"/>
        <v>3.3696234826855416E-2</v>
      </c>
      <c r="AM191" s="98" t="str">
        <f t="shared" si="111"/>
        <v>1+33.7427029244183i</v>
      </c>
      <c r="AN191" s="98">
        <f t="shared" si="127"/>
        <v>33.757517690812925</v>
      </c>
      <c r="AO191" s="98">
        <f t="shared" si="128"/>
        <v>1.5411689613902328</v>
      </c>
      <c r="AP191" s="168" t="str">
        <f t="shared" si="129"/>
        <v>-0.0991910702536885+0.00628954469717767i</v>
      </c>
      <c r="AQ191" s="98">
        <f t="shared" si="130"/>
        <v>-20.053122143776104</v>
      </c>
      <c r="AR191" s="169">
        <f t="shared" si="131"/>
        <v>176.37182496316032</v>
      </c>
      <c r="AS191" s="168" t="str">
        <f t="shared" si="132"/>
        <v>0.108196151611716+1.01283693407409i</v>
      </c>
      <c r="AT191" s="190">
        <f t="shared" si="133"/>
        <v>0.16006967900505675</v>
      </c>
      <c r="AU191" s="169">
        <f t="shared" si="134"/>
        <v>83.902510826215092</v>
      </c>
      <c r="AV191" s="225"/>
      <c r="AX191">
        <f t="shared" si="135"/>
        <v>537.03179637025301</v>
      </c>
      <c r="AY191">
        <f t="shared" si="136"/>
        <v>83.902510826215092</v>
      </c>
    </row>
    <row r="192" spans="14:51" x14ac:dyDescent="0.55000000000000004">
      <c r="N192" s="170">
        <v>74</v>
      </c>
      <c r="O192" s="199">
        <f t="shared" si="137"/>
        <v>549.54087385762534</v>
      </c>
      <c r="P192" s="189" t="str">
        <f t="shared" si="103"/>
        <v>1078.86904761905</v>
      </c>
      <c r="Q192" s="160" t="str">
        <f t="shared" si="104"/>
        <v>1+107.902098259902i</v>
      </c>
      <c r="R192" s="160">
        <f t="shared" si="112"/>
        <v>107.90673199059243</v>
      </c>
      <c r="S192" s="160">
        <f t="shared" si="113"/>
        <v>1.5615289317418015</v>
      </c>
      <c r="T192" s="160" t="str">
        <f t="shared" si="105"/>
        <v>1+0.0000690573428863372i</v>
      </c>
      <c r="U192" s="160">
        <f t="shared" si="114"/>
        <v>1.0000000023844582</v>
      </c>
      <c r="V192" s="160">
        <f t="shared" si="115"/>
        <v>6.905734277656096E-5</v>
      </c>
      <c r="W192" s="98" t="str">
        <f t="shared" si="106"/>
        <v>1-0.0499450326691145i</v>
      </c>
      <c r="X192" s="160">
        <f t="shared" si="116"/>
        <v>1.0012464762925855</v>
      </c>
      <c r="Y192" s="160">
        <f t="shared" si="117"/>
        <v>-4.9903565316432072E-2</v>
      </c>
      <c r="Z192" s="98" t="str">
        <f t="shared" si="107"/>
        <v>0.999453154962354+0.00396725164266067i</v>
      </c>
      <c r="AA192" s="160">
        <f t="shared" si="118"/>
        <v>0.99946102877991161</v>
      </c>
      <c r="AB192" s="160">
        <f t="shared" si="119"/>
        <v>3.969401453925072E-3</v>
      </c>
      <c r="AC192" s="171" t="str">
        <f t="shared" si="120"/>
        <v>-0.44593131862054-10.0060916485315i</v>
      </c>
      <c r="AD192" s="190">
        <f t="shared" si="121"/>
        <v>20.013906612864382</v>
      </c>
      <c r="AE192" s="169">
        <f t="shared" si="122"/>
        <v>-92.551754307881765</v>
      </c>
      <c r="AF192" s="98" t="str">
        <f t="shared" si="108"/>
        <v>-9.95024875621891E-06</v>
      </c>
      <c r="AG192" s="98" t="str">
        <f t="shared" si="109"/>
        <v>0.00345632001146118i</v>
      </c>
      <c r="AH192" s="98">
        <f t="shared" si="123"/>
        <v>3.4563200114611798E-3</v>
      </c>
      <c r="AI192" s="98">
        <f t="shared" si="124"/>
        <v>1.5707963267948966</v>
      </c>
      <c r="AJ192" s="98" t="str">
        <f t="shared" si="110"/>
        <v>1+0.0344941772659027i</v>
      </c>
      <c r="AK192" s="98">
        <f t="shared" si="125"/>
        <v>1.0005947472704679</v>
      </c>
      <c r="AL192" s="98">
        <f t="shared" si="126"/>
        <v>3.4480506078898826E-2</v>
      </c>
      <c r="AM192" s="98" t="str">
        <f t="shared" si="111"/>
        <v>1+34.5286714431686i</v>
      </c>
      <c r="AN192" s="98">
        <f t="shared" si="127"/>
        <v>34.543149127291315</v>
      </c>
      <c r="AO192" s="98">
        <f t="shared" si="128"/>
        <v>1.541842981342356</v>
      </c>
      <c r="AP192" s="168" t="str">
        <f t="shared" si="129"/>
        <v>-0.0991857646869638+0.00630018768304594i</v>
      </c>
      <c r="AQ192" s="98">
        <f t="shared" si="130"/>
        <v>-20.053525975305103</v>
      </c>
      <c r="AR192" s="169">
        <f t="shared" si="131"/>
        <v>176.36550802898904</v>
      </c>
      <c r="AS192" s="168" t="str">
        <f t="shared" si="132"/>
        <v>0.107270294194751+0.989652400686381i</v>
      </c>
      <c r="AT192" s="190">
        <f t="shared" si="133"/>
        <v>-3.9619362440722956E-2</v>
      </c>
      <c r="AU192" s="169">
        <f t="shared" si="134"/>
        <v>83.813753721107318</v>
      </c>
      <c r="AV192" s="225"/>
      <c r="AX192">
        <f t="shared" si="135"/>
        <v>0</v>
      </c>
      <c r="AY192">
        <f t="shared" si="136"/>
        <v>0</v>
      </c>
    </row>
    <row r="193" spans="14:51" x14ac:dyDescent="0.55000000000000004">
      <c r="N193" s="170">
        <v>75</v>
      </c>
      <c r="O193" s="199">
        <f t="shared" si="137"/>
        <v>562.34132519034927</v>
      </c>
      <c r="P193" s="189" t="str">
        <f t="shared" si="103"/>
        <v>1078.86904761905</v>
      </c>
      <c r="Q193" s="160" t="str">
        <f t="shared" si="104"/>
        <v>1+110.415461001747i</v>
      </c>
      <c r="R193" s="160">
        <f t="shared" si="112"/>
        <v>110.41998926022549</v>
      </c>
      <c r="S193" s="160">
        <f t="shared" si="113"/>
        <v>1.5617398717388247</v>
      </c>
      <c r="T193" s="160" t="str">
        <f t="shared" si="105"/>
        <v>1+0.000070665895041118i</v>
      </c>
      <c r="U193" s="160">
        <f t="shared" si="114"/>
        <v>1.0000000024968343</v>
      </c>
      <c r="V193" s="160">
        <f t="shared" si="115"/>
        <v>7.0665894923490648E-5</v>
      </c>
      <c r="W193" s="98" t="str">
        <f t="shared" si="106"/>
        <v>1-0.0511084019295382i</v>
      </c>
      <c r="X193" s="160">
        <f t="shared" si="116"/>
        <v>1.0013051826230559</v>
      </c>
      <c r="Y193" s="160">
        <f t="shared" si="117"/>
        <v>-5.106397198807279E-2</v>
      </c>
      <c r="Z193" s="98" t="str">
        <f t="shared" si="107"/>
        <v>0.999427382949721+0.00405966080454897i</v>
      </c>
      <c r="AA193" s="160">
        <f t="shared" si="118"/>
        <v>0.99943562805994479</v>
      </c>
      <c r="AB193" s="160">
        <f t="shared" si="119"/>
        <v>4.0619644270807314E-3</v>
      </c>
      <c r="AC193" s="171" t="str">
        <f t="shared" si="120"/>
        <v>-0.45011776615227-9.77851820985103i</v>
      </c>
      <c r="AD193" s="190">
        <f t="shared" si="121"/>
        <v>19.814653417404941</v>
      </c>
      <c r="AE193" s="169">
        <f t="shared" si="122"/>
        <v>-92.635537988697365</v>
      </c>
      <c r="AF193" s="98" t="str">
        <f t="shared" si="108"/>
        <v>-9.95024875621891E-06</v>
      </c>
      <c r="AG193" s="98" t="str">
        <f t="shared" si="109"/>
        <v>0.00353682804680796i</v>
      </c>
      <c r="AH193" s="98">
        <f t="shared" si="123"/>
        <v>3.53682804680796E-3</v>
      </c>
      <c r="AI193" s="98">
        <f t="shared" si="124"/>
        <v>1.5707963267948966</v>
      </c>
      <c r="AJ193" s="98" t="str">
        <f t="shared" si="110"/>
        <v>1+0.0352976498706883i</v>
      </c>
      <c r="AK193" s="98">
        <f t="shared" si="125"/>
        <v>1.0006227681231292</v>
      </c>
      <c r="AL193" s="98">
        <f t="shared" si="126"/>
        <v>3.5283001422253879E-2</v>
      </c>
      <c r="AM193" s="98" t="str">
        <f t="shared" si="111"/>
        <v>1+35.332947520559i</v>
      </c>
      <c r="AN193" s="98">
        <f t="shared" si="127"/>
        <v>35.347095785800796</v>
      </c>
      <c r="AO193" s="98">
        <f t="shared" si="128"/>
        <v>1.5425016841555654</v>
      </c>
      <c r="AP193" s="168" t="str">
        <f t="shared" si="129"/>
        <v>-0.0991802096848743+0.00631415387861433i</v>
      </c>
      <c r="AQ193" s="98">
        <f t="shared" si="130"/>
        <v>-20.053933027904158</v>
      </c>
      <c r="AR193" s="169">
        <f t="shared" si="131"/>
        <v>176.35726932388621</v>
      </c>
      <c r="AS193" s="168" t="str">
        <f t="shared" si="132"/>
        <v>0.106385843111701+0.966993373621403i</v>
      </c>
      <c r="AT193" s="190">
        <f t="shared" si="133"/>
        <v>-0.23927961049921648</v>
      </c>
      <c r="AU193" s="169">
        <f t="shared" si="134"/>
        <v>83.721731335188835</v>
      </c>
      <c r="AV193" s="225"/>
      <c r="AX193">
        <f t="shared" si="135"/>
        <v>0</v>
      </c>
      <c r="AY193">
        <f t="shared" si="136"/>
        <v>0</v>
      </c>
    </row>
    <row r="194" spans="14:51" x14ac:dyDescent="0.55000000000000004">
      <c r="N194" s="170">
        <v>76</v>
      </c>
      <c r="O194" s="199">
        <f t="shared" si="137"/>
        <v>575.43993733715706</v>
      </c>
      <c r="P194" s="189" t="str">
        <f t="shared" si="103"/>
        <v>1078.86904761905</v>
      </c>
      <c r="Q194" s="160" t="str">
        <f t="shared" si="104"/>
        <v>1+112.987367482537i</v>
      </c>
      <c r="R194" s="160">
        <f t="shared" si="112"/>
        <v>112.99179266935214</v>
      </c>
      <c r="S194" s="160">
        <f t="shared" si="113"/>
        <v>1.5619460109341028</v>
      </c>
      <c r="T194" s="160" t="str">
        <f t="shared" si="105"/>
        <v>1+0.0000723119151888234i</v>
      </c>
      <c r="U194" s="160">
        <f t="shared" si="114"/>
        <v>1.0000000026145064</v>
      </c>
      <c r="V194" s="160">
        <f t="shared" si="115"/>
        <v>7.2311915062783419E-5</v>
      </c>
      <c r="W194" s="98" t="str">
        <f t="shared" si="106"/>
        <v>1-0.0522988695411647i</v>
      </c>
      <c r="X194" s="160">
        <f t="shared" si="116"/>
        <v>1.0013666520087854</v>
      </c>
      <c r="Y194" s="160">
        <f t="shared" si="117"/>
        <v>-5.2251265509632265E-2</v>
      </c>
      <c r="Z194" s="98" t="str">
        <f t="shared" si="107"/>
        <v>0.999400396339552+0.00415422245233181i</v>
      </c>
      <c r="AA194" s="160">
        <f t="shared" si="118"/>
        <v>0.99940903026130246</v>
      </c>
      <c r="AB194" s="160">
        <f t="shared" si="119"/>
        <v>4.1566908937179792E-3</v>
      </c>
      <c r="AC194" s="171" t="str">
        <f t="shared" si="120"/>
        <v>-0.454117161257337-9.55612607203367i</v>
      </c>
      <c r="AD194" s="190">
        <f t="shared" si="121"/>
        <v>19.615433812974572</v>
      </c>
      <c r="AE194" s="169">
        <f t="shared" si="122"/>
        <v>-92.720708919147114</v>
      </c>
      <c r="AF194" s="98" t="str">
        <f t="shared" si="108"/>
        <v>-9.95024875621891E-06</v>
      </c>
      <c r="AG194" s="98" t="str">
        <f t="shared" si="109"/>
        <v>0.00361921135520061i</v>
      </c>
      <c r="AH194" s="98">
        <f t="shared" si="123"/>
        <v>3.61921135520061E-3</v>
      </c>
      <c r="AI194" s="98">
        <f t="shared" si="124"/>
        <v>1.5707963267948966</v>
      </c>
      <c r="AJ194" s="98" t="str">
        <f t="shared" si="110"/>
        <v>1+0.036119837756655i</v>
      </c>
      <c r="AK194" s="98">
        <f t="shared" si="125"/>
        <v>1.0006521087168943</v>
      </c>
      <c r="AL194" s="98">
        <f t="shared" si="126"/>
        <v>3.6104142213763936E-2</v>
      </c>
      <c r="AM194" s="98" t="str">
        <f t="shared" si="111"/>
        <v>1+36.1559575944117i</v>
      </c>
      <c r="AN194" s="98">
        <f t="shared" si="127"/>
        <v>36.169783930359564</v>
      </c>
      <c r="AO194" s="98">
        <f t="shared" si="128"/>
        <v>1.5431454167950698</v>
      </c>
      <c r="AP194" s="168" t="str">
        <f t="shared" si="129"/>
        <v>-0.0991743935504683+0.00633144945954255i</v>
      </c>
      <c r="AQ194" s="98">
        <f t="shared" si="130"/>
        <v>-20.054344162249723</v>
      </c>
      <c r="AR194" s="169">
        <f t="shared" si="131"/>
        <v>176.34710458552505</v>
      </c>
      <c r="AS194" s="168" t="str">
        <f t="shared" si="132"/>
        <v>0.105540923322655+0.944847788030546i</v>
      </c>
      <c r="AT194" s="190">
        <f t="shared" si="133"/>
        <v>-0.4389103492751516</v>
      </c>
      <c r="AU194" s="169">
        <f t="shared" si="134"/>
        <v>83.626395666377903</v>
      </c>
      <c r="AV194" s="225"/>
      <c r="AX194">
        <f t="shared" si="135"/>
        <v>0</v>
      </c>
      <c r="AY194">
        <f t="shared" si="136"/>
        <v>0</v>
      </c>
    </row>
    <row r="195" spans="14:51" x14ac:dyDescent="0.55000000000000004">
      <c r="N195" s="170">
        <v>77</v>
      </c>
      <c r="O195" s="199">
        <f t="shared" si="137"/>
        <v>588.84365535558959</v>
      </c>
      <c r="P195" s="189" t="str">
        <f t="shared" si="103"/>
        <v>1078.86904761905</v>
      </c>
      <c r="Q195" s="160" t="str">
        <f t="shared" si="104"/>
        <v>1+115.61918136113i</v>
      </c>
      <c r="R195" s="160">
        <f t="shared" si="112"/>
        <v>115.62350582220674</v>
      </c>
      <c r="S195" s="160">
        <f t="shared" si="113"/>
        <v>1.5621474585552486</v>
      </c>
      <c r="T195" s="160" t="str">
        <f t="shared" si="105"/>
        <v>1+0.0000739962760711232i</v>
      </c>
      <c r="U195" s="160">
        <f t="shared" si="114"/>
        <v>1.0000000027377245</v>
      </c>
      <c r="V195" s="160">
        <f t="shared" si="115"/>
        <v>7.3996275936068917E-5</v>
      </c>
      <c r="W195" s="98" t="str">
        <f t="shared" si="106"/>
        <v>1-0.0535170667056792i</v>
      </c>
      <c r="X195" s="160">
        <f t="shared" si="116"/>
        <v>1.0014310143134075</v>
      </c>
      <c r="Y195" s="160">
        <f t="shared" si="117"/>
        <v>-5.3466062002755686E-2</v>
      </c>
      <c r="Z195" s="98" t="str">
        <f t="shared" si="107"/>
        <v>0.999372137889629+0.00425098672384651i</v>
      </c>
      <c r="AA195" s="160">
        <f t="shared" si="118"/>
        <v>0.99938117896937317</v>
      </c>
      <c r="AB195" s="160">
        <f t="shared" si="119"/>
        <v>4.2536317797974973E-3</v>
      </c>
      <c r="AC195" s="171" t="str">
        <f t="shared" si="120"/>
        <v>-0.457937983236527-9.33879754704248i</v>
      </c>
      <c r="AD195" s="190">
        <f t="shared" si="121"/>
        <v>19.416249446677089</v>
      </c>
      <c r="AE195" s="169">
        <f t="shared" si="122"/>
        <v>-92.807311526520408</v>
      </c>
      <c r="AF195" s="98" t="str">
        <f t="shared" si="108"/>
        <v>-9.95024875621891E-06</v>
      </c>
      <c r="AG195" s="98" t="str">
        <f t="shared" si="109"/>
        <v>0.00370351361735972i</v>
      </c>
      <c r="AH195" s="98">
        <f t="shared" si="123"/>
        <v>3.7035136173597201E-3</v>
      </c>
      <c r="AI195" s="98">
        <f t="shared" si="124"/>
        <v>1.5707963267948966</v>
      </c>
      <c r="AJ195" s="98" t="str">
        <f t="shared" si="110"/>
        <v>1+0.0369611768587029i</v>
      </c>
      <c r="AK195" s="98">
        <f t="shared" si="125"/>
        <v>1.0006828311681881</v>
      </c>
      <c r="AL195" s="98">
        <f t="shared" si="126"/>
        <v>3.6944359401236769E-2</v>
      </c>
      <c r="AM195" s="98" t="str">
        <f t="shared" si="111"/>
        <v>1+36.9981380355616i</v>
      </c>
      <c r="AN195" s="98">
        <f t="shared" si="127"/>
        <v>37.011649761912402</v>
      </c>
      <c r="AO195" s="98">
        <f t="shared" si="128"/>
        <v>1.5437745184411538</v>
      </c>
      <c r="AP195" s="168" t="str">
        <f t="shared" si="129"/>
        <v>-0.0991683040411678+0.00635208227922646i</v>
      </c>
      <c r="AQ195" s="98">
        <f t="shared" si="130"/>
        <v>-20.05476024756998</v>
      </c>
      <c r="AR195" s="169">
        <f t="shared" si="131"/>
        <v>176.33500855601386</v>
      </c>
      <c r="AS195" s="168" t="str">
        <f t="shared" si="132"/>
        <v>0.104733743561451+0.923203854775719i</v>
      </c>
      <c r="AT195" s="190">
        <f t="shared" si="133"/>
        <v>-0.63851080089289791</v>
      </c>
      <c r="AU195" s="169">
        <f t="shared" si="134"/>
        <v>83.527697029493453</v>
      </c>
      <c r="AV195" s="225"/>
      <c r="AX195">
        <f t="shared" si="135"/>
        <v>0</v>
      </c>
      <c r="AY195">
        <f t="shared" si="136"/>
        <v>0</v>
      </c>
    </row>
    <row r="196" spans="14:51" x14ac:dyDescent="0.55000000000000004">
      <c r="N196" s="170">
        <v>78</v>
      </c>
      <c r="O196" s="199">
        <f t="shared" si="137"/>
        <v>602.55958607435832</v>
      </c>
      <c r="P196" s="189" t="str">
        <f t="shared" si="103"/>
        <v>1078.86904761905</v>
      </c>
      <c r="Q196" s="160" t="str">
        <f t="shared" si="104"/>
        <v>1+118.312298060082i</v>
      </c>
      <c r="R196" s="160">
        <f t="shared" si="112"/>
        <v>118.31652408796364</v>
      </c>
      <c r="S196" s="160">
        <f t="shared" si="113"/>
        <v>1.5623443213470205</v>
      </c>
      <c r="T196" s="160" t="str">
        <f t="shared" si="105"/>
        <v>1+0.0000757198707584524i</v>
      </c>
      <c r="U196" s="160">
        <f t="shared" si="114"/>
        <v>1.0000000028667493</v>
      </c>
      <c r="V196" s="160">
        <f t="shared" si="115"/>
        <v>7.5719870613739139E-5</v>
      </c>
      <c r="W196" s="98" t="str">
        <f t="shared" si="106"/>
        <v>1-0.0547636393273431i</v>
      </c>
      <c r="X196" s="160">
        <f t="shared" si="116"/>
        <v>1.0014984054866864</v>
      </c>
      <c r="Y196" s="160">
        <f t="shared" si="117"/>
        <v>-5.4708991218791976E-2</v>
      </c>
      <c r="Z196" s="98" t="str">
        <f t="shared" si="107"/>
        <v>0.999342547659991+0.00435000492479065i</v>
      </c>
      <c r="AA196" s="160">
        <f t="shared" si="118"/>
        <v>0.99935201511099536</v>
      </c>
      <c r="AB196" s="160">
        <f t="shared" si="119"/>
        <v>4.3528392356123324E-3</v>
      </c>
      <c r="AC196" s="171" t="str">
        <f t="shared" si="120"/>
        <v>-0.461588332982091-9.126417616501i</v>
      </c>
      <c r="AD196" s="190">
        <f t="shared" si="121"/>
        <v>19.217102039573085</v>
      </c>
      <c r="AE196" s="169">
        <f t="shared" si="122"/>
        <v>-92.89539094575828</v>
      </c>
      <c r="AF196" s="98" t="str">
        <f t="shared" si="108"/>
        <v>-9.95024875621891E-06</v>
      </c>
      <c r="AG196" s="98" t="str">
        <f t="shared" si="109"/>
        <v>0.00378977953146054i</v>
      </c>
      <c r="AH196" s="98">
        <f t="shared" si="123"/>
        <v>3.7897795314605401E-3</v>
      </c>
      <c r="AI196" s="98">
        <f t="shared" si="124"/>
        <v>1.5707963267948966</v>
      </c>
      <c r="AJ196" s="98" t="str">
        <f t="shared" si="110"/>
        <v>1+0.0378221132659602i</v>
      </c>
      <c r="AK196" s="98">
        <f t="shared" si="125"/>
        <v>1.0007150005130847</v>
      </c>
      <c r="AL196" s="98">
        <f t="shared" si="126"/>
        <v>3.7804093730926282E-2</v>
      </c>
      <c r="AM196" s="98" t="str">
        <f t="shared" si="111"/>
        <v>1+37.8599353792262i</v>
      </c>
      <c r="AN196" s="98">
        <f t="shared" si="127"/>
        <v>37.873139649614259</v>
      </c>
      <c r="AO196" s="98">
        <f t="shared" si="128"/>
        <v>1.5443893206588661</v>
      </c>
      <c r="AP196" s="168" t="str">
        <f t="shared" si="129"/>
        <v>-0.0991619283435966+0.00637606186674684i</v>
      </c>
      <c r="AQ196" s="98">
        <f t="shared" si="130"/>
        <v>-20.055182163464455</v>
      </c>
      <c r="AR196" s="169">
        <f t="shared" si="131"/>
        <v>176.32097497973032</v>
      </c>
      <c r="AS196" s="168" t="str">
        <f t="shared" si="132"/>
        <v>0.103962592543989+0.902050053953147i</v>
      </c>
      <c r="AT196" s="190">
        <f t="shared" si="133"/>
        <v>-0.83808012389137465</v>
      </c>
      <c r="AU196" s="169">
        <f t="shared" si="134"/>
        <v>83.425584033972058</v>
      </c>
      <c r="AV196" s="225"/>
      <c r="AX196">
        <f t="shared" si="135"/>
        <v>0</v>
      </c>
      <c r="AY196">
        <f t="shared" si="136"/>
        <v>0</v>
      </c>
    </row>
    <row r="197" spans="14:51" x14ac:dyDescent="0.55000000000000004">
      <c r="N197" s="170">
        <v>79</v>
      </c>
      <c r="O197" s="199">
        <f t="shared" si="137"/>
        <v>616.59500186148273</v>
      </c>
      <c r="P197" s="189" t="str">
        <f t="shared" si="103"/>
        <v>1078.86904761905</v>
      </c>
      <c r="Q197" s="160" t="str">
        <f t="shared" si="104"/>
        <v>1+121.068145505514i</v>
      </c>
      <c r="R197" s="160">
        <f t="shared" si="112"/>
        <v>121.07227534057627</v>
      </c>
      <c r="S197" s="160">
        <f t="shared" si="113"/>
        <v>1.5625367036276057</v>
      </c>
      <c r="T197" s="160" t="str">
        <f t="shared" si="105"/>
        <v>1+0.0000774836131235288i</v>
      </c>
      <c r="U197" s="160">
        <f t="shared" si="114"/>
        <v>1.000000003001855</v>
      </c>
      <c r="V197" s="160">
        <f t="shared" si="115"/>
        <v>7.7483612968465743E-5</v>
      </c>
      <c r="W197" s="98" t="str">
        <f t="shared" si="106"/>
        <v>1-0.056039248355461i</v>
      </c>
      <c r="X197" s="160">
        <f t="shared" si="116"/>
        <v>1.0015689678480684</v>
      </c>
      <c r="Y197" s="160">
        <f t="shared" si="117"/>
        <v>-5.5980696805214815E-2</v>
      </c>
      <c r="Z197" s="98" t="str">
        <f t="shared" si="107"/>
        <v>0.999311562885793+0.00445132955592505i</v>
      </c>
      <c r="AA197" s="160">
        <f t="shared" si="118"/>
        <v>0.99932147682918415</v>
      </c>
      <c r="AB197" s="160">
        <f t="shared" si="119"/>
        <v>4.4543666670426776E-3</v>
      </c>
      <c r="AC197" s="171" t="str">
        <f t="shared" si="120"/>
        <v>-0.465075950130411-8.91887387172051i</v>
      </c>
      <c r="AD197" s="190">
        <f t="shared" si="121"/>
        <v>19.017993390254709</v>
      </c>
      <c r="AE197" s="169">
        <f t="shared" si="122"/>
        <v>-92.984993039706836</v>
      </c>
      <c r="AF197" s="98" t="str">
        <f t="shared" si="108"/>
        <v>-9.95024875621891E-06</v>
      </c>
      <c r="AG197" s="98" t="str">
        <f t="shared" si="109"/>
        <v>0.00387805483683262i</v>
      </c>
      <c r="AH197" s="98">
        <f t="shared" si="123"/>
        <v>3.8780548368326198E-3</v>
      </c>
      <c r="AI197" s="98">
        <f t="shared" si="124"/>
        <v>1.5707963267948966</v>
      </c>
      <c r="AJ197" s="98" t="str">
        <f t="shared" si="110"/>
        <v>1+0.0387031034583061i</v>
      </c>
      <c r="AK197" s="98">
        <f t="shared" si="125"/>
        <v>1.0007486848441542</v>
      </c>
      <c r="AL197" s="98">
        <f t="shared" si="126"/>
        <v>3.8683795958718729E-2</v>
      </c>
      <c r="AM197" s="98" t="str">
        <f t="shared" si="111"/>
        <v>1+38.7418065617644i</v>
      </c>
      <c r="AN197" s="98">
        <f t="shared" si="127"/>
        <v>38.754710367504629</v>
      </c>
      <c r="AO197" s="98">
        <f t="shared" si="128"/>
        <v>1.5449901475643437</v>
      </c>
      <c r="AP197" s="168" t="str">
        <f t="shared" si="129"/>
        <v>-0.0991552530472703+0.00640339942526733i</v>
      </c>
      <c r="AQ197" s="98">
        <f t="shared" si="130"/>
        <v>-20.055610801744763</v>
      </c>
      <c r="AR197" s="169">
        <f t="shared" si="131"/>
        <v>176.30499660075134</v>
      </c>
      <c r="AS197" s="168" t="str">
        <f t="shared" si="132"/>
        <v>0.103225835345587+0.881375128575364i</v>
      </c>
      <c r="AT197" s="190">
        <f t="shared" si="133"/>
        <v>-1.0376174114900525</v>
      </c>
      <c r="AU197" s="169">
        <f t="shared" si="134"/>
        <v>83.32000356104453</v>
      </c>
      <c r="AV197" s="225"/>
      <c r="AX197">
        <f t="shared" si="135"/>
        <v>0</v>
      </c>
      <c r="AY197">
        <f t="shared" si="136"/>
        <v>0</v>
      </c>
    </row>
    <row r="198" spans="14:51" x14ac:dyDescent="0.55000000000000004">
      <c r="N198" s="170">
        <v>80</v>
      </c>
      <c r="O198" s="199">
        <f t="shared" si="137"/>
        <v>630.95734448019323</v>
      </c>
      <c r="P198" s="189" t="str">
        <f t="shared" si="103"/>
        <v>1078.86904761905</v>
      </c>
      <c r="Q198" s="160" t="str">
        <f t="shared" si="104"/>
        <v>1+123.888184884219i</v>
      </c>
      <c r="R198" s="160">
        <f t="shared" si="112"/>
        <v>123.8922207158562</v>
      </c>
      <c r="S198" s="160">
        <f t="shared" si="113"/>
        <v>1.5627247073436414</v>
      </c>
      <c r="T198" s="160" t="str">
        <f t="shared" si="105"/>
        <v>1+0.0000792884383259i</v>
      </c>
      <c r="U198" s="160">
        <f t="shared" si="114"/>
        <v>1.0000000031433283</v>
      </c>
      <c r="V198" s="160">
        <f t="shared" si="115"/>
        <v>7.9288438159746933E-5</v>
      </c>
      <c r="W198" s="98" t="str">
        <f t="shared" si="106"/>
        <v>1-0.0573445701348239i</v>
      </c>
      <c r="X198" s="160">
        <f t="shared" si="116"/>
        <v>1.0016428503832828</v>
      </c>
      <c r="Y198" s="160">
        <f t="shared" si="117"/>
        <v>-5.7281836574664242E-2</v>
      </c>
      <c r="Z198" s="98" t="str">
        <f t="shared" si="107"/>
        <v>0.999279117844177+0.0045550143409103i</v>
      </c>
      <c r="AA198" s="160">
        <f t="shared" si="118"/>
        <v>0.99928949935195577</v>
      </c>
      <c r="AB198" s="160">
        <f t="shared" si="119"/>
        <v>4.5582687677355503E-3</v>
      </c>
      <c r="AC198" s="171" t="str">
        <f t="shared" si="120"/>
        <v>-0.468408229451274-8.71605645504395i</v>
      </c>
      <c r="AD198" s="190">
        <f t="shared" si="121"/>
        <v>18.818925378577919</v>
      </c>
      <c r="AE198" s="169">
        <f t="shared" si="122"/>
        <v>-93.076164419500586</v>
      </c>
      <c r="AF198" s="98" t="str">
        <f t="shared" si="108"/>
        <v>-9.95024875621891E-06</v>
      </c>
      <c r="AG198" s="98" t="str">
        <f t="shared" si="109"/>
        <v>0.00396838633821129i</v>
      </c>
      <c r="AH198" s="98">
        <f t="shared" si="123"/>
        <v>3.9683863382112897E-3</v>
      </c>
      <c r="AI198" s="98">
        <f t="shared" si="124"/>
        <v>1.5707963267948966</v>
      </c>
      <c r="AJ198" s="98" t="str">
        <f t="shared" si="110"/>
        <v>1+0.0396046145484016i</v>
      </c>
      <c r="AK198" s="98">
        <f t="shared" si="125"/>
        <v>1.000783955453687</v>
      </c>
      <c r="AL198" s="98">
        <f t="shared" si="126"/>
        <v>3.958392706502787E-2</v>
      </c>
      <c r="AM198" s="98" t="str">
        <f t="shared" si="111"/>
        <v>1+39.64421916295i</v>
      </c>
      <c r="AN198" s="98">
        <f t="shared" si="127"/>
        <v>39.656829336698266</v>
      </c>
      <c r="AO198" s="98">
        <f t="shared" si="128"/>
        <v>1.545577315987817</v>
      </c>
      <c r="AP198" s="168" t="str">
        <f t="shared" si="129"/>
        <v>-0.0991482641171078+0.00643410783085065i</v>
      </c>
      <c r="AQ198" s="98">
        <f t="shared" si="130"/>
        <v>-20.056047068299627</v>
      </c>
      <c r="AR198" s="169">
        <f t="shared" si="131"/>
        <v>176.28706515987977</v>
      </c>
      <c r="AS198" s="168" t="str">
        <f t="shared" si="132"/>
        <v>0.102521909939796+0.861168078407172i</v>
      </c>
      <c r="AT198" s="190">
        <f t="shared" si="133"/>
        <v>-1.2371216897217092</v>
      </c>
      <c r="AU198" s="169">
        <f t="shared" si="134"/>
        <v>83.210900740379202</v>
      </c>
      <c r="AV198" s="225"/>
      <c r="AX198">
        <f t="shared" si="135"/>
        <v>0</v>
      </c>
      <c r="AY198">
        <f t="shared" si="136"/>
        <v>0</v>
      </c>
    </row>
    <row r="199" spans="14:51" x14ac:dyDescent="0.55000000000000004">
      <c r="N199" s="170">
        <v>81</v>
      </c>
      <c r="O199" s="199">
        <f t="shared" si="137"/>
        <v>645.65422903465594</v>
      </c>
      <c r="P199" s="189" t="str">
        <f t="shared" si="103"/>
        <v>1078.86904761905</v>
      </c>
      <c r="Q199" s="160" t="str">
        <f t="shared" si="104"/>
        <v>1+126.773911418403i</v>
      </c>
      <c r="R199" s="160">
        <f t="shared" si="112"/>
        <v>126.77785538618758</v>
      </c>
      <c r="S199" s="160">
        <f t="shared" si="113"/>
        <v>1.5629084321239954</v>
      </c>
      <c r="T199" s="160" t="str">
        <f t="shared" si="105"/>
        <v>1+0.0000811353033077782i</v>
      </c>
      <c r="U199" s="160">
        <f t="shared" si="114"/>
        <v>1.0000000032914687</v>
      </c>
      <c r="V199" s="160">
        <f t="shared" si="115"/>
        <v>8.1135303129741999E-5</v>
      </c>
      <c r="W199" s="98" t="str">
        <f t="shared" si="106"/>
        <v>1-0.0586802967643175i</v>
      </c>
      <c r="X199" s="160">
        <f t="shared" si="116"/>
        <v>1.0017202090545785</v>
      </c>
      <c r="Y199" s="160">
        <f t="shared" si="117"/>
        <v>-5.8613082776424616E-2</v>
      </c>
      <c r="Z199" s="98" t="str">
        <f t="shared" si="107"/>
        <v>0.999245143714857+0.00466111425479184i</v>
      </c>
      <c r="AA199" s="160">
        <f t="shared" si="118"/>
        <v>0.99925601485496274</v>
      </c>
      <c r="AB199" s="160">
        <f t="shared" si="119"/>
        <v>4.6646015522454924E-3</v>
      </c>
      <c r="AC199" s="171" t="str">
        <f t="shared" si="120"/>
        <v>-0.471592236508292-8.5178580024796i</v>
      </c>
      <c r="AD199" s="190">
        <f t="shared" si="121"/>
        <v>18.619899969559306</v>
      </c>
      <c r="AE199" s="169">
        <f t="shared" si="122"/>
        <v>-93.168952465068671</v>
      </c>
      <c r="AF199" s="98" t="str">
        <f t="shared" si="108"/>
        <v>-9.95024875621891E-06</v>
      </c>
      <c r="AG199" s="98" t="str">
        <f t="shared" si="109"/>
        <v>0.0040608219305543i</v>
      </c>
      <c r="AH199" s="98">
        <f t="shared" si="123"/>
        <v>4.0608219305543003E-3</v>
      </c>
      <c r="AI199" s="98">
        <f t="shared" si="124"/>
        <v>1.5707963267948966</v>
      </c>
      <c r="AJ199" s="98" t="str">
        <f t="shared" si="110"/>
        <v>1+0.0405271245293597i</v>
      </c>
      <c r="AK199" s="98">
        <f t="shared" si="125"/>
        <v>1.0008208869835893</v>
      </c>
      <c r="AL199" s="98">
        <f t="shared" si="126"/>
        <v>4.0504958473403643E-2</v>
      </c>
      <c r="AM199" s="98" t="str">
        <f t="shared" si="111"/>
        <v>1+40.5676516538891i</v>
      </c>
      <c r="AN199" s="98">
        <f t="shared" si="127"/>
        <v>40.579974873221538</v>
      </c>
      <c r="AO199" s="98">
        <f t="shared" si="128"/>
        <v>1.5461511356333391</v>
      </c>
      <c r="AP199" s="168" t="str">
        <f t="shared" si="129"/>
        <v>-0.0991409468647041+0.00646820163165913i</v>
      </c>
      <c r="AQ199" s="98">
        <f t="shared" si="130"/>
        <v>-20.056491884988645</v>
      </c>
      <c r="AR199" s="169">
        <f t="shared" si="131"/>
        <v>176.26717139127092</v>
      </c>
      <c r="AS199" s="168" t="str">
        <f t="shared" si="132"/>
        <v>0.101849323891355+0.841418153951264i</v>
      </c>
      <c r="AT199" s="190">
        <f t="shared" si="133"/>
        <v>-1.4365919154293372</v>
      </c>
      <c r="AU199" s="169">
        <f t="shared" si="134"/>
        <v>83.098218926202264</v>
      </c>
      <c r="AV199" s="225"/>
      <c r="AX199">
        <f t="shared" si="135"/>
        <v>0</v>
      </c>
      <c r="AY199">
        <f t="shared" si="136"/>
        <v>0</v>
      </c>
    </row>
    <row r="200" spans="14:51" x14ac:dyDescent="0.55000000000000004">
      <c r="N200" s="170">
        <v>82</v>
      </c>
      <c r="O200" s="199">
        <f t="shared" si="137"/>
        <v>660.69344800759643</v>
      </c>
      <c r="P200" s="189" t="str">
        <f t="shared" si="103"/>
        <v>1078.86904761905</v>
      </c>
      <c r="Q200" s="160" t="str">
        <f t="shared" si="104"/>
        <v>1+129.726855158473i</v>
      </c>
      <c r="R200" s="160">
        <f t="shared" si="112"/>
        <v>129.73070935328857</v>
      </c>
      <c r="S200" s="160">
        <f t="shared" si="113"/>
        <v>1.5630879753323366</v>
      </c>
      <c r="T200" s="160" t="str">
        <f t="shared" si="105"/>
        <v>1+0.000083025187301423i</v>
      </c>
      <c r="U200" s="160">
        <f t="shared" si="114"/>
        <v>1.0000000034465908</v>
      </c>
      <c r="V200" s="160">
        <f t="shared" si="115"/>
        <v>8.3025187110653766E-5</v>
      </c>
      <c r="W200" s="98" t="str">
        <f t="shared" si="106"/>
        <v>1-0.0600471364638812i</v>
      </c>
      <c r="X200" s="160">
        <f t="shared" si="116"/>
        <v>1.001801207125202</v>
      </c>
      <c r="Y200" s="160">
        <f t="shared" si="117"/>
        <v>-5.9975122370126116E-2</v>
      </c>
      <c r="Z200" s="98" t="str">
        <f t="shared" si="107"/>
        <v>0.999209568434151+0.00476968555314843i</v>
      </c>
      <c r="AA200" s="160">
        <f t="shared" si="118"/>
        <v>0.99922095231767349</v>
      </c>
      <c r="AB200" s="160">
        <f t="shared" si="119"/>
        <v>4.7734223901735161E-3</v>
      </c>
      <c r="AC200" s="171" t="str">
        <f t="shared" si="120"/>
        <v>-0.47463472262341-8.32417358759721i</v>
      </c>
      <c r="AD200" s="190">
        <f t="shared" si="121"/>
        <v>18.420919217443721</v>
      </c>
      <c r="AE200" s="169">
        <f t="shared" si="122"/>
        <v>-93.263405345756183</v>
      </c>
      <c r="AF200" s="98" t="str">
        <f t="shared" si="108"/>
        <v>-9.95024875621891E-06</v>
      </c>
      <c r="AG200" s="98" t="str">
        <f t="shared" si="109"/>
        <v>0.00415541062443622i</v>
      </c>
      <c r="AH200" s="98">
        <f t="shared" si="123"/>
        <v>4.1554106244362198E-3</v>
      </c>
      <c r="AI200" s="98">
        <f t="shared" si="124"/>
        <v>1.5707963267948966</v>
      </c>
      <c r="AJ200" s="98" t="str">
        <f t="shared" si="110"/>
        <v>1+0.0414711225281833i</v>
      </c>
      <c r="AK200" s="98">
        <f t="shared" si="125"/>
        <v>1.0008595575822552</v>
      </c>
      <c r="AL200" s="98">
        <f t="shared" si="126"/>
        <v>4.14473722728467E-2</v>
      </c>
      <c r="AM200" s="98" t="str">
        <f t="shared" si="111"/>
        <v>1+41.5125936507115i</v>
      </c>
      <c r="AN200" s="98">
        <f t="shared" si="127"/>
        <v>41.524636441624544</v>
      </c>
      <c r="AO200" s="98">
        <f t="shared" si="128"/>
        <v>1.5467119092352877</v>
      </c>
      <c r="AP200" s="168" t="str">
        <f t="shared" si="129"/>
        <v>-0.0991332859183231+0.00650569704750444i</v>
      </c>
      <c r="AQ200" s="98">
        <f t="shared" si="130"/>
        <v>-20.056946191567711</v>
      </c>
      <c r="AR200" s="169">
        <f t="shared" si="131"/>
        <v>176.24530501866195</v>
      </c>
      <c r="AS200" s="168" t="str">
        <f t="shared" si="132"/>
        <v>0.101206651196336+0.822114850579413i</v>
      </c>
      <c r="AT200" s="190">
        <f t="shared" si="133"/>
        <v>-1.6360269741239959</v>
      </c>
      <c r="AU200" s="169">
        <f t="shared" si="134"/>
        <v>82.981899672905797</v>
      </c>
      <c r="AV200" s="225"/>
      <c r="AX200">
        <f t="shared" si="135"/>
        <v>0</v>
      </c>
      <c r="AY200">
        <f t="shared" si="136"/>
        <v>0</v>
      </c>
    </row>
    <row r="201" spans="14:51" x14ac:dyDescent="0.55000000000000004">
      <c r="N201" s="170">
        <v>83</v>
      </c>
      <c r="O201" s="199">
        <f t="shared" si="137"/>
        <v>676.08297539198213</v>
      </c>
      <c r="P201" s="189" t="str">
        <f t="shared" si="103"/>
        <v>1078.86904761905</v>
      </c>
      <c r="Q201" s="160" t="str">
        <f t="shared" si="104"/>
        <v>1+132.748581794286i</v>
      </c>
      <c r="R201" s="160">
        <f t="shared" si="112"/>
        <v>132.75234825943474</v>
      </c>
      <c r="S201" s="160">
        <f t="shared" si="113"/>
        <v>1.5632634321185226</v>
      </c>
      <c r="T201" s="160" t="str">
        <f t="shared" si="105"/>
        <v>1+0.0000849590923483432i</v>
      </c>
      <c r="U201" s="160">
        <f t="shared" si="114"/>
        <v>1.0000000036090235</v>
      </c>
      <c r="V201" s="160">
        <f t="shared" si="115"/>
        <v>8.4959092143930287E-5</v>
      </c>
      <c r="W201" s="98" t="str">
        <f t="shared" si="106"/>
        <v>1-0.0614458139500158i</v>
      </c>
      <c r="X201" s="160">
        <f t="shared" si="116"/>
        <v>1.0018860154987592</v>
      </c>
      <c r="Y201" s="160">
        <f t="shared" si="117"/>
        <v>-6.1368657301442128E-2</v>
      </c>
      <c r="Z201" s="98" t="str">
        <f t="shared" si="107"/>
        <v>0.999172316542119+0.00488078580191954i</v>
      </c>
      <c r="AA201" s="160">
        <f t="shared" si="118"/>
        <v>0.9991842373727623</v>
      </c>
      <c r="AB201" s="160">
        <f t="shared" si="119"/>
        <v>4.8847900413442127E-3</v>
      </c>
      <c r="AC201" s="171" t="str">
        <f t="shared" si="120"/>
        <v>-0.47754213917719-8.13490066666453i</v>
      </c>
      <c r="AD201" s="190">
        <f t="shared" si="121"/>
        <v>18.221985269954466</v>
      </c>
      <c r="AE201" s="169">
        <f t="shared" si="122"/>
        <v>-93.359572041049972</v>
      </c>
      <c r="AF201" s="98" t="str">
        <f t="shared" si="108"/>
        <v>-9.95024875621891E-06</v>
      </c>
      <c r="AG201" s="98" t="str">
        <f t="shared" si="109"/>
        <v>0.00425220257203458i</v>
      </c>
      <c r="AH201" s="98">
        <f t="shared" si="123"/>
        <v>4.2522025720345804E-3</v>
      </c>
      <c r="AI201" s="98">
        <f t="shared" si="124"/>
        <v>1.5707963267948966</v>
      </c>
      <c r="AJ201" s="98" t="str">
        <f t="shared" si="110"/>
        <v>1+0.0424371090651065i</v>
      </c>
      <c r="AK201" s="98">
        <f t="shared" si="125"/>
        <v>1.0009000490687388</v>
      </c>
      <c r="AL201" s="98">
        <f t="shared" si="126"/>
        <v>4.2411661443818999E-2</v>
      </c>
      <c r="AM201" s="98" t="str">
        <f t="shared" si="111"/>
        <v>1+42.4795461741716i</v>
      </c>
      <c r="AN201" s="98">
        <f t="shared" si="127"/>
        <v>42.491314914504315</v>
      </c>
      <c r="AO201" s="98">
        <f t="shared" si="128"/>
        <v>1.5472599327116821</v>
      </c>
      <c r="AP201" s="168" t="str">
        <f t="shared" si="129"/>
        <v>-0.0991252651915459+0.0065466119697084i</v>
      </c>
      <c r="AQ201" s="98">
        <f t="shared" si="130"/>
        <v>-20.057410947650759</v>
      </c>
      <c r="AR201" s="169">
        <f t="shared" si="131"/>
        <v>176.22145475120655</v>
      </c>
      <c r="AS201" s="168" t="str">
        <f t="shared" si="132"/>
        <v>0.100592529262852+0.803247902805627i</v>
      </c>
      <c r="AT201" s="190">
        <f t="shared" si="133"/>
        <v>-1.8354256776962981</v>
      </c>
      <c r="AU201" s="169">
        <f t="shared" si="134"/>
        <v>82.861882710156593</v>
      </c>
      <c r="AV201" s="225"/>
      <c r="AX201">
        <f t="shared" si="135"/>
        <v>0</v>
      </c>
      <c r="AY201">
        <f t="shared" si="136"/>
        <v>0</v>
      </c>
    </row>
    <row r="202" spans="14:51" x14ac:dyDescent="0.55000000000000004">
      <c r="N202" s="170">
        <v>84</v>
      </c>
      <c r="O202" s="199">
        <f t="shared" si="137"/>
        <v>691.83097091893671</v>
      </c>
      <c r="P202" s="189" t="str">
        <f t="shared" si="103"/>
        <v>1078.86904761905</v>
      </c>
      <c r="Q202" s="160" t="str">
        <f t="shared" si="104"/>
        <v>1+135.840693485302i</v>
      </c>
      <c r="R202" s="160">
        <f t="shared" si="112"/>
        <v>135.84437421758685</v>
      </c>
      <c r="S202" s="160">
        <f t="shared" si="113"/>
        <v>1.5634348954688273</v>
      </c>
      <c r="T202" s="160" t="str">
        <f t="shared" si="105"/>
        <v>1+0.000086938043830593i</v>
      </c>
      <c r="U202" s="160">
        <f t="shared" si="114"/>
        <v>1.0000000037791117</v>
      </c>
      <c r="V202" s="160">
        <f t="shared" si="115"/>
        <v>8.6938043611560611E-5</v>
      </c>
      <c r="W202" s="98" t="str">
        <f t="shared" si="106"/>
        <v>1-0.0628770708200381i</v>
      </c>
      <c r="X202" s="160">
        <f t="shared" si="116"/>
        <v>1.0019748130741153</v>
      </c>
      <c r="Y202" s="160">
        <f t="shared" si="117"/>
        <v>-6.2794404779526261E-2</v>
      </c>
      <c r="Z202" s="98" t="str">
        <f t="shared" si="107"/>
        <v>0.999133309022503+0.00499447390792766i</v>
      </c>
      <c r="AA202" s="160">
        <f t="shared" si="118"/>
        <v>0.99914579214840993</v>
      </c>
      <c r="AB202" s="160">
        <f t="shared" si="119"/>
        <v>4.9987646920628733E-3</v>
      </c>
      <c r="AC202" s="171" t="str">
        <f t="shared" si="120"/>
        <v>-0.480320651274866-7.94993902499266i</v>
      </c>
      <c r="AD202" s="190">
        <f t="shared" si="121"/>
        <v>18.023100372727878</v>
      </c>
      <c r="AE202" s="169">
        <f t="shared" si="122"/>
        <v>-93.457502361399975</v>
      </c>
      <c r="AF202" s="98" t="str">
        <f t="shared" si="108"/>
        <v>-9.95024875621891E-06</v>
      </c>
      <c r="AG202" s="98" t="str">
        <f t="shared" si="109"/>
        <v>0.00435124909372118i</v>
      </c>
      <c r="AH202" s="98">
        <f t="shared" si="123"/>
        <v>4.3512490937211799E-3</v>
      </c>
      <c r="AI202" s="98">
        <f t="shared" si="124"/>
        <v>1.5707963267948966</v>
      </c>
      <c r="AJ202" s="98" t="str">
        <f t="shared" si="110"/>
        <v>1+0.0434255963189775i</v>
      </c>
      <c r="AK202" s="98">
        <f t="shared" si="125"/>
        <v>1.0009424471045569</v>
      </c>
      <c r="AL202" s="98">
        <f t="shared" si="126"/>
        <v>4.3398330087933125E-2</v>
      </c>
      <c r="AM202" s="98" t="str">
        <f t="shared" si="111"/>
        <v>1+43.4690219152965i</v>
      </c>
      <c r="AN202" s="98">
        <f t="shared" si="127"/>
        <v>43.480522838076908</v>
      </c>
      <c r="AO202" s="98">
        <f t="shared" si="128"/>
        <v>1.5477954953143673</v>
      </c>
      <c r="AP202" s="168" t="str">
        <f t="shared" si="129"/>
        <v>-0.0991168678505267+0.00659096596123504i</v>
      </c>
      <c r="AQ202" s="98">
        <f t="shared" si="130"/>
        <v>-20.057887134711084</v>
      </c>
      <c r="AR202" s="169">
        <f t="shared" si="131"/>
        <v>176.19560827891985</v>
      </c>
      <c r="AS202" s="168" t="str">
        <f t="shared" si="132"/>
        <v>0.100005656025911+0.784807278696912i</v>
      </c>
      <c r="AT202" s="190">
        <f t="shared" si="133"/>
        <v>-2.0347867619832001</v>
      </c>
      <c r="AU202" s="169">
        <f t="shared" si="134"/>
        <v>82.738105917519846</v>
      </c>
      <c r="AV202" s="225"/>
      <c r="AX202">
        <f t="shared" si="135"/>
        <v>0</v>
      </c>
      <c r="AY202">
        <f t="shared" si="136"/>
        <v>0</v>
      </c>
    </row>
    <row r="203" spans="14:51" x14ac:dyDescent="0.55000000000000004">
      <c r="N203" s="170">
        <v>85</v>
      </c>
      <c r="O203" s="199">
        <f t="shared" si="137"/>
        <v>707.94578438413873</v>
      </c>
      <c r="P203" s="189" t="str">
        <f t="shared" si="103"/>
        <v>1078.86904761905</v>
      </c>
      <c r="Q203" s="160" t="str">
        <f t="shared" si="104"/>
        <v>1+139.004829710067i</v>
      </c>
      <c r="R203" s="160">
        <f t="shared" si="112"/>
        <v>139.00842666084932</v>
      </c>
      <c r="S203" s="160">
        <f t="shared" si="113"/>
        <v>1.5636024562550377</v>
      </c>
      <c r="T203" s="160" t="str">
        <f t="shared" si="105"/>
        <v>1+0.000088963091014443i</v>
      </c>
      <c r="U203" s="160">
        <f t="shared" si="114"/>
        <v>1.0000000039572157</v>
      </c>
      <c r="V203" s="160">
        <f t="shared" si="115"/>
        <v>8.8963090779745559E-5</v>
      </c>
      <c r="W203" s="98" t="str">
        <f t="shared" si="106"/>
        <v>1-0.0643416659452858i</v>
      </c>
      <c r="X203" s="160">
        <f t="shared" si="116"/>
        <v>1.0020677871165278</v>
      </c>
      <c r="Y203" s="160">
        <f t="shared" si="117"/>
        <v>-6.4253097555906913E-2</v>
      </c>
      <c r="Z203" s="98" t="str">
        <f t="shared" si="107"/>
        <v>0.999092463135125+0.00511081015011146i</v>
      </c>
      <c r="AA203" s="160">
        <f t="shared" si="118"/>
        <v>0.99910553510317501</v>
      </c>
      <c r="AB203" s="160">
        <f t="shared" si="119"/>
        <v>5.1154079924964086E-3</v>
      </c>
      <c r="AC203" s="171" t="str">
        <f t="shared" si="120"/>
        <v>-0.482976150807119-7.7691907244715i</v>
      </c>
      <c r="AD203" s="190">
        <f t="shared" si="121"/>
        <v>17.824266873947135</v>
      </c>
      <c r="AE203" s="169">
        <f t="shared" si="122"/>
        <v>-93.55724696912182</v>
      </c>
      <c r="AF203" s="98" t="str">
        <f t="shared" si="108"/>
        <v>-9.95024875621891E-06</v>
      </c>
      <c r="AG203" s="98" t="str">
        <f t="shared" si="109"/>
        <v>0.00445260270527287i</v>
      </c>
      <c r="AH203" s="98">
        <f t="shared" si="123"/>
        <v>4.4526027052728696E-3</v>
      </c>
      <c r="AI203" s="98">
        <f t="shared" si="124"/>
        <v>1.5707963267948966</v>
      </c>
      <c r="AJ203" s="98" t="str">
        <f t="shared" si="110"/>
        <v>1+0.0444371083988227i</v>
      </c>
      <c r="AK203" s="98">
        <f t="shared" si="125"/>
        <v>1.0009868413734762</v>
      </c>
      <c r="AL203" s="98">
        <f t="shared" si="126"/>
        <v>4.4407893661293385E-2</v>
      </c>
      <c r="AM203" s="98" t="str">
        <f t="shared" si="111"/>
        <v>1+44.4815455072215i</v>
      </c>
      <c r="AN203" s="98">
        <f t="shared" si="127"/>
        <v>44.492784703938426</v>
      </c>
      <c r="AO203" s="98">
        <f t="shared" si="128"/>
        <v>1.5483188797761085</v>
      </c>
      <c r="AP203" s="168" t="str">
        <f t="shared" si="129"/>
        <v>-0.0991080762797929+0.00663878025705107i</v>
      </c>
      <c r="AQ203" s="98">
        <f t="shared" si="130"/>
        <v>-20.058375758126648</v>
      </c>
      <c r="AR203" s="169">
        <f t="shared" si="131"/>
        <v>176.16775226773666</v>
      </c>
      <c r="AS203" s="168" t="str">
        <f t="shared" si="132"/>
        <v>0.0994447871903984+0.766783174418576i</v>
      </c>
      <c r="AT203" s="190">
        <f t="shared" si="133"/>
        <v>-2.2341088841795154</v>
      </c>
      <c r="AU203" s="169">
        <f t="shared" si="134"/>
        <v>82.610505298614825</v>
      </c>
      <c r="AV203" s="225"/>
      <c r="AX203">
        <f t="shared" si="135"/>
        <v>0</v>
      </c>
      <c r="AY203">
        <f t="shared" si="136"/>
        <v>0</v>
      </c>
    </row>
    <row r="204" spans="14:51" x14ac:dyDescent="0.55000000000000004">
      <c r="N204" s="170">
        <v>86</v>
      </c>
      <c r="O204" s="199">
        <f t="shared" si="137"/>
        <v>724.43596007499025</v>
      </c>
      <c r="P204" s="189" t="str">
        <f t="shared" si="103"/>
        <v>1078.86904761905</v>
      </c>
      <c r="Q204" s="160" t="str">
        <f t="shared" si="104"/>
        <v>1+142.242668135491i</v>
      </c>
      <c r="R204" s="160">
        <f t="shared" si="112"/>
        <v>142.24618321172426</v>
      </c>
      <c r="S204" s="160">
        <f t="shared" si="113"/>
        <v>1.5637662032824424</v>
      </c>
      <c r="T204" s="160" t="str">
        <f t="shared" si="105"/>
        <v>1+0.0000910353076067144i</v>
      </c>
      <c r="U204" s="160">
        <f t="shared" si="114"/>
        <v>1.0000000041437136</v>
      </c>
      <c r="V204" s="160">
        <f t="shared" si="115"/>
        <v>9.1035307355231583E-5</v>
      </c>
      <c r="W204" s="98" t="str">
        <f t="shared" si="106"/>
        <v>1-0.0658403758734802i</v>
      </c>
      <c r="X204" s="160">
        <f t="shared" si="116"/>
        <v>1.0021651336457287</v>
      </c>
      <c r="Y204" s="160">
        <f t="shared" si="117"/>
        <v>-6.5745484204528845E-2</v>
      </c>
      <c r="Z204" s="98" t="str">
        <f t="shared" si="107"/>
        <v>0.999049692240381+0.0052298562114864i</v>
      </c>
      <c r="AA204" s="160">
        <f t="shared" si="118"/>
        <v>0.99906338085308311</v>
      </c>
      <c r="AB204" s="160">
        <f t="shared" si="119"/>
        <v>5.2347830952246188E-3</v>
      </c>
      <c r="AC204" s="171" t="str">
        <f t="shared" si="120"/>
        <v>-0.485514268933104-7.59256005226619i</v>
      </c>
      <c r="AD204" s="190">
        <f t="shared" si="121"/>
        <v>17.625487229179488</v>
      </c>
      <c r="AE204" s="169">
        <f t="shared" si="122"/>
        <v>-93.658857399368884</v>
      </c>
      <c r="AF204" s="98" t="str">
        <f t="shared" si="108"/>
        <v>-9.95024875621891E-06</v>
      </c>
      <c r="AG204" s="98" t="str">
        <f t="shared" si="109"/>
        <v>0.00455631714571605i</v>
      </c>
      <c r="AH204" s="98">
        <f t="shared" si="123"/>
        <v>4.5563171457160502E-3</v>
      </c>
      <c r="AI204" s="98">
        <f t="shared" si="124"/>
        <v>1.5707963267948966</v>
      </c>
      <c r="AJ204" s="98" t="str">
        <f t="shared" si="110"/>
        <v>1+0.0454721816217355i</v>
      </c>
      <c r="AK204" s="98">
        <f t="shared" si="125"/>
        <v>1.0010333257696469</v>
      </c>
      <c r="AL204" s="98">
        <f t="shared" si="126"/>
        <v>4.5440879211454246E-2</v>
      </c>
      <c r="AM204" s="98" t="str">
        <f t="shared" si="111"/>
        <v>1+45.5176538033572i</v>
      </c>
      <c r="AN204" s="98">
        <f t="shared" si="127"/>
        <v>45.528637227159329</v>
      </c>
      <c r="AO204" s="98">
        <f t="shared" si="128"/>
        <v>1.548830362454646</v>
      </c>
      <c r="AP204" s="168" t="str">
        <f t="shared" si="129"/>
        <v>-0.099098872046533+0.00669007776466924i</v>
      </c>
      <c r="AQ204" s="98">
        <f t="shared" si="130"/>
        <v>-20.058877849273074</v>
      </c>
      <c r="AR204" s="169">
        <f t="shared" si="131"/>
        <v>176.13787235418869</v>
      </c>
      <c r="AS204" s="168" t="str">
        <f t="shared" si="132"/>
        <v>0.0989087335963496+0.749166008910126i</v>
      </c>
      <c r="AT204" s="190">
        <f t="shared" si="133"/>
        <v>-2.4333906200935904</v>
      </c>
      <c r="AU204" s="169">
        <f t="shared" si="134"/>
        <v>82.479014954819803</v>
      </c>
      <c r="AV204" s="225"/>
      <c r="AX204">
        <f t="shared" si="135"/>
        <v>0</v>
      </c>
      <c r="AY204">
        <f t="shared" si="136"/>
        <v>0</v>
      </c>
    </row>
    <row r="205" spans="14:51" x14ac:dyDescent="0.55000000000000004">
      <c r="N205" s="170">
        <v>87</v>
      </c>
      <c r="O205" s="199">
        <f t="shared" si="137"/>
        <v>741.31024130091828</v>
      </c>
      <c r="P205" s="189" t="str">
        <f t="shared" si="103"/>
        <v>1078.86904761905</v>
      </c>
      <c r="Q205" s="160" t="str">
        <f t="shared" si="104"/>
        <v>1+145.555925506365i</v>
      </c>
      <c r="R205" s="160">
        <f t="shared" si="112"/>
        <v>145.55936057160488</v>
      </c>
      <c r="S205" s="160">
        <f t="shared" si="113"/>
        <v>1.5639262233367388</v>
      </c>
      <c r="T205" s="160" t="str">
        <f t="shared" si="105"/>
        <v>1+0.0000931557923240736i</v>
      </c>
      <c r="U205" s="160">
        <f t="shared" si="114"/>
        <v>1.0000000043390007</v>
      </c>
      <c r="V205" s="160">
        <f t="shared" si="115"/>
        <v>9.3155792054604899E-5</v>
      </c>
      <c r="W205" s="98" t="str">
        <f t="shared" si="106"/>
        <v>1-0.067373995240463i</v>
      </c>
      <c r="X205" s="160">
        <f t="shared" si="116"/>
        <v>1.0022670578417021</v>
      </c>
      <c r="Y205" s="160">
        <f t="shared" si="117"/>
        <v>-6.7272329402604872E-2</v>
      </c>
      <c r="Z205" s="98" t="str">
        <f t="shared" si="107"/>
        <v>0.999004905615468+0.00535167521185i</v>
      </c>
      <c r="AA205" s="160">
        <f t="shared" si="118"/>
        <v>0.99901923999057352</v>
      </c>
      <c r="AB205" s="160">
        <f t="shared" si="119"/>
        <v>5.3569546950110016E-3</v>
      </c>
      <c r="AC205" s="171" t="str">
        <f t="shared" si="120"/>
        <v>-0.487940388012063-7.41995347065233i</v>
      </c>
      <c r="AD205" s="190">
        <f t="shared" si="121"/>
        <v>17.426764006428009</v>
      </c>
      <c r="AE205" s="169">
        <f t="shared" si="122"/>
        <v>-93.762386081157402</v>
      </c>
      <c r="AF205" s="98" t="str">
        <f t="shared" si="108"/>
        <v>-9.95024875621891E-06</v>
      </c>
      <c r="AG205" s="98" t="str">
        <f t="shared" si="109"/>
        <v>0.00466244740581989i</v>
      </c>
      <c r="AH205" s="98">
        <f t="shared" si="123"/>
        <v>4.66244740581989E-3</v>
      </c>
      <c r="AI205" s="98">
        <f t="shared" si="124"/>
        <v>1.5707963267948966</v>
      </c>
      <c r="AJ205" s="98" t="str">
        <f t="shared" si="110"/>
        <v>1+0.0465313647972396i</v>
      </c>
      <c r="AK205" s="98">
        <f t="shared" si="125"/>
        <v>1.0010819985944677</v>
      </c>
      <c r="AL205" s="98">
        <f t="shared" si="126"/>
        <v>4.6497825617955332E-2</v>
      </c>
      <c r="AM205" s="98" t="str">
        <f t="shared" si="111"/>
        <v>1+46.5778961620368i</v>
      </c>
      <c r="AN205" s="98">
        <f t="shared" si="127"/>
        <v>46.588629630860396</v>
      </c>
      <c r="AO205" s="98">
        <f t="shared" si="128"/>
        <v>1.5493302134737628</v>
      </c>
      <c r="AP205" s="168" t="str">
        <f t="shared" si="129"/>
        <v>-0.0990892358633071+0.00674488306482604i</v>
      </c>
      <c r="AQ205" s="98">
        <f t="shared" si="130"/>
        <v>-20.059394467668721</v>
      </c>
      <c r="AR205" s="169">
        <f t="shared" si="131"/>
        <v>176.10595313970535</v>
      </c>
      <c r="AS205" s="168" t="str">
        <f t="shared" si="132"/>
        <v>0.098396358700961+0.731946418688486i</v>
      </c>
      <c r="AT205" s="190">
        <f t="shared" si="133"/>
        <v>-2.6326304612407085</v>
      </c>
      <c r="AU205" s="169">
        <f t="shared" si="134"/>
        <v>82.343567058547961</v>
      </c>
      <c r="AV205" s="225"/>
      <c r="AX205">
        <f t="shared" si="135"/>
        <v>0</v>
      </c>
      <c r="AY205">
        <f t="shared" si="136"/>
        <v>0</v>
      </c>
    </row>
    <row r="206" spans="14:51" x14ac:dyDescent="0.55000000000000004">
      <c r="N206" s="170">
        <v>88</v>
      </c>
      <c r="O206" s="199">
        <f t="shared" si="137"/>
        <v>758.57757502918378</v>
      </c>
      <c r="P206" s="189" t="str">
        <f t="shared" si="103"/>
        <v>1078.86904761905</v>
      </c>
      <c r="Q206" s="160" t="str">
        <f t="shared" si="104"/>
        <v>1+148.946358555603i</v>
      </c>
      <c r="R206" s="160">
        <f t="shared" si="112"/>
        <v>148.94971543099453</v>
      </c>
      <c r="S206" s="160">
        <f t="shared" si="113"/>
        <v>1.5640826012298779</v>
      </c>
      <c r="T206" s="160" t="str">
        <f t="shared" si="105"/>
        <v>1+0.0000953256694755858i</v>
      </c>
      <c r="U206" s="160">
        <f t="shared" si="114"/>
        <v>1.0000000045434916</v>
      </c>
      <c r="V206" s="160">
        <f t="shared" si="115"/>
        <v>9.532566918684488E-5</v>
      </c>
      <c r="W206" s="98" t="str">
        <f t="shared" si="106"/>
        <v>1-0.0689433371915227i</v>
      </c>
      <c r="X206" s="160">
        <f t="shared" si="116"/>
        <v>1.0023737744689374</v>
      </c>
      <c r="Y206" s="160">
        <f t="shared" si="117"/>
        <v>-6.8834414211902908E-2</v>
      </c>
      <c r="Z206" s="98" t="str">
        <f t="shared" si="107"/>
        <v>0.998958008261952+0.00547633174124873i</v>
      </c>
      <c r="AA206" s="160">
        <f t="shared" si="118"/>
        <v>0.99897301889491807</v>
      </c>
      <c r="AB206" s="160">
        <f t="shared" si="119"/>
        <v>5.4819890698444866E-3</v>
      </c>
      <c r="AC206" s="171" t="str">
        <f t="shared" si="120"/>
        <v>-0.490259653008784-7.25127956796641i</v>
      </c>
      <c r="AD206" s="190">
        <f t="shared" si="121"/>
        <v>17.228099891407705</v>
      </c>
      <c r="AE206" s="169">
        <f t="shared" si="122"/>
        <v>-93.867886358427967</v>
      </c>
      <c r="AF206" s="98" t="str">
        <f t="shared" si="108"/>
        <v>-9.95024875621891E-06</v>
      </c>
      <c r="AG206" s="98" t="str">
        <f t="shared" si="109"/>
        <v>0.00477104975725307i</v>
      </c>
      <c r="AH206" s="98">
        <f t="shared" si="123"/>
        <v>4.7710497572530696E-3</v>
      </c>
      <c r="AI206" s="98">
        <f t="shared" si="124"/>
        <v>1.5707963267948966</v>
      </c>
      <c r="AJ206" s="98" t="str">
        <f t="shared" si="110"/>
        <v>1+0.0476152195182746i</v>
      </c>
      <c r="AK206" s="98">
        <f t="shared" si="125"/>
        <v>1.001132962762576</v>
      </c>
      <c r="AL206" s="98">
        <f t="shared" si="126"/>
        <v>4.7579283836377197E-2</v>
      </c>
      <c r="AM206" s="98" t="str">
        <f t="shared" si="111"/>
        <v>1+47.6628347377929i</v>
      </c>
      <c r="AN206" s="98">
        <f t="shared" si="127"/>
        <v>47.673323937419738</v>
      </c>
      <c r="AO206" s="98">
        <f t="shared" si="128"/>
        <v>1.5498186968614063</v>
      </c>
      <c r="AP206" s="168" t="str">
        <f t="shared" si="129"/>
        <v>-0.0990791475491208+0.00680322241224213i</v>
      </c>
      <c r="AQ206" s="98">
        <f t="shared" si="130"/>
        <v>-20.059926703175627</v>
      </c>
      <c r="AR206" s="169">
        <f t="shared" si="131"/>
        <v>176.07197818454426</v>
      </c>
      <c r="AS206" s="168" t="str">
        <f t="shared" si="132"/>
        <v>0.0979065761720606+0.715115252775302i</v>
      </c>
      <c r="AT206" s="190">
        <f t="shared" si="133"/>
        <v>-2.8318268117679151</v>
      </c>
      <c r="AU206" s="169">
        <f t="shared" si="134"/>
        <v>82.204091826116297</v>
      </c>
      <c r="AV206" s="225"/>
      <c r="AX206">
        <f t="shared" si="135"/>
        <v>0</v>
      </c>
      <c r="AY206">
        <f t="shared" si="136"/>
        <v>0</v>
      </c>
    </row>
    <row r="207" spans="14:51" x14ac:dyDescent="0.55000000000000004">
      <c r="N207" s="170">
        <v>89</v>
      </c>
      <c r="O207" s="199">
        <f t="shared" si="137"/>
        <v>776.24711662869231</v>
      </c>
      <c r="P207" s="189" t="str">
        <f t="shared" si="103"/>
        <v>1078.86904761905</v>
      </c>
      <c r="Q207" s="160" t="str">
        <f t="shared" si="104"/>
        <v>1+152.415764935685i</v>
      </c>
      <c r="R207" s="160">
        <f t="shared" si="112"/>
        <v>152.41904540092744</v>
      </c>
      <c r="S207" s="160">
        <f t="shared" si="113"/>
        <v>1.5642354198448787</v>
      </c>
      <c r="T207" s="160" t="str">
        <f t="shared" si="105"/>
        <v>1+0.0000975460895588384i</v>
      </c>
      <c r="U207" s="160">
        <f t="shared" si="114"/>
        <v>1.0000000047576196</v>
      </c>
      <c r="V207" s="160">
        <f t="shared" si="115"/>
        <v>9.7546089249446935E-5</v>
      </c>
      <c r="W207" s="98" t="str">
        <f t="shared" si="106"/>
        <v>1-0.0705492338125343i</v>
      </c>
      <c r="X207" s="160">
        <f t="shared" si="116"/>
        <v>1.0024855083199635</v>
      </c>
      <c r="Y207" s="160">
        <f t="shared" si="117"/>
        <v>-7.0432536360062262E-2</v>
      </c>
      <c r="Z207" s="98" t="str">
        <f t="shared" si="107"/>
        <v>0.998908900704257+0.00560389189422449i</v>
      </c>
      <c r="AA207" s="160">
        <f t="shared" si="118"/>
        <v>0.99892461953370093</v>
      </c>
      <c r="AB207" s="160">
        <f t="shared" si="119"/>
        <v>5.6099541233070481E-3</v>
      </c>
      <c r="AC207" s="171" t="str">
        <f t="shared" si="120"/>
        <v>-0.492476982396917-7.08644901064651i</v>
      </c>
      <c r="AD207" s="190">
        <f t="shared" si="121"/>
        <v>17.029497693053926</v>
      </c>
      <c r="AE207" s="169">
        <f t="shared" si="122"/>
        <v>-93.975412511124716</v>
      </c>
      <c r="AF207" s="98" t="str">
        <f t="shared" si="108"/>
        <v>-9.95024875621891E-06</v>
      </c>
      <c r="AG207" s="98" t="str">
        <f t="shared" si="109"/>
        <v>0.00488218178241986i</v>
      </c>
      <c r="AH207" s="98">
        <f t="shared" si="123"/>
        <v>4.88218178241986E-3</v>
      </c>
      <c r="AI207" s="98">
        <f t="shared" si="124"/>
        <v>1.5707963267948966</v>
      </c>
      <c r="AJ207" s="98" t="str">
        <f t="shared" si="110"/>
        <v>1+0.0487243204589602i</v>
      </c>
      <c r="AK207" s="98">
        <f t="shared" si="125"/>
        <v>1.0011863260173839</v>
      </c>
      <c r="AL207" s="98">
        <f t="shared" si="126"/>
        <v>4.8685817145856285E-2</v>
      </c>
      <c r="AM207" s="98" t="str">
        <f t="shared" si="111"/>
        <v>1+48.7730447794192i</v>
      </c>
      <c r="AN207" s="98">
        <f t="shared" si="127"/>
        <v>48.783295266466276</v>
      </c>
      <c r="AO207" s="98">
        <f t="shared" si="128"/>
        <v>1.55029607068492</v>
      </c>
      <c r="AP207" s="168" t="str">
        <f t="shared" si="129"/>
        <v>-0.0990685859887882+0.00686512373640989i</v>
      </c>
      <c r="AQ207" s="98">
        <f t="shared" si="130"/>
        <v>-20.06047567826128</v>
      </c>
      <c r="AR207" s="169">
        <f t="shared" si="131"/>
        <v>176.03593000135783</v>
      </c>
      <c r="AS207" s="168" t="str">
        <f t="shared" si="132"/>
        <v>0.0974383475879357+0.698663567744908i</v>
      </c>
      <c r="AT207" s="190">
        <f t="shared" si="133"/>
        <v>-3.0309779852073575</v>
      </c>
      <c r="AU207" s="169">
        <f t="shared" si="134"/>
        <v>82.06051749023311</v>
      </c>
      <c r="AV207" s="225"/>
      <c r="AX207">
        <f t="shared" si="135"/>
        <v>0</v>
      </c>
      <c r="AY207">
        <f t="shared" si="136"/>
        <v>0</v>
      </c>
    </row>
    <row r="208" spans="14:51" x14ac:dyDescent="0.55000000000000004">
      <c r="N208" s="170">
        <v>90</v>
      </c>
      <c r="O208" s="199">
        <f t="shared" si="137"/>
        <v>794.32823472428208</v>
      </c>
      <c r="P208" s="189" t="str">
        <f t="shared" si="103"/>
        <v>1078.86904761905</v>
      </c>
      <c r="Q208" s="160" t="str">
        <f t="shared" si="104"/>
        <v>1+155.965984171797i</v>
      </c>
      <c r="R208" s="160">
        <f t="shared" si="112"/>
        <v>155.96918996608667</v>
      </c>
      <c r="S208" s="160">
        <f t="shared" si="113"/>
        <v>1.5643847601796266</v>
      </c>
      <c r="T208" s="160" t="str">
        <f t="shared" si="105"/>
        <v>1+0.0000998182298699502i</v>
      </c>
      <c r="U208" s="160">
        <f t="shared" si="114"/>
        <v>1.0000000049818394</v>
      </c>
      <c r="V208" s="160">
        <f t="shared" si="115"/>
        <v>9.9818229538431257E-5</v>
      </c>
      <c r="W208" s="98" t="str">
        <f t="shared" si="106"/>
        <v>1-0.0721925365711428i</v>
      </c>
      <c r="X208" s="160">
        <f t="shared" si="116"/>
        <v>1.0026024946790106</v>
      </c>
      <c r="Y208" s="160">
        <f t="shared" si="117"/>
        <v>-7.2067510521497596E-2</v>
      </c>
      <c r="Z208" s="98" t="str">
        <f t="shared" si="107"/>
        <v>0.998857478778669+0.00573442330485884i</v>
      </c>
      <c r="AA208" s="160">
        <f t="shared" si="118"/>
        <v>0.99887393925495849</v>
      </c>
      <c r="AB208" s="160">
        <f t="shared" si="119"/>
        <v>5.740919428324838E-3</v>
      </c>
      <c r="AC208" s="171" t="str">
        <f t="shared" si="120"/>
        <v>-0.494597078583261-6.92537449634179i</v>
      </c>
      <c r="AD208" s="190">
        <f t="shared" si="121"/>
        <v>16.830960349275085</v>
      </c>
      <c r="AE208" s="169">
        <f t="shared" si="122"/>
        <v>-94.085019776271153</v>
      </c>
      <c r="AF208" s="98" t="str">
        <f t="shared" si="108"/>
        <v>-9.95024875621891E-06</v>
      </c>
      <c r="AG208" s="98" t="str">
        <f t="shared" si="109"/>
        <v>0.00499590240499101i</v>
      </c>
      <c r="AH208" s="98">
        <f t="shared" si="123"/>
        <v>4.9959024049910103E-3</v>
      </c>
      <c r="AI208" s="98">
        <f t="shared" si="124"/>
        <v>1.5707963267948966</v>
      </c>
      <c r="AJ208" s="98" t="str">
        <f t="shared" si="110"/>
        <v>1+0.0498592556792958i</v>
      </c>
      <c r="AK208" s="98">
        <f t="shared" si="125"/>
        <v>1.00124220115659</v>
      </c>
      <c r="AL208" s="98">
        <f t="shared" si="126"/>
        <v>4.9818001399982999E-2</v>
      </c>
      <c r="AM208" s="98" t="str">
        <f t="shared" si="111"/>
        <v>1+49.9091149349751i</v>
      </c>
      <c r="AN208" s="98">
        <f t="shared" si="127"/>
        <v>49.919132139817442</v>
      </c>
      <c r="AO208" s="98">
        <f t="shared" si="128"/>
        <v>1.5507625871834314</v>
      </c>
      <c r="AP208" s="168" t="str">
        <f t="shared" si="129"/>
        <v>-0.0990575290905252+0.00693061664234954i</v>
      </c>
      <c r="AQ208" s="98">
        <f t="shared" si="130"/>
        <v>-20.061042550324821</v>
      </c>
      <c r="AR208" s="169">
        <f t="shared" si="131"/>
        <v>175.99779004840315</v>
      </c>
      <c r="AS208" s="168" t="str">
        <f t="shared" si="132"/>
        <v>0.0969906802386996+0.682582622890072i</v>
      </c>
      <c r="AT208" s="190">
        <f t="shared" si="133"/>
        <v>-3.2300822010497274</v>
      </c>
      <c r="AU208" s="169">
        <f t="shared" si="134"/>
        <v>81.912770272131993</v>
      </c>
      <c r="AV208" s="225"/>
      <c r="AX208">
        <f t="shared" si="135"/>
        <v>0</v>
      </c>
      <c r="AY208">
        <f t="shared" si="136"/>
        <v>0</v>
      </c>
    </row>
    <row r="209" spans="14:51" x14ac:dyDescent="0.55000000000000004">
      <c r="N209" s="170">
        <v>91</v>
      </c>
      <c r="O209" s="199">
        <f t="shared" si="137"/>
        <v>812.83051616409978</v>
      </c>
      <c r="P209" s="189" t="str">
        <f t="shared" si="103"/>
        <v>1078.86904761905</v>
      </c>
      <c r="Q209" s="160" t="str">
        <f t="shared" si="104"/>
        <v>1+159.598898637171i</v>
      </c>
      <c r="R209" s="160">
        <f t="shared" si="112"/>
        <v>159.60203146012267</v>
      </c>
      <c r="S209" s="160">
        <f t="shared" si="113"/>
        <v>1.564530701389683</v>
      </c>
      <c r="T209" s="160" t="str">
        <f t="shared" si="105"/>
        <v>1+0.000102143295127789i</v>
      </c>
      <c r="U209" s="160">
        <f t="shared" si="114"/>
        <v>1.0000000052166262</v>
      </c>
      <c r="V209" s="160">
        <f t="shared" si="115"/>
        <v>1.0214329477256007E-4</v>
      </c>
      <c r="W209" s="98" t="str">
        <f t="shared" si="106"/>
        <v>1-0.0738741167682224i</v>
      </c>
      <c r="X209" s="160">
        <f t="shared" si="116"/>
        <v>1.0027249798066691</v>
      </c>
      <c r="Y209" s="160">
        <f t="shared" si="117"/>
        <v>-7.3740168597406147E-2</v>
      </c>
      <c r="Z209" s="98" t="str">
        <f t="shared" si="107"/>
        <v>0.99880363341239+0.00586799518263349i</v>
      </c>
      <c r="AA209" s="160">
        <f t="shared" si="118"/>
        <v>0.99882087056952062</v>
      </c>
      <c r="AB209" s="160">
        <f t="shared" si="119"/>
        <v>5.8749562723639836E-3</v>
      </c>
      <c r="AC209" s="171" t="str">
        <f t="shared" si="120"/>
        <v>-0.496624437875041-6.76797070806702i</v>
      </c>
      <c r="AD209" s="190">
        <f t="shared" si="121"/>
        <v>16.632490932958753</v>
      </c>
      <c r="AE209" s="169">
        <f t="shared" si="122"/>
        <v>-94.196764369020144</v>
      </c>
      <c r="AF209" s="98" t="str">
        <f t="shared" si="108"/>
        <v>-9.95024875621891E-06</v>
      </c>
      <c r="AG209" s="98" t="str">
        <f t="shared" si="109"/>
        <v>0.00511227192114586i</v>
      </c>
      <c r="AH209" s="98">
        <f t="shared" si="123"/>
        <v>5.1122719211458599E-3</v>
      </c>
      <c r="AI209" s="98">
        <f t="shared" si="124"/>
        <v>1.5707963267948966</v>
      </c>
      <c r="AJ209" s="98" t="str">
        <f t="shared" si="110"/>
        <v>1+0.0510206269369577i</v>
      </c>
      <c r="AK209" s="98">
        <f t="shared" si="125"/>
        <v>1.0013007062681221</v>
      </c>
      <c r="AL209" s="98">
        <f t="shared" si="126"/>
        <v>5.0976425280996066E-2</v>
      </c>
      <c r="AM209" s="98" t="str">
        <f t="shared" si="111"/>
        <v>1+51.0716475638947i</v>
      </c>
      <c r="AN209" s="98">
        <f t="shared" si="127"/>
        <v>51.081436793522869</v>
      </c>
      <c r="AO209" s="98">
        <f t="shared" si="128"/>
        <v>1.5512184928974451</v>
      </c>
      <c r="AP209" s="168" t="str">
        <f t="shared" si="129"/>
        <v>-0.0990459537416974+0.00699973241127054i</v>
      </c>
      <c r="AQ209" s="98">
        <f t="shared" si="130"/>
        <v>-20.061628514092572</v>
      </c>
      <c r="AR209" s="169">
        <f t="shared" si="131"/>
        <v>175.9575387224028</v>
      </c>
      <c r="AS209" s="168" t="str">
        <f t="shared" si="132"/>
        <v>0.0965626250245541+0.666863875502346i</v>
      </c>
      <c r="AT209" s="190">
        <f t="shared" si="133"/>
        <v>-3.4291375811338201</v>
      </c>
      <c r="AU209" s="169">
        <f t="shared" si="134"/>
        <v>81.760774353382644</v>
      </c>
      <c r="AV209" s="225"/>
      <c r="AX209">
        <f t="shared" si="135"/>
        <v>0</v>
      </c>
      <c r="AY209">
        <f t="shared" si="136"/>
        <v>0</v>
      </c>
    </row>
    <row r="210" spans="14:51" x14ac:dyDescent="0.55000000000000004">
      <c r="N210" s="170">
        <v>92</v>
      </c>
      <c r="O210" s="199">
        <f t="shared" si="137"/>
        <v>831.7637711026714</v>
      </c>
      <c r="P210" s="189" t="str">
        <f t="shared" si="103"/>
        <v>1078.86904761905</v>
      </c>
      <c r="Q210" s="160" t="str">
        <f t="shared" si="104"/>
        <v>1+163.316434551143i</v>
      </c>
      <c r="R210" s="160">
        <f t="shared" si="112"/>
        <v>163.31949606369039</v>
      </c>
      <c r="S210" s="160">
        <f t="shared" si="113"/>
        <v>1.5646733208301278</v>
      </c>
      <c r="T210" s="160" t="str">
        <f t="shared" si="105"/>
        <v>1+0.000104522518112732i</v>
      </c>
      <c r="U210" s="160">
        <f t="shared" si="114"/>
        <v>1.0000000054624782</v>
      </c>
      <c r="V210" s="160">
        <f t="shared" si="115"/>
        <v>1.0452251773209733E-4</v>
      </c>
      <c r="W210" s="98" t="str">
        <f t="shared" si="106"/>
        <v>1-0.0755948659998522i</v>
      </c>
      <c r="X210" s="160">
        <f t="shared" si="116"/>
        <v>1.0028532214464565</v>
      </c>
      <c r="Y210" s="160">
        <f t="shared" si="117"/>
        <v>-7.5451359994354344E-2</v>
      </c>
      <c r="Z210" s="98" t="str">
        <f t="shared" si="107"/>
        <v>0.998747250392179+0.00600467834912607i</v>
      </c>
      <c r="AA210" s="160">
        <f t="shared" si="118"/>
        <v>0.99876530092310201</v>
      </c>
      <c r="AB210" s="160">
        <f t="shared" si="119"/>
        <v>6.0121377041356498E-3</v>
      </c>
      <c r="AC210" s="171" t="str">
        <f t="shared" si="120"/>
        <v>-0.498563360011254-6.61415426938134i</v>
      </c>
      <c r="AD210" s="190">
        <f t="shared" si="121"/>
        <v>16.434092658243795</v>
      </c>
      <c r="AE210" s="169">
        <f t="shared" si="122"/>
        <v>-94.310703503652363</v>
      </c>
      <c r="AF210" s="98" t="str">
        <f t="shared" si="108"/>
        <v>-9.95024875621891E-06</v>
      </c>
      <c r="AG210" s="98" t="str">
        <f t="shared" si="109"/>
        <v>0.00523135203154223i</v>
      </c>
      <c r="AH210" s="98">
        <f t="shared" si="123"/>
        <v>5.2313520315422296E-3</v>
      </c>
      <c r="AI210" s="98">
        <f t="shared" si="124"/>
        <v>1.5707963267948966</v>
      </c>
      <c r="AJ210" s="98" t="str">
        <f t="shared" si="110"/>
        <v>1+0.0522090500063595i</v>
      </c>
      <c r="AK210" s="98">
        <f t="shared" si="125"/>
        <v>1.001361964976984</v>
      </c>
      <c r="AL210" s="98">
        <f t="shared" si="126"/>
        <v>5.2161690557172471E-2</v>
      </c>
      <c r="AM210" s="98" t="str">
        <f t="shared" si="111"/>
        <v>1+52.2612590563659i</v>
      </c>
      <c r="AN210" s="98">
        <f t="shared" si="127"/>
        <v>52.270825497179466</v>
      </c>
      <c r="AO210" s="98">
        <f t="shared" si="128"/>
        <v>1.55166402879569</v>
      </c>
      <c r="AP210" s="168" t="str">
        <f t="shared" si="129"/>
        <v>-0.0990338357626492+0.0070725040010711i</v>
      </c>
      <c r="AQ210" s="98">
        <f t="shared" si="130"/>
        <v>-20.062234804087669</v>
      </c>
      <c r="AR210" s="169">
        <f t="shared" si="131"/>
        <v>175.91515535106549</v>
      </c>
      <c r="AS210" s="168" t="str">
        <f t="shared" si="132"/>
        <v>0.0961532744465301+0.65149897626427i</v>
      </c>
      <c r="AT210" s="190">
        <f t="shared" si="133"/>
        <v>-3.6281421458438707</v>
      </c>
      <c r="AU210" s="169">
        <f t="shared" si="134"/>
        <v>81.604451847413131</v>
      </c>
      <c r="AV210" s="225"/>
      <c r="AX210">
        <f t="shared" si="135"/>
        <v>0</v>
      </c>
      <c r="AY210">
        <f t="shared" si="136"/>
        <v>0</v>
      </c>
    </row>
    <row r="211" spans="14:51" x14ac:dyDescent="0.55000000000000004">
      <c r="N211" s="170">
        <v>93</v>
      </c>
      <c r="O211" s="199">
        <f t="shared" si="137"/>
        <v>851.13803820237763</v>
      </c>
      <c r="P211" s="189" t="str">
        <f t="shared" ref="P211:P274" si="138">COMPLEX(Adc,0)</f>
        <v>1078.86904761905</v>
      </c>
      <c r="Q211" s="160" t="str">
        <f t="shared" ref="Q211:Q274" si="139">IMSUM(COMPLEX(1,0),IMDIV(COMPLEX(0,2*PI()*O211),COMPLEX(wp_lf,0)))</f>
        <v>1+167.120563000464i</v>
      </c>
      <c r="R211" s="160">
        <f t="shared" si="112"/>
        <v>167.12355482573977</v>
      </c>
      <c r="S211" s="160">
        <f t="shared" si="113"/>
        <v>1.5648126940964557</v>
      </c>
      <c r="T211" s="160" t="str">
        <f t="shared" ref="T211:T274" si="140">IMSUM(COMPLEX(1,0),IMDIV(COMPLEX(0,2*PI()*O211),COMPLEX(wz_esr,0)))</f>
        <v>1+0.000106957160320297i</v>
      </c>
      <c r="U211" s="160">
        <f t="shared" si="114"/>
        <v>1.000000005719917</v>
      </c>
      <c r="V211" s="160">
        <f t="shared" si="115"/>
        <v>1.0695715991243961E-4</v>
      </c>
      <c r="W211" s="98" t="str">
        <f t="shared" ref="W211:W274" si="141">IMSUB(COMPLEX(1,0),IMDIV(COMPLEX(0,2*PI()*O211),COMPLEX(wz_rhp,0)))</f>
        <v>1-0.0773556966300515i</v>
      </c>
      <c r="X211" s="160">
        <f t="shared" si="116"/>
        <v>1.0029874893542394</v>
      </c>
      <c r="Y211" s="160">
        <f t="shared" si="117"/>
        <v>-7.7201951900872728E-2</v>
      </c>
      <c r="Z211" s="98" t="str">
        <f t="shared" ref="Z211:Z274" si="142">IF(Dc_Mode_Loop="CCM",IMSUM(COMPLEX(1,0),IMDIV(COMPLEX(0,2*PI()*O211),COMPLEX(Q*(wsl/2),0)),IMDIV(IMPOWER(COMPLEX(0,2*PI()*O211),2),IMPOWER(COMPLEX(wsl/2,0),2))),COMPLEX(1,0))</f>
        <v>0.998688210122091+0.00614454527556069i</v>
      </c>
      <c r="AA211" s="160">
        <f t="shared" si="118"/>
        <v>0.99870711245765598</v>
      </c>
      <c r="AB211" s="160">
        <f t="shared" si="119"/>
        <v>6.1525385818788575E-3</v>
      </c>
      <c r="AC211" s="171" t="str">
        <f t="shared" si="120"/>
        <v>-0.500417957278222-6.46384370056753i</v>
      </c>
      <c r="AD211" s="190">
        <f t="shared" si="121"/>
        <v>16.23576888706738</v>
      </c>
      <c r="AE211" s="169">
        <f t="shared" si="122"/>
        <v>-94.426895414496201</v>
      </c>
      <c r="AF211" s="98" t="str">
        <f t="shared" ref="AF211:AF274" si="143">COMPLEX(Adc_ea,0)</f>
        <v>-9.95024875621891E-06</v>
      </c>
      <c r="AG211" s="98" t="str">
        <f t="shared" ref="AG211:AG274" si="144">COMPLEX(0,2*PI()*O211*wp0_ea)</f>
        <v>0.00535320587403085i</v>
      </c>
      <c r="AH211" s="98">
        <f t="shared" si="123"/>
        <v>5.3532058740308501E-3</v>
      </c>
      <c r="AI211" s="98">
        <f t="shared" si="124"/>
        <v>1.5707963267948966</v>
      </c>
      <c r="AJ211" s="98" t="str">
        <f t="shared" ref="AJ211:AJ274" si="145">IMSUM(COMPLEX(1,0),IMDIV(COMPLEX(0,2*PI()*O211),COMPLEX(wp1_ea,0)))</f>
        <v>1+0.0534251550051433i</v>
      </c>
      <c r="AK211" s="98">
        <f t="shared" si="125"/>
        <v>1.0014261067034969</v>
      </c>
      <c r="AL211" s="98">
        <f t="shared" si="126"/>
        <v>5.3374412343296061E-2</v>
      </c>
      <c r="AM211" s="98" t="str">
        <f t="shared" ref="AM211:AM274" si="146">IMSUM(COMPLEX(1,0),IMDIV(COMPLEX(0,2*PI()*O211),COMPLEX(wz_ea,0)))</f>
        <v>1+53.4785801601484i</v>
      </c>
      <c r="AN211" s="98">
        <f t="shared" si="127"/>
        <v>53.48792888068688</v>
      </c>
      <c r="AO211" s="98">
        <f t="shared" si="128"/>
        <v>1.5520994303992726</v>
      </c>
      <c r="AP211" s="168" t="str">
        <f t="shared" si="129"/>
        <v>-0.0990211498585451+0.0071489660466038i</v>
      </c>
      <c r="AQ211" s="98">
        <f t="shared" si="130"/>
        <v>-20.062862697177874</v>
      </c>
      <c r="AR211" s="169">
        <f t="shared" si="131"/>
        <v>175.87061818527556</v>
      </c>
      <c r="AS211" s="168" t="str">
        <f t="shared" si="132"/>
        <v>0.095761760685465+0.636479764750417i</v>
      </c>
      <c r="AT211" s="190">
        <f t="shared" si="133"/>
        <v>-3.8270938101104974</v>
      </c>
      <c r="AU211" s="169">
        <f t="shared" si="134"/>
        <v>81.443722770779345</v>
      </c>
      <c r="AV211" s="225"/>
      <c r="AX211">
        <f t="shared" si="135"/>
        <v>0</v>
      </c>
      <c r="AY211">
        <f t="shared" si="136"/>
        <v>0</v>
      </c>
    </row>
    <row r="212" spans="14:51" x14ac:dyDescent="0.55000000000000004">
      <c r="N212" s="170">
        <v>94</v>
      </c>
      <c r="O212" s="199">
        <f t="shared" si="137"/>
        <v>870.96358995608091</v>
      </c>
      <c r="P212" s="189" t="str">
        <f t="shared" si="138"/>
        <v>1078.86904761905</v>
      </c>
      <c r="Q212" s="160" t="str">
        <f t="shared" si="139"/>
        <v>1+171.013300984388i</v>
      </c>
      <c r="R212" s="160">
        <f t="shared" ref="R212:R275" si="147">IMABS(Q212)</f>
        <v>171.01622470858396</v>
      </c>
      <c r="S212" s="160">
        <f t="shared" ref="S212:S275" si="148">IMARGUMENT(Q212)</f>
        <v>1.5649488950645463</v>
      </c>
      <c r="T212" s="160" t="str">
        <f t="shared" si="140"/>
        <v>1+0.000109448512630009i</v>
      </c>
      <c r="U212" s="160">
        <f t="shared" ref="U212:U275" si="149">IMABS(T212)</f>
        <v>1.0000000059894885</v>
      </c>
      <c r="V212" s="160">
        <f t="shared" ref="V212:V275" si="150">IMARGUMENT(T212)</f>
        <v>1.0944851219298193E-4</v>
      </c>
      <c r="W212" s="98" t="str">
        <f t="shared" si="141"/>
        <v>1-0.0791575422745275i</v>
      </c>
      <c r="X212" s="160">
        <f t="shared" ref="X212:X275" si="151">IMABS(W212)</f>
        <v>1.0031280658514863</v>
      </c>
      <c r="Y212" s="160">
        <f t="shared" ref="Y212:Y275" si="152">IMARGUMENT(W212)</f>
        <v>-7.899282956144324E-2</v>
      </c>
      <c r="Z212" s="98" t="str">
        <f t="shared" si="142"/>
        <v>0.998626387369798+0.00628767012123305i</v>
      </c>
      <c r="AA212" s="160">
        <f t="shared" ref="AA212:AA275" si="153">IMABS(Z212)</f>
        <v>0.99864618176149211</v>
      </c>
      <c r="AB212" s="160">
        <f t="shared" ref="AB212:AB275" si="154">IMARGUMENT(Z212)</f>
        <v>6.2962356232934124E-3</v>
      </c>
      <c r="AC212" s="171" t="str">
        <f t="shared" ref="AC212:AC275" si="155">(IMDIV(IMPRODUCT(P212,T212,W212),IMPRODUCT(Q212,Z212)))</f>
        <v>-0.502192163228742-6.31695937579242i</v>
      </c>
      <c r="AD212" s="190">
        <f t="shared" ref="AD212:AD275" si="156">20*LOG(IMABS(AC212))</f>
        <v>16.037523136001184</v>
      </c>
      <c r="AE212" s="169">
        <f t="shared" ref="AE212:AE275" si="157">(180/PI())*IMARGUMENT(AC212)</f>
        <v>-94.54539937673897</v>
      </c>
      <c r="AF212" s="98" t="str">
        <f t="shared" si="143"/>
        <v>-9.95024875621891E-06</v>
      </c>
      <c r="AG212" s="98" t="str">
        <f t="shared" si="144"/>
        <v>0.00547789805713193i</v>
      </c>
      <c r="AH212" s="98">
        <f t="shared" ref="AH212:AH275" si="158">IMABS(AG212)</f>
        <v>5.4778980571319304E-3</v>
      </c>
      <c r="AI212" s="98">
        <f t="shared" ref="AI212:AI275" si="159">IMARGUMENT(AG212)</f>
        <v>1.5707963267948966</v>
      </c>
      <c r="AJ212" s="98" t="str">
        <f t="shared" si="145"/>
        <v>1+0.054669586728276i</v>
      </c>
      <c r="AK212" s="98">
        <f t="shared" ref="AK212:AK275" si="160">IMABS(AJ212)</f>
        <v>1.0014932669334531</v>
      </c>
      <c r="AL212" s="98">
        <f t="shared" ref="AL212:AL275" si="161">IMARGUMENT(AJ212)</f>
        <v>5.4615219364074923E-2</v>
      </c>
      <c r="AM212" s="98" t="str">
        <f t="shared" si="146"/>
        <v>1+54.7242563150043i</v>
      </c>
      <c r="AN212" s="98">
        <f t="shared" ref="AN212:AN275" si="162">IMABS(AM212)</f>
        <v>54.733392268616861</v>
      </c>
      <c r="AO212" s="98">
        <f t="shared" ref="AO212:AO275" si="163">IMARGUMENT(AM212)</f>
        <v>1.5525249279031785</v>
      </c>
      <c r="AP212" s="168" t="str">
        <f t="shared" ref="AP212:AP275" si="164">IMPRODUCT(AF212,IMDIV(AM212,IMPRODUCT(AG212,AJ212)))</f>
        <v>-0.0990078695691406+0.00722915485963051i</v>
      </c>
      <c r="AQ212" s="98">
        <f t="shared" ref="AQ212:AQ275" si="165">20*LOG(IMABS(AP212))</f>
        <v>-20.063513515207102</v>
      </c>
      <c r="AR212" s="169">
        <f t="shared" ref="AR212:AR275" si="166">(180/PI())*IMARGUMENT(AP212)</f>
        <v>175.8239043909619</v>
      </c>
      <c r="AS212" s="168" t="str">
        <f t="shared" ref="AS212:AS275" si="167">IMPRODUCT(AC212,AP212)</f>
        <v>0.0953872537651941+0.621798265034742i</v>
      </c>
      <c r="AT212" s="190">
        <f t="shared" ref="AT212:AT275" si="168">20*LOG(IMABS(AS212))</f>
        <v>-4.0259903792059246</v>
      </c>
      <c r="AU212" s="169">
        <f t="shared" ref="AU212:AU275" si="169">(180/PI())*IMARGUMENT(AS212)</f>
        <v>81.278505014222901</v>
      </c>
      <c r="AV212" s="225"/>
      <c r="AX212">
        <f t="shared" ref="AX212:AX275" si="170">SUM((AT213&lt;0)*(AT212&gt;0))*O212</f>
        <v>0</v>
      </c>
      <c r="AY212">
        <f t="shared" ref="AY212:AY275" si="171">IF(AX212&gt;0,AU212,0)</f>
        <v>0</v>
      </c>
    </row>
    <row r="213" spans="14:51" x14ac:dyDescent="0.55000000000000004">
      <c r="N213" s="170">
        <v>95</v>
      </c>
      <c r="O213" s="199">
        <f t="shared" si="137"/>
        <v>891.25093813374656</v>
      </c>
      <c r="P213" s="189" t="str">
        <f t="shared" si="138"/>
        <v>1078.86904761905</v>
      </c>
      <c r="Q213" s="160" t="str">
        <f t="shared" si="139"/>
        <v>1+174.996712484124i</v>
      </c>
      <c r="R213" s="160">
        <f t="shared" si="147"/>
        <v>174.99956965733131</v>
      </c>
      <c r="S213" s="160">
        <f t="shared" si="148"/>
        <v>1.5650819959297309</v>
      </c>
      <c r="T213" s="160" t="str">
        <f t="shared" si="140"/>
        <v>1+0.00011199789598984i</v>
      </c>
      <c r="U213" s="160">
        <f t="shared" si="149"/>
        <v>1.0000000062717642</v>
      </c>
      <c r="V213" s="160">
        <f t="shared" si="150"/>
        <v>1.1199789552155706E-4</v>
      </c>
      <c r="W213" s="98" t="str">
        <f t="shared" si="141"/>
        <v>1-0.0810013582956916i</v>
      </c>
      <c r="X213" s="160">
        <f t="shared" si="151"/>
        <v>1.0032752464033721</v>
      </c>
      <c r="Y213" s="160">
        <f t="shared" si="152"/>
        <v>-8.082489654721027E-2</v>
      </c>
      <c r="Z213" s="98" t="str">
        <f t="shared" si="142"/>
        <v>0.998561651000952+0.00643412877283087i</v>
      </c>
      <c r="AA213" s="160">
        <f t="shared" si="153"/>
        <v>0.99858237960761775</v>
      </c>
      <c r="AB213" s="160">
        <f t="shared" si="154"/>
        <v>6.4433074572001654E-3</v>
      </c>
      <c r="AC213" s="171" t="str">
        <f t="shared" si="155"/>
        <v>-0.503889741023156-6.17342348122609i</v>
      </c>
      <c r="AD213" s="190">
        <f t="shared" si="156"/>
        <v>15.839359083387109</v>
      </c>
      <c r="AE213" s="169">
        <f t="shared" si="157"/>
        <v>-94.66627572709632</v>
      </c>
      <c r="AF213" s="98" t="str">
        <f t="shared" si="143"/>
        <v>-9.95024875621891E-06</v>
      </c>
      <c r="AG213" s="98" t="str">
        <f t="shared" si="144"/>
        <v>0.00560549469429147i</v>
      </c>
      <c r="AH213" s="98">
        <f t="shared" si="158"/>
        <v>5.6054946942914697E-3</v>
      </c>
      <c r="AI213" s="98">
        <f t="shared" si="159"/>
        <v>1.5707963267948966</v>
      </c>
      <c r="AJ213" s="98" t="str">
        <f t="shared" si="145"/>
        <v>1+0.0559430049899299i</v>
      </c>
      <c r="AK213" s="98">
        <f t="shared" si="160"/>
        <v>1.0015635875007156</v>
      </c>
      <c r="AL213" s="98">
        <f t="shared" si="161"/>
        <v>5.588475422036155E-2</v>
      </c>
      <c r="AM213" s="98" t="str">
        <f t="shared" si="146"/>
        <v>1+55.9989479949198i</v>
      </c>
      <c r="AN213" s="98">
        <f t="shared" si="162"/>
        <v>56.007876022375036</v>
      </c>
      <c r="AO213" s="98">
        <f t="shared" si="163"/>
        <v>1.5529407462951792</v>
      </c>
      <c r="AP213" s="168" t="str">
        <f t="shared" si="164"/>
        <v>-0.0989939672164104+0.00731310842838478i</v>
      </c>
      <c r="AQ213" s="98">
        <f t="shared" si="165"/>
        <v>-20.064188627714962</v>
      </c>
      <c r="AR213" s="169">
        <f t="shared" si="166"/>
        <v>175.77499004065749</v>
      </c>
      <c r="AS213" s="168" t="str">
        <f t="shared" si="167"/>
        <v>0.0950289597960749+0.607446681401461i</v>
      </c>
      <c r="AT213" s="190">
        <f t="shared" si="168"/>
        <v>-4.2248295443278501</v>
      </c>
      <c r="AU213" s="169">
        <f t="shared" si="169"/>
        <v>81.108714313561165</v>
      </c>
      <c r="AV213" s="225"/>
      <c r="AX213">
        <f t="shared" si="170"/>
        <v>0</v>
      </c>
      <c r="AY213">
        <f t="shared" si="171"/>
        <v>0</v>
      </c>
    </row>
    <row r="214" spans="14:51" x14ac:dyDescent="0.55000000000000004">
      <c r="N214" s="170">
        <v>96</v>
      </c>
      <c r="O214" s="199">
        <f t="shared" si="137"/>
        <v>912.01083935590987</v>
      </c>
      <c r="P214" s="189" t="str">
        <f t="shared" si="138"/>
        <v>1078.86904761905</v>
      </c>
      <c r="Q214" s="160" t="str">
        <f t="shared" si="139"/>
        <v>1+179.072909557174i</v>
      </c>
      <c r="R214" s="160">
        <f t="shared" si="147"/>
        <v>179.07570169420478</v>
      </c>
      <c r="S214" s="160">
        <f t="shared" si="148"/>
        <v>1.5652120672449754</v>
      </c>
      <c r="T214" s="160" t="str">
        <f t="shared" si="140"/>
        <v>1+0.000114606662116591i</v>
      </c>
      <c r="U214" s="160">
        <f t="shared" si="149"/>
        <v>1.0000000065673433</v>
      </c>
      <c r="V214" s="160">
        <f t="shared" si="150"/>
        <v>1.1460666161481679E-4</v>
      </c>
      <c r="W214" s="98" t="str">
        <f t="shared" si="141"/>
        <v>1-0.0828881223092036i</v>
      </c>
      <c r="X214" s="160">
        <f t="shared" si="151"/>
        <v>1.003429340222791</v>
      </c>
      <c r="Y214" s="160">
        <f t="shared" si="152"/>
        <v>-8.2699075022688848E-2</v>
      </c>
      <c r="Z214" s="98" t="str">
        <f t="shared" si="142"/>
        <v>0.998493863701036+0.00658399888466979i</v>
      </c>
      <c r="AA214" s="160">
        <f t="shared" si="153"/>
        <v>0.99851557067976482</v>
      </c>
      <c r="AB214" s="160">
        <f t="shared" si="154"/>
        <v>6.5938346770092983E-3</v>
      </c>
      <c r="AC214" s="171" t="str">
        <f t="shared" si="155"/>
        <v>-0.505514291410137-6.03315997409952i</v>
      </c>
      <c r="AD214" s="190">
        <f t="shared" si="156"/>
        <v>15.641280576785356</v>
      </c>
      <c r="AE214" s="169">
        <f t="shared" si="157"/>
        <v>-94.789585884304756</v>
      </c>
      <c r="AF214" s="98" t="str">
        <f t="shared" si="143"/>
        <v>-9.95024875621891E-06</v>
      </c>
      <c r="AG214" s="98" t="str">
        <f t="shared" si="144"/>
        <v>0.0057360634389354i</v>
      </c>
      <c r="AH214" s="98">
        <f t="shared" si="158"/>
        <v>5.7360634389353998E-3</v>
      </c>
      <c r="AI214" s="98">
        <f t="shared" si="159"/>
        <v>1.5707963267948966</v>
      </c>
      <c r="AJ214" s="98" t="str">
        <f t="shared" si="145"/>
        <v>1+0.0572460849733224i</v>
      </c>
      <c r="AK214" s="98">
        <f t="shared" si="160"/>
        <v>1.0016372168828258</v>
      </c>
      <c r="AL214" s="98">
        <f t="shared" si="161"/>
        <v>5.7183673658003295E-2</v>
      </c>
      <c r="AM214" s="98" t="str">
        <f t="shared" si="146"/>
        <v>1+57.3033310582957i</v>
      </c>
      <c r="AN214" s="98">
        <f t="shared" si="162"/>
        <v>57.312055890332857</v>
      </c>
      <c r="AO214" s="98">
        <f t="shared" si="163"/>
        <v>1.5533471054721835</v>
      </c>
      <c r="AP214" s="168" t="str">
        <f t="shared" si="164"/>
        <v>-0.0989794138499474+0.00740086641665333i</v>
      </c>
      <c r="AQ214" s="98">
        <f t="shared" si="165"/>
        <v>-20.064889454749959</v>
      </c>
      <c r="AR214" s="169">
        <f t="shared" si="166"/>
        <v>175.72385010476185</v>
      </c>
      <c r="AS214" s="168" t="str">
        <f t="shared" si="167"/>
        <v>0.0946861192951571+0.593417394156899i</v>
      </c>
      <c r="AT214" s="190">
        <f t="shared" si="168"/>
        <v>-4.4236088779646003</v>
      </c>
      <c r="AU214" s="169">
        <f t="shared" si="169"/>
        <v>80.934264220457095</v>
      </c>
      <c r="AV214" s="225"/>
      <c r="AX214">
        <f t="shared" si="170"/>
        <v>0</v>
      </c>
      <c r="AY214">
        <f t="shared" si="171"/>
        <v>0</v>
      </c>
    </row>
    <row r="215" spans="14:51" x14ac:dyDescent="0.55000000000000004">
      <c r="N215" s="170">
        <v>97</v>
      </c>
      <c r="O215" s="199">
        <f t="shared" si="137"/>
        <v>933.25430079699106</v>
      </c>
      <c r="P215" s="189" t="str">
        <f t="shared" si="138"/>
        <v>1078.86904761905</v>
      </c>
      <c r="Q215" s="160" t="str">
        <f t="shared" si="139"/>
        <v>1+183.244053457182i</v>
      </c>
      <c r="R215" s="160">
        <f t="shared" si="147"/>
        <v>183.24678203837189</v>
      </c>
      <c r="S215" s="160">
        <f t="shared" si="148"/>
        <v>1.565339177958198</v>
      </c>
      <c r="T215" s="160" t="str">
        <f t="shared" si="140"/>
        <v>1+0.000117276194212596i</v>
      </c>
      <c r="U215" s="160">
        <f t="shared" si="149"/>
        <v>1.0000000068768529</v>
      </c>
      <c r="V215" s="160">
        <f t="shared" si="150"/>
        <v>1.1727619367493525E-4</v>
      </c>
      <c r="W215" s="98" t="str">
        <f t="shared" si="141"/>
        <v>1-0.0848188347023181i</v>
      </c>
      <c r="X215" s="160">
        <f t="shared" si="151"/>
        <v>1.0035906709013687</v>
      </c>
      <c r="Y215" s="160">
        <f t="shared" si="152"/>
        <v>-8.4616306007695041E-2</v>
      </c>
      <c r="Z215" s="98" t="str">
        <f t="shared" si="142"/>
        <v>0.998422881684099+0.0067373599198669i</v>
      </c>
      <c r="AA215" s="160">
        <f t="shared" si="153"/>
        <v>0.99844561328550607</v>
      </c>
      <c r="AB215" s="160">
        <f t="shared" si="154"/>
        <v>6.7478998960839717E-3</v>
      </c>
      <c r="AC215" s="171" t="str">
        <f t="shared" si="155"/>
        <v>-0.507069260364055-5.89609454268117i</v>
      </c>
      <c r="AD215" s="190">
        <f t="shared" si="156"/>
        <v>15.443291640748759</v>
      </c>
      <c r="AE215" s="169">
        <f t="shared" si="157"/>
        <v>-94.915392369398262</v>
      </c>
      <c r="AF215" s="98" t="str">
        <f t="shared" si="143"/>
        <v>-9.95024875621891E-06</v>
      </c>
      <c r="AG215" s="98" t="str">
        <f t="shared" si="144"/>
        <v>0.00586967352034044i</v>
      </c>
      <c r="AH215" s="98">
        <f t="shared" si="158"/>
        <v>5.8696735203404397E-3</v>
      </c>
      <c r="AI215" s="98">
        <f t="shared" si="159"/>
        <v>1.5707963267948966</v>
      </c>
      <c r="AJ215" s="98" t="str">
        <f t="shared" si="145"/>
        <v>1+0.0585795175887094i</v>
      </c>
      <c r="AK215" s="98">
        <f t="shared" si="160"/>
        <v>1.0017143105102002</v>
      </c>
      <c r="AL215" s="98">
        <f t="shared" si="161"/>
        <v>5.8512648839146558E-2</v>
      </c>
      <c r="AM215" s="98" t="str">
        <f t="shared" si="146"/>
        <v>1+58.6380971062981i</v>
      </c>
      <c r="AN215" s="98">
        <f t="shared" si="162"/>
        <v>58.646623366120963</v>
      </c>
      <c r="AO215" s="98">
        <f t="shared" si="163"/>
        <v>1.5537442203540883</v>
      </c>
      <c r="AP215" s="168" t="str">
        <f t="shared" si="164"/>
        <v>-0.098964179190057+0.00749247016228368i</v>
      </c>
      <c r="AQ215" s="98">
        <f t="shared" si="165"/>
        <v>-20.065617469781007</v>
      </c>
      <c r="AR215" s="169">
        <f t="shared" si="166"/>
        <v>175.67045844251967</v>
      </c>
      <c r="AS215" s="168" t="str">
        <f t="shared" si="167"/>
        <v>0.0943580055794803+0.579702955539927i</v>
      </c>
      <c r="AT215" s="190">
        <f t="shared" si="168"/>
        <v>-4.6223258290322553</v>
      </c>
      <c r="AU215" s="169">
        <f t="shared" si="169"/>
        <v>80.755066073121412</v>
      </c>
      <c r="AV215" s="225"/>
      <c r="AX215">
        <f t="shared" si="170"/>
        <v>0</v>
      </c>
      <c r="AY215">
        <f t="shared" si="171"/>
        <v>0</v>
      </c>
    </row>
    <row r="216" spans="14:51" x14ac:dyDescent="0.55000000000000004">
      <c r="N216" s="170">
        <v>98</v>
      </c>
      <c r="O216" s="199">
        <f t="shared" si="137"/>
        <v>954.99258602143675</v>
      </c>
      <c r="P216" s="189" t="str">
        <f t="shared" si="138"/>
        <v>1078.86904761905</v>
      </c>
      <c r="Q216" s="160" t="str">
        <f t="shared" si="139"/>
        <v>1+187.512355779854i</v>
      </c>
      <c r="R216" s="160">
        <f t="shared" si="147"/>
        <v>187.51502225184666</v>
      </c>
      <c r="S216" s="160">
        <f t="shared" si="148"/>
        <v>1.5654633954487416</v>
      </c>
      <c r="T216" s="160" t="str">
        <f t="shared" si="140"/>
        <v>1+0.000120007907699107i</v>
      </c>
      <c r="U216" s="160">
        <f t="shared" si="149"/>
        <v>1.0000000072009489</v>
      </c>
      <c r="V216" s="160">
        <f t="shared" si="150"/>
        <v>1.2000790712299313E-4</v>
      </c>
      <c r="W216" s="98" t="str">
        <f t="shared" si="141"/>
        <v>1-0.0867945191643019i</v>
      </c>
      <c r="X216" s="160">
        <f t="shared" si="151"/>
        <v>1.0037595770686139</v>
      </c>
      <c r="Y216" s="160">
        <f t="shared" si="152"/>
        <v>-8.6577549633649747E-2</v>
      </c>
      <c r="Z216" s="98" t="str">
        <f t="shared" si="142"/>
        <v>0.998348554387767+0.00689429319247303i</v>
      </c>
      <c r="AA216" s="160">
        <f t="shared" si="153"/>
        <v>0.99837235905586252</v>
      </c>
      <c r="AB216" s="160">
        <f t="shared" si="154"/>
        <v>6.9055878050902665E-3</v>
      </c>
      <c r="AC216" s="171" t="str">
        <f t="shared" si="155"/>
        <v>-0.508557946395114-5.76215456715166i</v>
      </c>
      <c r="AD216" s="190">
        <f t="shared" si="156"/>
        <v>15.245396484935343</v>
      </c>
      <c r="AE216" s="169">
        <f t="shared" si="157"/>
        <v>-95.043758825727181</v>
      </c>
      <c r="AF216" s="98" t="str">
        <f t="shared" si="143"/>
        <v>-9.95024875621891E-06</v>
      </c>
      <c r="AG216" s="98" t="str">
        <f t="shared" si="144"/>
        <v>0.00600639578034028i</v>
      </c>
      <c r="AH216" s="98">
        <f t="shared" si="158"/>
        <v>6.0063957803402797E-3</v>
      </c>
      <c r="AI216" s="98">
        <f t="shared" si="159"/>
        <v>1.5707963267948966</v>
      </c>
      <c r="AJ216" s="98" t="str">
        <f t="shared" si="145"/>
        <v>1+0.0599440098397136i</v>
      </c>
      <c r="AK216" s="98">
        <f t="shared" si="160"/>
        <v>1.0017950310895256</v>
      </c>
      <c r="AL216" s="98">
        <f t="shared" si="161"/>
        <v>5.9872365615779313E-2</v>
      </c>
      <c r="AM216" s="98" t="str">
        <f t="shared" si="146"/>
        <v>1+60.0039538495533i</v>
      </c>
      <c r="AN216" s="98">
        <f t="shared" si="162"/>
        <v>60.012286055268063</v>
      </c>
      <c r="AO216" s="98">
        <f t="shared" si="163"/>
        <v>1.5541323009951724</v>
      </c>
      <c r="AP216" s="168" t="str">
        <f t="shared" si="164"/>
        <v>-0.0989482315684569+0.00758796267501717i</v>
      </c>
      <c r="AQ216" s="98">
        <f t="shared" si="165"/>
        <v>-20.066374202713071</v>
      </c>
      <c r="AR216" s="169">
        <f t="shared" si="166"/>
        <v>175.61478779273034</v>
      </c>
      <c r="AS216" s="168" t="str">
        <f t="shared" si="167"/>
        <v>0.0940439232291091+0.566296085728434i</v>
      </c>
      <c r="AT216" s="190">
        <f t="shared" si="168"/>
        <v>-4.8209777177777342</v>
      </c>
      <c r="AU216" s="169">
        <f t="shared" si="169"/>
        <v>80.571028967003173</v>
      </c>
      <c r="AV216" s="225"/>
      <c r="AX216">
        <f t="shared" si="170"/>
        <v>0</v>
      </c>
      <c r="AY216">
        <f t="shared" si="171"/>
        <v>0</v>
      </c>
    </row>
    <row r="217" spans="14:51" x14ac:dyDescent="0.55000000000000004">
      <c r="N217" s="170">
        <v>99</v>
      </c>
      <c r="O217" s="199">
        <f t="shared" si="137"/>
        <v>977.23722095581138</v>
      </c>
      <c r="P217" s="189" t="str">
        <f t="shared" si="138"/>
        <v>1078.86904761905</v>
      </c>
      <c r="Q217" s="160" t="str">
        <f t="shared" si="139"/>
        <v>1+191.88007963558i</v>
      </c>
      <c r="R217" s="160">
        <f t="shared" si="147"/>
        <v>191.88268541209371</v>
      </c>
      <c r="S217" s="160">
        <f t="shared" si="148"/>
        <v>1.5655847855630216</v>
      </c>
      <c r="T217" s="160" t="str">
        <f t="shared" si="140"/>
        <v>1+0.000122803250966771i</v>
      </c>
      <c r="U217" s="160">
        <f t="shared" si="149"/>
        <v>1.0000000075403193</v>
      </c>
      <c r="V217" s="160">
        <f t="shared" si="150"/>
        <v>1.2280325034945386E-4</v>
      </c>
      <c r="W217" s="98" t="str">
        <f t="shared" si="141"/>
        <v>1-0.0888162232292078i</v>
      </c>
      <c r="X217" s="160">
        <f t="shared" si="151"/>
        <v>1.0039364130803805</v>
      </c>
      <c r="Y217" s="160">
        <f t="shared" si="152"/>
        <v>-8.8583785393352182E-2</v>
      </c>
      <c r="Z217" s="98" t="str">
        <f t="shared" si="142"/>
        <v>0.998270724153877+0.00705488191058656i</v>
      </c>
      <c r="AA217" s="160">
        <f t="shared" si="153"/>
        <v>0.99829565263076159</v>
      </c>
      <c r="AB217" s="160">
        <f t="shared" si="154"/>
        <v>7.0669852314312843E-3</v>
      </c>
      <c r="AC217" s="171" t="str">
        <f t="shared" si="155"/>
        <v>-0.50998350754778-5.63126908135797i</v>
      </c>
      <c r="AD217" s="190">
        <f t="shared" si="156"/>
        <v>15.04759951257412</v>
      </c>
      <c r="AE217" s="169">
        <f t="shared" si="157"/>
        <v>-95.174750038673636</v>
      </c>
      <c r="AF217" s="98" t="str">
        <f t="shared" si="143"/>
        <v>-9.95024875621891E-06</v>
      </c>
      <c r="AG217" s="98" t="str">
        <f t="shared" si="144"/>
        <v>0.00614630271088691i</v>
      </c>
      <c r="AH217" s="98">
        <f t="shared" si="158"/>
        <v>6.1463027108869103E-3</v>
      </c>
      <c r="AI217" s="98">
        <f t="shared" si="159"/>
        <v>1.5707963267948966</v>
      </c>
      <c r="AJ217" s="98" t="str">
        <f t="shared" si="145"/>
        <v>1+0.0613402851981875i</v>
      </c>
      <c r="AK217" s="98">
        <f t="shared" si="160"/>
        <v>1.0018795489419849</v>
      </c>
      <c r="AL217" s="98">
        <f t="shared" si="161"/>
        <v>6.1263524805288336E-2</v>
      </c>
      <c r="AM217" s="98" t="str">
        <f t="shared" si="146"/>
        <v>1+61.4016254833857i</v>
      </c>
      <c r="AN217" s="98">
        <f t="shared" si="162"/>
        <v>61.409768050383967</v>
      </c>
      <c r="AO217" s="98">
        <f t="shared" si="163"/>
        <v>1.5545115526930802</v>
      </c>
      <c r="AP217" s="168" t="str">
        <f t="shared" si="164"/>
        <v>-0.0989315378665006+0.00768738863354051i</v>
      </c>
      <c r="AQ217" s="98">
        <f t="shared" si="165"/>
        <v>-20.06716124301218</v>
      </c>
      <c r="AR217" s="169">
        <f t="shared" si="166"/>
        <v>175.5568097642039</v>
      </c>
      <c r="AS217" s="168" t="str">
        <f t="shared" si="167"/>
        <v>0.0937432066166934+0.553189668939604i</v>
      </c>
      <c r="AT217" s="190">
        <f t="shared" si="168"/>
        <v>-5.0195617304380633</v>
      </c>
      <c r="AU217" s="169">
        <f t="shared" si="169"/>
        <v>80.382059725530269</v>
      </c>
      <c r="AV217" s="225"/>
      <c r="AX217">
        <f t="shared" si="170"/>
        <v>0</v>
      </c>
      <c r="AY217">
        <f t="shared" si="171"/>
        <v>0</v>
      </c>
    </row>
    <row r="218" spans="14:51" x14ac:dyDescent="0.55000000000000004">
      <c r="N218" s="170">
        <v>100</v>
      </c>
      <c r="O218" s="199">
        <f t="shared" si="137"/>
        <v>1000</v>
      </c>
      <c r="P218" s="189" t="str">
        <f t="shared" si="138"/>
        <v>1078.86904761905</v>
      </c>
      <c r="Q218" s="160" t="str">
        <f t="shared" si="139"/>
        <v>1+196.349540849362i</v>
      </c>
      <c r="R218" s="160">
        <f t="shared" si="147"/>
        <v>196.3520873119389</v>
      </c>
      <c r="S218" s="160">
        <f t="shared" si="148"/>
        <v>1.5657034126493656</v>
      </c>
      <c r="T218" s="160" t="str">
        <f t="shared" si="140"/>
        <v>1+0.000125663706143592i</v>
      </c>
      <c r="U218" s="160">
        <f t="shared" si="149"/>
        <v>1.0000000078956834</v>
      </c>
      <c r="V218" s="160">
        <f t="shared" si="150"/>
        <v>1.2566370548212479E-4</v>
      </c>
      <c r="W218" s="98" t="str">
        <f t="shared" si="141"/>
        <v>1-0.0908850188312914i</v>
      </c>
      <c r="X218" s="160">
        <f t="shared" si="151"/>
        <v>1.0041215497378613</v>
      </c>
      <c r="Y218" s="160">
        <f t="shared" si="152"/>
        <v>-9.0636012383244549E-2</v>
      </c>
      <c r="Z218" s="98" t="str">
        <f t="shared" si="142"/>
        <v>0.99818922589407+0.00721921122047148i</v>
      </c>
      <c r="AA218" s="160">
        <f t="shared" si="153"/>
        <v>0.99821533132969276</v>
      </c>
      <c r="AB218" s="160">
        <f t="shared" si="154"/>
        <v>7.2321812008686289E-3</v>
      </c>
      <c r="AC218" s="171" t="str">
        <f t="shared" si="155"/>
        <v>-0.511348968102407-5.50336873542754i</v>
      </c>
      <c r="AD218" s="190">
        <f t="shared" si="156"/>
        <v>14.849905329297526</v>
      </c>
      <c r="AE218" s="169">
        <f t="shared" si="157"/>
        <v>-95.308431955015521</v>
      </c>
      <c r="AF218" s="98" t="str">
        <f t="shared" si="143"/>
        <v>-9.95024875621891E-06</v>
      </c>
      <c r="AG218" s="98" t="str">
        <f t="shared" si="144"/>
        <v>0.00628946849248677i</v>
      </c>
      <c r="AH218" s="98">
        <f t="shared" si="158"/>
        <v>6.2894684924867704E-3</v>
      </c>
      <c r="AI218" s="98">
        <f t="shared" si="159"/>
        <v>1.5707963267948966</v>
      </c>
      <c r="AJ218" s="98" t="str">
        <f t="shared" si="145"/>
        <v>1+0.0627690839878081i</v>
      </c>
      <c r="AK218" s="98">
        <f t="shared" si="160"/>
        <v>1.0019680423569748</v>
      </c>
      <c r="AL218" s="98">
        <f t="shared" si="161"/>
        <v>6.2686842467775727E-2</v>
      </c>
      <c r="AM218" s="98" t="str">
        <f t="shared" si="146"/>
        <v>1+62.8318530717959i</v>
      </c>
      <c r="AN218" s="98">
        <f t="shared" si="162"/>
        <v>62.839810315084087</v>
      </c>
      <c r="AO218" s="98">
        <f t="shared" si="163"/>
        <v>1.5548821760954434</v>
      </c>
      <c r="AP218" s="168" t="str">
        <f t="shared" si="164"/>
        <v>-0.0989140634508383+0.00779079438164195i</v>
      </c>
      <c r="AQ218" s="98">
        <f t="shared" si="165"/>
        <v>-20.067980242945296</v>
      </c>
      <c r="AR218" s="169">
        <f t="shared" si="166"/>
        <v>175.49649482598119</v>
      </c>
      <c r="AS218" s="168" t="str">
        <f t="shared" si="167"/>
        <v>0.093455218500475+0.540376749621689i</v>
      </c>
      <c r="AT218" s="190">
        <f t="shared" si="168"/>
        <v>-5.2180749136477669</v>
      </c>
      <c r="AU218" s="169">
        <f t="shared" si="169"/>
        <v>80.188062870965652</v>
      </c>
      <c r="AV218" s="225"/>
      <c r="AX218">
        <f t="shared" si="170"/>
        <v>0</v>
      </c>
      <c r="AY218">
        <f t="shared" si="171"/>
        <v>0</v>
      </c>
    </row>
    <row r="219" spans="14:51" x14ac:dyDescent="0.55000000000000004">
      <c r="N219" s="170">
        <v>1</v>
      </c>
      <c r="O219" s="199">
        <f>10^(3+(N219/100))</f>
        <v>1023.2929922807547</v>
      </c>
      <c r="P219" s="189" t="str">
        <f t="shared" si="138"/>
        <v>1078.86904761905</v>
      </c>
      <c r="Q219" s="160" t="str">
        <f t="shared" si="139"/>
        <v>1+200.923109188696i</v>
      </c>
      <c r="R219" s="160">
        <f t="shared" si="147"/>
        <v>200.92559768743419</v>
      </c>
      <c r="S219" s="160">
        <f t="shared" si="148"/>
        <v>1.5658193395920623</v>
      </c>
      <c r="T219" s="160" t="str">
        <f t="shared" si="140"/>
        <v>1+0.000128590789880765i</v>
      </c>
      <c r="U219" s="160">
        <f t="shared" si="149"/>
        <v>1.0000000082677956</v>
      </c>
      <c r="V219" s="160">
        <f t="shared" si="150"/>
        <v>1.2859078917199009E-4</v>
      </c>
      <c r="W219" s="98" t="str">
        <f t="shared" si="141"/>
        <v>1-0.0930020028733648i</v>
      </c>
      <c r="X219" s="160">
        <f t="shared" si="151"/>
        <v>1.0043153750383678</v>
      </c>
      <c r="Y219" s="160">
        <f t="shared" si="152"/>
        <v>-9.2735249537116093E-2</v>
      </c>
      <c r="Z219" s="98" t="str">
        <f t="shared" si="142"/>
        <v>0.998103886739609+0.00738736825170305i</v>
      </c>
      <c r="AA219" s="160">
        <f t="shared" si="153"/>
        <v>0.99813122480683902</v>
      </c>
      <c r="AB219" s="160">
        <f t="shared" si="154"/>
        <v>7.4012670014414151E-3</v>
      </c>
      <c r="AC219" s="171" t="str">
        <f t="shared" si="155"/>
        <v>-0.512657224994205-5.37838575922405i</v>
      </c>
      <c r="AD219" s="190">
        <f t="shared" si="156"/>
        <v>14.652318752355907</v>
      </c>
      <c r="AE219" s="169">
        <f t="shared" si="157"/>
        <v>-95.444871701884495</v>
      </c>
      <c r="AF219" s="98" t="str">
        <f t="shared" si="143"/>
        <v>-9.95024875621891E-06</v>
      </c>
      <c r="AG219" s="98" t="str">
        <f t="shared" si="144"/>
        <v>0.00643596903353231i</v>
      </c>
      <c r="AH219" s="98">
        <f t="shared" si="158"/>
        <v>6.4359690335323103E-3</v>
      </c>
      <c r="AI219" s="98">
        <f t="shared" si="159"/>
        <v>1.5707963267948966</v>
      </c>
      <c r="AJ219" s="98" t="str">
        <f t="shared" si="145"/>
        <v>1+0.0642311637766061i</v>
      </c>
      <c r="AK219" s="98">
        <f t="shared" si="160"/>
        <v>1.0020606979620033</v>
      </c>
      <c r="AL219" s="98">
        <f t="shared" si="161"/>
        <v>6.4143050184854666E-2</v>
      </c>
      <c r="AM219" s="98" t="str">
        <f t="shared" si="146"/>
        <v>1+64.2953949403827i</v>
      </c>
      <c r="AN219" s="98">
        <f t="shared" si="162"/>
        <v>64.303171076858959</v>
      </c>
      <c r="AO219" s="98">
        <f t="shared" si="163"/>
        <v>1.5552443673041869</v>
      </c>
      <c r="AP219" s="168" t="str">
        <f t="shared" si="164"/>
        <v>-0.0988957721064217+0.00789822792334938i</v>
      </c>
      <c r="AQ219" s="98">
        <f t="shared" si="165"/>
        <v>-20.068832920941354</v>
      </c>
      <c r="AR219" s="169">
        <f t="shared" si="166"/>
        <v>175.43381229733589</v>
      </c>
      <c r="AS219" s="168" t="str">
        <f t="shared" si="167"/>
        <v>0.0931793486777855+0.527850528735089i</v>
      </c>
      <c r="AT219" s="190">
        <f t="shared" si="168"/>
        <v>-5.4165141685854508</v>
      </c>
      <c r="AU219" s="169">
        <f t="shared" si="169"/>
        <v>79.988940595451396</v>
      </c>
      <c r="AV219" s="225"/>
      <c r="AX219">
        <f t="shared" si="170"/>
        <v>0</v>
      </c>
      <c r="AY219">
        <f t="shared" si="171"/>
        <v>0</v>
      </c>
    </row>
    <row r="220" spans="14:51" x14ac:dyDescent="0.55000000000000004">
      <c r="N220" s="170">
        <v>2</v>
      </c>
      <c r="O220" s="199">
        <f t="shared" ref="O220:O283" si="172">10^(3+(N220/100))</f>
        <v>1047.1285480509</v>
      </c>
      <c r="P220" s="189" t="str">
        <f t="shared" si="138"/>
        <v>1078.86904761905</v>
      </c>
      <c r="Q220" s="160" t="str">
        <f t="shared" si="139"/>
        <v>1+205.603209620053i</v>
      </c>
      <c r="R220" s="160">
        <f t="shared" si="147"/>
        <v>205.60564147432203</v>
      </c>
      <c r="S220" s="160">
        <f t="shared" si="148"/>
        <v>1.5659326278446402</v>
      </c>
      <c r="T220" s="160" t="str">
        <f t="shared" si="140"/>
        <v>1+0.000131586054156834i</v>
      </c>
      <c r="U220" s="160">
        <f t="shared" si="149"/>
        <v>1.0000000086574448</v>
      </c>
      <c r="V220" s="160">
        <f t="shared" si="150"/>
        <v>1.3158605339736799E-4</v>
      </c>
      <c r="W220" s="98" t="str">
        <f t="shared" si="141"/>
        <v>1-0.0951682978083888i</v>
      </c>
      <c r="X220" s="160">
        <f t="shared" si="151"/>
        <v>1.0045182949592038</v>
      </c>
      <c r="Y220" s="160">
        <f t="shared" si="152"/>
        <v>-9.4882535850117675E-2</v>
      </c>
      <c r="Z220" s="98" t="str">
        <f t="shared" si="142"/>
        <v>0.998014525674707+0.00755944216336506i</v>
      </c>
      <c r="AA220" s="160">
        <f t="shared" si="153"/>
        <v>0.99804315468998228</v>
      </c>
      <c r="AB220" s="160">
        <f t="shared" si="154"/>
        <v>7.5743362497996056E-3</v>
      </c>
      <c r="AC220" s="171" t="str">
        <f t="shared" si="155"/>
        <v>-0.513911053963305-5.25625392662615i</v>
      </c>
      <c r="AD220" s="190">
        <f t="shared" si="156"/>
        <v>14.454844820228523</v>
      </c>
      <c r="AE220" s="169">
        <f t="shared" si="157"/>
        <v>-95.584137605262555</v>
      </c>
      <c r="AF220" s="98" t="str">
        <f t="shared" si="143"/>
        <v>-9.95024875621891E-06</v>
      </c>
      <c r="AG220" s="98" t="str">
        <f t="shared" si="144"/>
        <v>0.00658588201054955i</v>
      </c>
      <c r="AH220" s="98">
        <f t="shared" si="158"/>
        <v>6.5858820105495503E-3</v>
      </c>
      <c r="AI220" s="98">
        <f t="shared" si="159"/>
        <v>1.5707963267948966</v>
      </c>
      <c r="AJ220" s="98" t="str">
        <f t="shared" si="145"/>
        <v>1+0.0657272997786385i</v>
      </c>
      <c r="AK220" s="98">
        <f t="shared" si="160"/>
        <v>1.0021577111094795</v>
      </c>
      <c r="AL220" s="98">
        <f t="shared" si="161"/>
        <v>6.5632895339617539E-2</v>
      </c>
      <c r="AM220" s="98" t="str">
        <f t="shared" si="146"/>
        <v>1+65.7930270784171i</v>
      </c>
      <c r="AN220" s="98">
        <f t="shared" si="162"/>
        <v>65.800626229096977</v>
      </c>
      <c r="AO220" s="98">
        <f t="shared" si="163"/>
        <v>1.5555983179775601</v>
      </c>
      <c r="AP220" s="168" t="str">
        <f t="shared" si="164"/>
        <v>-0.0988766259667703+0.00800973891692065i</v>
      </c>
      <c r="AQ220" s="98">
        <f t="shared" si="165"/>
        <v>-20.06972106507876</v>
      </c>
      <c r="AR220" s="169">
        <f t="shared" si="166"/>
        <v>175.36873033758005</v>
      </c>
      <c r="AS220" s="168" t="str">
        <f t="shared" si="167"/>
        <v>0.0929150126962329+0.515604360120616i</v>
      </c>
      <c r="AT220" s="190">
        <f t="shared" si="168"/>
        <v>-5.6148762448502376</v>
      </c>
      <c r="AU220" s="169">
        <f t="shared" si="169"/>
        <v>79.78459273231752</v>
      </c>
      <c r="AV220" s="225"/>
      <c r="AX220">
        <f t="shared" si="170"/>
        <v>0</v>
      </c>
      <c r="AY220">
        <f t="shared" si="171"/>
        <v>0</v>
      </c>
    </row>
    <row r="221" spans="14:51" x14ac:dyDescent="0.55000000000000004">
      <c r="N221" s="170">
        <v>3</v>
      </c>
      <c r="O221" s="199">
        <f t="shared" si="172"/>
        <v>1071.5193052376069</v>
      </c>
      <c r="P221" s="189" t="str">
        <f t="shared" si="138"/>
        <v>1078.86904761905</v>
      </c>
      <c r="Q221" s="160" t="str">
        <f t="shared" si="139"/>
        <v>1+210.392323594632i</v>
      </c>
      <c r="R221" s="160">
        <f t="shared" si="147"/>
        <v>210.3947000937722</v>
      </c>
      <c r="S221" s="160">
        <f t="shared" si="148"/>
        <v>1.5660433374623921</v>
      </c>
      <c r="T221" s="160" t="str">
        <f t="shared" si="140"/>
        <v>1+0.000134651087100564i</v>
      </c>
      <c r="U221" s="160">
        <f t="shared" si="149"/>
        <v>1.0000000090654575</v>
      </c>
      <c r="V221" s="160">
        <f t="shared" si="150"/>
        <v>1.3465108628678152E-4</v>
      </c>
      <c r="W221" s="98" t="str">
        <f t="shared" si="141"/>
        <v>1-0.0973850522346121i</v>
      </c>
      <c r="X221" s="160">
        <f t="shared" si="151"/>
        <v>1.0047307342759741</v>
      </c>
      <c r="Y221" s="160">
        <f t="shared" si="152"/>
        <v>-9.7078930591875029E-2</v>
      </c>
      <c r="Z221" s="98" t="str">
        <f t="shared" si="142"/>
        <v>0.997920953152563+0.00773552419132313i</v>
      </c>
      <c r="AA221" s="160">
        <f t="shared" si="153"/>
        <v>0.99795093420239589</v>
      </c>
      <c r="AB221" s="160">
        <f t="shared" si="154"/>
        <v>7.7514849600762411E-3</v>
      </c>
      <c r="AC221" s="171" t="str">
        <f t="shared" si="155"/>
        <v>-0.515113115448948-5.13690852061139i</v>
      </c>
      <c r="AD221" s="190">
        <f t="shared" si="156"/>
        <v>14.257488802646879</v>
      </c>
      <c r="AE221" s="169">
        <f t="shared" si="157"/>
        <v>-95.726299207955094</v>
      </c>
      <c r="AF221" s="98" t="str">
        <f t="shared" si="143"/>
        <v>-9.95024875621891E-06</v>
      </c>
      <c r="AG221" s="98" t="str">
        <f t="shared" si="144"/>
        <v>0.00673928690938324i</v>
      </c>
      <c r="AH221" s="98">
        <f t="shared" si="158"/>
        <v>6.7392869093832403E-3</v>
      </c>
      <c r="AI221" s="98">
        <f t="shared" si="159"/>
        <v>1.5707963267948966</v>
      </c>
      <c r="AJ221" s="98" t="str">
        <f t="shared" si="145"/>
        <v>1+0.0672582852650171i</v>
      </c>
      <c r="AK221" s="98">
        <f t="shared" si="160"/>
        <v>1.0022592862811452</v>
      </c>
      <c r="AL221" s="98">
        <f t="shared" si="161"/>
        <v>6.7157141397438516E-2</v>
      </c>
      <c r="AM221" s="98" t="str">
        <f t="shared" si="146"/>
        <v>1+67.3255435502821i</v>
      </c>
      <c r="AN221" s="98">
        <f t="shared" si="162"/>
        <v>67.332969742474106</v>
      </c>
      <c r="AO221" s="98">
        <f t="shared" si="163"/>
        <v>1.555944215429945</v>
      </c>
      <c r="AP221" s="168" t="str">
        <f t="shared" si="164"/>
        <v>-0.0988565854414032+0.00812537866754671i</v>
      </c>
      <c r="AQ221" s="98">
        <f t="shared" si="165"/>
        <v>-20.070646536705961</v>
      </c>
      <c r="AR221" s="169">
        <f t="shared" si="166"/>
        <v>175.30121593569345</v>
      </c>
      <c r="AS221" s="168" t="str">
        <f t="shared" si="167"/>
        <v>0.092661650619881+0.50363174695285i</v>
      </c>
      <c r="AT221" s="190">
        <f t="shared" si="168"/>
        <v>-5.813157734059077</v>
      </c>
      <c r="AU221" s="169">
        <f t="shared" si="169"/>
        <v>79.574916727738383</v>
      </c>
      <c r="AV221" s="225"/>
      <c r="AX221">
        <f t="shared" si="170"/>
        <v>0</v>
      </c>
      <c r="AY221">
        <f t="shared" si="171"/>
        <v>0</v>
      </c>
    </row>
    <row r="222" spans="14:51" x14ac:dyDescent="0.55000000000000004">
      <c r="N222" s="170">
        <v>4</v>
      </c>
      <c r="O222" s="199">
        <f t="shared" si="172"/>
        <v>1096.4781961431863</v>
      </c>
      <c r="P222" s="189" t="str">
        <f t="shared" si="138"/>
        <v>1078.86904761905</v>
      </c>
      <c r="Q222" s="160" t="str">
        <f t="shared" si="139"/>
        <v>1+215.292990364051i</v>
      </c>
      <c r="R222" s="160">
        <f t="shared" si="147"/>
        <v>215.29531276805668</v>
      </c>
      <c r="S222" s="160">
        <f t="shared" si="148"/>
        <v>1.5661515271341611</v>
      </c>
      <c r="T222" s="160" t="str">
        <f t="shared" si="140"/>
        <v>1+0.000137787513832993i</v>
      </c>
      <c r="U222" s="160">
        <f t="shared" si="149"/>
        <v>1.0000000094926995</v>
      </c>
      <c r="V222" s="160">
        <f t="shared" si="150"/>
        <v>1.3778751296100936E-4</v>
      </c>
      <c r="W222" s="98" t="str">
        <f t="shared" si="141"/>
        <v>1-0.0996534415045738i</v>
      </c>
      <c r="X222" s="160">
        <f t="shared" si="151"/>
        <v>1.0049531374167182</v>
      </c>
      <c r="Y222" s="160">
        <f t="shared" si="152"/>
        <v>-9.9325513507402194E-2</v>
      </c>
      <c r="Z222" s="98" t="str">
        <f t="shared" si="142"/>
        <v>0.997822970693314+0.00791570769659921i</v>
      </c>
      <c r="AA222" s="160">
        <f t="shared" si="153"/>
        <v>0.99785436776694436</v>
      </c>
      <c r="AB222" s="160">
        <f t="shared" si="154"/>
        <v>7.9328116154309836E-3</v>
      </c>
      <c r="AC222" s="171" t="str">
        <f t="shared" si="155"/>
        <v>-0.51626596024037-5.02028629912824i</v>
      </c>
      <c r="AD222" s="190">
        <f t="shared" si="156"/>
        <v>14.060256211047232</v>
      </c>
      <c r="AE222" s="169">
        <f t="shared" si="157"/>
        <v>-95.871427286974097</v>
      </c>
      <c r="AF222" s="98" t="str">
        <f t="shared" si="143"/>
        <v>-9.95024875621891E-06</v>
      </c>
      <c r="AG222" s="98" t="str">
        <f t="shared" si="144"/>
        <v>0.0068962650673413i</v>
      </c>
      <c r="AH222" s="98">
        <f t="shared" si="158"/>
        <v>6.8962650673412996E-3</v>
      </c>
      <c r="AI222" s="98">
        <f t="shared" si="159"/>
        <v>1.5707963267948966</v>
      </c>
      <c r="AJ222" s="98" t="str">
        <f t="shared" si="145"/>
        <v>1+0.0688249319845119i</v>
      </c>
      <c r="AK222" s="98">
        <f t="shared" si="160"/>
        <v>1.0023656375109198</v>
      </c>
      <c r="AL222" s="98">
        <f t="shared" si="161"/>
        <v>6.8716568187242269E-2</v>
      </c>
      <c r="AM222" s="98" t="str">
        <f t="shared" si="146"/>
        <v>1+68.8937569164964i</v>
      </c>
      <c r="AN222" s="98">
        <f t="shared" si="162"/>
        <v>68.901014085928338</v>
      </c>
      <c r="AO222" s="98">
        <f t="shared" si="163"/>
        <v>1.55628224272948</v>
      </c>
      <c r="AP222" s="168" t="str">
        <f t="shared" si="164"/>
        <v>-0.0988356091403486+0.00824520011861956i</v>
      </c>
      <c r="AQ222" s="98">
        <f t="shared" si="165"/>
        <v>-20.071611274201018</v>
      </c>
      <c r="AR222" s="169">
        <f t="shared" si="166"/>
        <v>175.23123489980162</v>
      </c>
      <c r="AS222" s="168" t="str">
        <f t="shared" si="167"/>
        <v>0.0924187258478603+0.491926338276673i</v>
      </c>
      <c r="AT222" s="190">
        <f t="shared" si="168"/>
        <v>-6.0113550631537871</v>
      </c>
      <c r="AU222" s="169">
        <f t="shared" si="169"/>
        <v>79.359807612827552</v>
      </c>
      <c r="AV222" s="225"/>
      <c r="AX222">
        <f t="shared" si="170"/>
        <v>0</v>
      </c>
      <c r="AY222">
        <f t="shared" si="171"/>
        <v>0</v>
      </c>
    </row>
    <row r="223" spans="14:51" x14ac:dyDescent="0.55000000000000004">
      <c r="N223" s="170">
        <v>5</v>
      </c>
      <c r="O223" s="199">
        <f t="shared" si="172"/>
        <v>1122.0184543019636</v>
      </c>
      <c r="P223" s="189" t="str">
        <f t="shared" si="138"/>
        <v>1078.86904761905</v>
      </c>
      <c r="Q223" s="160" t="str">
        <f t="shared" si="139"/>
        <v>1+220.307808326702i</v>
      </c>
      <c r="R223" s="160">
        <f t="shared" si="147"/>
        <v>220.31007786688937</v>
      </c>
      <c r="S223" s="160">
        <f t="shared" si="148"/>
        <v>1.5662572542134063</v>
      </c>
      <c r="T223" s="160" t="str">
        <f t="shared" si="140"/>
        <v>1+0.000140996997329089i</v>
      </c>
      <c r="U223" s="160">
        <f t="shared" si="149"/>
        <v>1.0000000099400765</v>
      </c>
      <c r="V223" s="160">
        <f t="shared" si="150"/>
        <v>1.409969963947417E-4</v>
      </c>
      <c r="W223" s="98" t="str">
        <f t="shared" si="141"/>
        <v>1-0.10197466834829i</v>
      </c>
      <c r="X223" s="160">
        <f t="shared" si="151"/>
        <v>1.0051859693533052</v>
      </c>
      <c r="Y223" s="160">
        <f t="shared" si="152"/>
        <v>-0.1016233850044209</v>
      </c>
      <c r="Z223" s="98" t="str">
        <f t="shared" si="142"/>
        <v>0.997720370463026+0.0081000882148728i</v>
      </c>
      <c r="AA223" s="160">
        <f t="shared" si="153"/>
        <v>0.99775325059153108</v>
      </c>
      <c r="AB223" s="160">
        <f t="shared" si="154"/>
        <v>8.118417242406091E-3</v>
      </c>
      <c r="AC223" s="171" t="str">
        <f t="shared" si="155"/>
        <v>-0.517372034896453-4.90632546173777i</v>
      </c>
      <c r="AD223" s="190">
        <f t="shared" si="156"/>
        <v>13.863152809466701</v>
      </c>
      <c r="AE223" s="169">
        <f t="shared" si="157"/>
        <v>-96.019593870262156</v>
      </c>
      <c r="AF223" s="98" t="str">
        <f t="shared" si="143"/>
        <v>-9.95024875621891E-06</v>
      </c>
      <c r="AG223" s="98" t="str">
        <f t="shared" si="144"/>
        <v>0.0070568997163209i</v>
      </c>
      <c r="AH223" s="98">
        <f t="shared" si="158"/>
        <v>7.0568997163209003E-3</v>
      </c>
      <c r="AI223" s="98">
        <f t="shared" si="159"/>
        <v>1.5707963267948966</v>
      </c>
      <c r="AJ223" s="98" t="str">
        <f t="shared" si="145"/>
        <v>1+0.0704280705939506i</v>
      </c>
      <c r="AK223" s="98">
        <f t="shared" si="160"/>
        <v>1.0024769888269687</v>
      </c>
      <c r="AL223" s="98">
        <f t="shared" si="161"/>
        <v>7.031197218283311E-2</v>
      </c>
      <c r="AM223" s="98" t="str">
        <f t="shared" si="146"/>
        <v>1+70.4984986645445i</v>
      </c>
      <c r="AN223" s="98">
        <f t="shared" si="162"/>
        <v>70.50559065744207</v>
      </c>
      <c r="AO223" s="98">
        <f t="shared" si="163"/>
        <v>1.5566125787935459</v>
      </c>
      <c r="AP223" s="168" t="str">
        <f t="shared" si="164"/>
        <v>-0.0988136537956378+0.00836925784140639i</v>
      </c>
      <c r="AQ223" s="98">
        <f t="shared" si="165"/>
        <v>-20.072617296876821</v>
      </c>
      <c r="AR223" s="169">
        <f t="shared" si="166"/>
        <v>175.15875184652791</v>
      </c>
      <c r="AS223" s="168" t="str">
        <f t="shared" si="167"/>
        <v>0.0921857239829434+0.480481925624897i</v>
      </c>
      <c r="AT223" s="190">
        <f t="shared" si="168"/>
        <v>-6.2094644874101244</v>
      </c>
      <c r="AU223" s="169">
        <f t="shared" si="169"/>
        <v>79.13915797626575</v>
      </c>
      <c r="AV223" s="225"/>
      <c r="AX223">
        <f t="shared" si="170"/>
        <v>0</v>
      </c>
      <c r="AY223">
        <f t="shared" si="171"/>
        <v>0</v>
      </c>
    </row>
    <row r="224" spans="14:51" x14ac:dyDescent="0.55000000000000004">
      <c r="N224" s="170">
        <v>6</v>
      </c>
      <c r="O224" s="199">
        <f t="shared" si="172"/>
        <v>1148.1536214968839</v>
      </c>
      <c r="P224" s="189" t="str">
        <f t="shared" si="138"/>
        <v>1078.86904761905</v>
      </c>
      <c r="Q224" s="160" t="str">
        <f t="shared" si="139"/>
        <v>1+225.439436405445i</v>
      </c>
      <c r="R224" s="160">
        <f t="shared" si="147"/>
        <v>225.44165428510473</v>
      </c>
      <c r="S224" s="160">
        <f t="shared" si="148"/>
        <v>1.5663605747485649</v>
      </c>
      <c r="T224" s="160" t="str">
        <f t="shared" si="140"/>
        <v>1+0.000144281239299485i</v>
      </c>
      <c r="U224" s="160">
        <f t="shared" si="149"/>
        <v>1.000000010408538</v>
      </c>
      <c r="V224" s="160">
        <f t="shared" si="150"/>
        <v>1.4428123829831384E-4</v>
      </c>
      <c r="W224" s="98" t="str">
        <f t="shared" si="141"/>
        <v>1-0.10434996351096i</v>
      </c>
      <c r="X224" s="160">
        <f t="shared" si="151"/>
        <v>1.0054297165315627</v>
      </c>
      <c r="Y224" s="160">
        <f t="shared" si="152"/>
        <v>-0.10397366632560148</v>
      </c>
      <c r="Z224" s="98" t="str">
        <f t="shared" si="142"/>
        <v>0.997612934832854+0.00828876350713526i</v>
      </c>
      <c r="AA224" s="160">
        <f t="shared" si="153"/>
        <v>0.99764736823503786</v>
      </c>
      <c r="AB224" s="160">
        <f t="shared" si="154"/>
        <v>8.3084054882450811E-3</v>
      </c>
      <c r="AC224" s="171" t="str">
        <f t="shared" si="155"/>
        <v>-0.518433686945703-4.79496561700983i</v>
      </c>
      <c r="AD224" s="190">
        <f t="shared" si="156"/>
        <v>13.666184625902694</v>
      </c>
      <c r="AE224" s="169">
        <f t="shared" si="157"/>
        <v>-96.170872252679501</v>
      </c>
      <c r="AF224" s="98" t="str">
        <f t="shared" si="143"/>
        <v>-9.95024875621891E-06</v>
      </c>
      <c r="AG224" s="98" t="str">
        <f t="shared" si="144"/>
        <v>0.00722127602693923i</v>
      </c>
      <c r="AH224" s="98">
        <f t="shared" si="158"/>
        <v>7.2212760269392299E-3</v>
      </c>
      <c r="AI224" s="98">
        <f t="shared" si="159"/>
        <v>1.5707963267948966</v>
      </c>
      <c r="AJ224" s="98" t="str">
        <f t="shared" si="145"/>
        <v>1+0.0720685510986439i</v>
      </c>
      <c r="AK224" s="98">
        <f t="shared" si="160"/>
        <v>1.0025935747138308</v>
      </c>
      <c r="AL224" s="98">
        <f t="shared" si="161"/>
        <v>7.1944166783845492E-2</v>
      </c>
      <c r="AM224" s="98" t="str">
        <f t="shared" si="146"/>
        <v>1+72.1406196497425i</v>
      </c>
      <c r="AN224" s="98">
        <f t="shared" si="162"/>
        <v>72.147550224860822</v>
      </c>
      <c r="AO224" s="98">
        <f t="shared" si="163"/>
        <v>1.5569353984821552</v>
      </c>
      <c r="AP224" s="168" t="str">
        <f t="shared" si="164"/>
        <v>-0.0987906741796923+0.00849760802296136i</v>
      </c>
      <c r="AQ224" s="98">
        <f t="shared" si="165"/>
        <v>-20.073666709038427</v>
      </c>
      <c r="AR224" s="169">
        <f t="shared" si="166"/>
        <v>175.08373019024691</v>
      </c>
      <c r="AS224" s="168" t="str">
        <f t="shared" si="167"/>
        <v>0.0919621517477562+0.469292439715282i</v>
      </c>
      <c r="AT224" s="190">
        <f t="shared" si="168"/>
        <v>-6.4074820831357364</v>
      </c>
      <c r="AU224" s="169">
        <f t="shared" si="169"/>
        <v>78.912857937567381</v>
      </c>
      <c r="AV224" s="225"/>
      <c r="AX224">
        <f t="shared" si="170"/>
        <v>0</v>
      </c>
      <c r="AY224">
        <f t="shared" si="171"/>
        <v>0</v>
      </c>
    </row>
    <row r="225" spans="14:51" x14ac:dyDescent="0.55000000000000004">
      <c r="N225" s="170">
        <v>7</v>
      </c>
      <c r="O225" s="199">
        <f t="shared" si="172"/>
        <v>1174.8975549395295</v>
      </c>
      <c r="P225" s="189" t="str">
        <f t="shared" si="138"/>
        <v>1078.86904761905</v>
      </c>
      <c r="Q225" s="160" t="str">
        <f t="shared" si="139"/>
        <v>1+230.690595457415i</v>
      </c>
      <c r="R225" s="160">
        <f t="shared" si="147"/>
        <v>230.69276285244993</v>
      </c>
      <c r="S225" s="160">
        <f t="shared" si="148"/>
        <v>1.5664615435127232</v>
      </c>
      <c r="T225" s="160" t="str">
        <f t="shared" si="140"/>
        <v>1+0.000147641981092745i</v>
      </c>
      <c r="U225" s="160">
        <f t="shared" si="149"/>
        <v>1.0000000108990772</v>
      </c>
      <c r="V225" s="160">
        <f t="shared" si="150"/>
        <v>1.4764198001997078E-4</v>
      </c>
      <c r="W225" s="98" t="str">
        <f t="shared" si="141"/>
        <v>1-0.106780586405517i</v>
      </c>
      <c r="X225" s="160">
        <f t="shared" si="151"/>
        <v>1.0056848878416669</v>
      </c>
      <c r="Y225" s="160">
        <f t="shared" si="152"/>
        <v>-0.10637749970411967</v>
      </c>
      <c r="Z225" s="98" t="str">
        <f t="shared" si="142"/>
        <v>0.997500435917423+0.00848183361152395i</v>
      </c>
      <c r="AA225" s="160">
        <f t="shared" si="153"/>
        <v>0.9975364961528288</v>
      </c>
      <c r="AB225" s="160">
        <f t="shared" si="154"/>
        <v>8.5028827013343255E-3</v>
      </c>
      <c r="AC225" s="171" t="str">
        <f t="shared" si="155"/>
        <v>-0.519453169877672-4.68614775065546i</v>
      </c>
      <c r="AD225" s="190">
        <f t="shared" si="156"/>
        <v>13.469357964150031</v>
      </c>
      <c r="AE225" s="169">
        <f t="shared" si="157"/>
        <v>-96.325337011175009</v>
      </c>
      <c r="AF225" s="98" t="str">
        <f t="shared" si="143"/>
        <v>-9.95024875621891E-06</v>
      </c>
      <c r="AG225" s="98" t="str">
        <f t="shared" si="144"/>
        <v>0.00738948115369191i</v>
      </c>
      <c r="AH225" s="98">
        <f t="shared" si="158"/>
        <v>7.3894811536919097E-3</v>
      </c>
      <c r="AI225" s="98">
        <f t="shared" si="159"/>
        <v>1.5707963267948966</v>
      </c>
      <c r="AJ225" s="98" t="str">
        <f t="shared" si="145"/>
        <v>1+0.0737472433030696i</v>
      </c>
      <c r="AK225" s="98">
        <f t="shared" si="160"/>
        <v>1.0027156405954791</v>
      </c>
      <c r="AL225" s="98">
        <f t="shared" si="161"/>
        <v>7.3613982595835972E-2</v>
      </c>
      <c r="AM225" s="98" t="str">
        <f t="shared" si="146"/>
        <v>1+73.8209905463727i</v>
      </c>
      <c r="AN225" s="98">
        <f t="shared" si="162"/>
        <v>73.82776337698202</v>
      </c>
      <c r="AO225" s="98">
        <f t="shared" si="163"/>
        <v>1.5572508726892909</v>
      </c>
      <c r="AP225" s="168" t="str">
        <f t="shared" si="164"/>
        <v>-0.0987666230205141+0.00863030845209563i</v>
      </c>
      <c r="AQ225" s="98">
        <f t="shared" si="165"/>
        <v>-20.074761704199283</v>
      </c>
      <c r="AR225" s="169">
        <f t="shared" si="166"/>
        <v>175.00613213226976</v>
      </c>
      <c r="AS225" s="168" t="str">
        <f t="shared" si="167"/>
        <v>0.0917475359463698+0.458351947224955i</v>
      </c>
      <c r="AT225" s="190">
        <f t="shared" si="168"/>
        <v>-6.6054037400492502</v>
      </c>
      <c r="AU225" s="169">
        <f t="shared" si="169"/>
        <v>78.680795121094746</v>
      </c>
      <c r="AV225" s="225"/>
      <c r="AX225">
        <f t="shared" si="170"/>
        <v>0</v>
      </c>
      <c r="AY225">
        <f t="shared" si="171"/>
        <v>0</v>
      </c>
    </row>
    <row r="226" spans="14:51" x14ac:dyDescent="0.55000000000000004">
      <c r="N226" s="170">
        <v>8</v>
      </c>
      <c r="O226" s="199">
        <f t="shared" si="172"/>
        <v>1202.2644346174138</v>
      </c>
      <c r="P226" s="189" t="str">
        <f t="shared" si="138"/>
        <v>1078.86904761905</v>
      </c>
      <c r="Q226" s="160" t="str">
        <f t="shared" si="139"/>
        <v>1+236.064069716647i</v>
      </c>
      <c r="R226" s="160">
        <f t="shared" si="147"/>
        <v>236.06618777619548</v>
      </c>
      <c r="S226" s="160">
        <f t="shared" si="148"/>
        <v>1.5665602140326169</v>
      </c>
      <c r="T226" s="160" t="str">
        <f t="shared" si="140"/>
        <v>1+0.000151081004618654i</v>
      </c>
      <c r="U226" s="160">
        <f t="shared" si="149"/>
        <v>1.000000011412735</v>
      </c>
      <c r="V226" s="160">
        <f t="shared" si="150"/>
        <v>1.5108100346915569E-4</v>
      </c>
      <c r="W226" s="98" t="str">
        <f t="shared" si="141"/>
        <v>1-0.109267825780396i</v>
      </c>
      <c r="X226" s="160">
        <f t="shared" si="151"/>
        <v>1.0059520156303554</v>
      </c>
      <c r="Y226" s="160">
        <f t="shared" si="152"/>
        <v>-0.1088360485008544</v>
      </c>
      <c r="Z226" s="98" t="str">
        <f t="shared" si="142"/>
        <v>0.997382635091451+0.00867940089636383i</v>
      </c>
      <c r="AA226" s="160">
        <f t="shared" si="153"/>
        <v>0.99742039922085324</v>
      </c>
      <c r="AB226" s="160">
        <f t="shared" si="154"/>
        <v>8.7019580149386069E-3</v>
      </c>
      <c r="AC226" s="171" t="str">
        <f t="shared" si="155"/>
        <v>-0.52043264793656-4.57981419438084i</v>
      </c>
      <c r="AD226" s="190">
        <f t="shared" si="156"/>
        <v>13.272679416136018</v>
      </c>
      <c r="AE226" s="169">
        <f t="shared" si="157"/>
        <v>-96.483064019052605</v>
      </c>
      <c r="AF226" s="98" t="str">
        <f t="shared" si="143"/>
        <v>-9.95024875621891E-06</v>
      </c>
      <c r="AG226" s="98" t="str">
        <f t="shared" si="144"/>
        <v>0.00756160428116364i</v>
      </c>
      <c r="AH226" s="98">
        <f t="shared" si="158"/>
        <v>7.5616042811636397E-3</v>
      </c>
      <c r="AI226" s="98">
        <f t="shared" si="159"/>
        <v>1.5707963267948966</v>
      </c>
      <c r="AJ226" s="98" t="str">
        <f t="shared" si="145"/>
        <v>1+0.075465037272055i</v>
      </c>
      <c r="AK226" s="98">
        <f t="shared" si="160"/>
        <v>1.0028434433402218</v>
      </c>
      <c r="AL226" s="98">
        <f t="shared" si="161"/>
        <v>7.5322267708995083E-2</v>
      </c>
      <c r="AM226" s="98" t="str">
        <f t="shared" si="146"/>
        <v>1+75.5405023093271i</v>
      </c>
      <c r="AN226" s="98">
        <f t="shared" si="162"/>
        <v>75.547120985153711</v>
      </c>
      <c r="AO226" s="98">
        <f t="shared" si="163"/>
        <v>1.5575591684322312</v>
      </c>
      <c r="AP226" s="168" t="str">
        <f t="shared" si="164"/>
        <v>-0.0987414509135867+0.00876741850321359i</v>
      </c>
      <c r="AQ226" s="98">
        <f t="shared" si="165"/>
        <v>-20.075904569463269</v>
      </c>
      <c r="AR226" s="169">
        <f t="shared" si="166"/>
        <v>174.92591864999301</v>
      </c>
      <c r="AS226" s="168" t="str">
        <f t="shared" si="167"/>
        <v>0.0915414224691506+0.447654647640608i</v>
      </c>
      <c r="AT226" s="190">
        <f t="shared" si="168"/>
        <v>-6.8032251533272508</v>
      </c>
      <c r="AU226" s="169">
        <f t="shared" si="169"/>
        <v>78.442854630940417</v>
      </c>
      <c r="AV226" s="225"/>
      <c r="AX226">
        <f t="shared" si="170"/>
        <v>0</v>
      </c>
      <c r="AY226">
        <f t="shared" si="171"/>
        <v>0</v>
      </c>
    </row>
    <row r="227" spans="14:51" x14ac:dyDescent="0.55000000000000004">
      <c r="N227" s="170">
        <v>9</v>
      </c>
      <c r="O227" s="199">
        <f t="shared" si="172"/>
        <v>1230.2687708123824</v>
      </c>
      <c r="P227" s="189" t="str">
        <f t="shared" si="138"/>
        <v>1078.86904761905</v>
      </c>
      <c r="Q227" s="160" t="str">
        <f t="shared" si="139"/>
        <v>1+241.56270827032i</v>
      </c>
      <c r="R227" s="160">
        <f t="shared" si="147"/>
        <v>241.56477811736488</v>
      </c>
      <c r="S227" s="160">
        <f t="shared" si="148"/>
        <v>1.566656638616972</v>
      </c>
      <c r="T227" s="160" t="str">
        <f t="shared" si="140"/>
        <v>1+0.000154600133293005i</v>
      </c>
      <c r="U227" s="160">
        <f t="shared" si="149"/>
        <v>1.0000000119506005</v>
      </c>
      <c r="V227" s="160">
        <f t="shared" si="150"/>
        <v>1.5460013206129537E-4</v>
      </c>
      <c r="W227" s="98" t="str">
        <f t="shared" si="141"/>
        <v>1-0.111813000402833i</v>
      </c>
      <c r="X227" s="160">
        <f t="shared" si="151"/>
        <v>1.0062316567565761</v>
      </c>
      <c r="Y227" s="160">
        <f t="shared" si="152"/>
        <v>-0.11135049732137219</v>
      </c>
      <c r="Z227" s="98" t="str">
        <f t="shared" si="142"/>
        <v>0.997259282483592+0.0088815701144444i</v>
      </c>
      <c r="AA227" s="160">
        <f t="shared" si="153"/>
        <v>0.99729883123735108</v>
      </c>
      <c r="AB227" s="160">
        <f t="shared" si="154"/>
        <v>8.9057434344126975E-3</v>
      </c>
      <c r="AC227" s="171" t="str">
        <f t="shared" si="155"/>
        <v>-0.521374200727174-4.47590859544587i</v>
      </c>
      <c r="AD227" s="190">
        <f t="shared" si="156"/>
        <v>13.076155874769729</v>
      </c>
      <c r="AE227" s="169">
        <f t="shared" si="157"/>
        <v>-96.644130459241026</v>
      </c>
      <c r="AF227" s="98" t="str">
        <f t="shared" si="143"/>
        <v>-9.95024875621891E-06</v>
      </c>
      <c r="AG227" s="98" t="str">
        <f t="shared" si="144"/>
        <v>0.0077377366713149i</v>
      </c>
      <c r="AH227" s="98">
        <f t="shared" si="158"/>
        <v>7.7377366713148998E-3</v>
      </c>
      <c r="AI227" s="98">
        <f t="shared" si="159"/>
        <v>1.5707963267948966</v>
      </c>
      <c r="AJ227" s="98" t="str">
        <f t="shared" si="145"/>
        <v>1+0.0772228438026998i</v>
      </c>
      <c r="AK227" s="98">
        <f t="shared" si="160"/>
        <v>1.0029772517883824</v>
      </c>
      <c r="AL227" s="98">
        <f t="shared" si="161"/>
        <v>7.7069887974911128E-2</v>
      </c>
      <c r="AM227" s="98" t="str">
        <f t="shared" si="146"/>
        <v>1+77.3000666465025i</v>
      </c>
      <c r="AN227" s="98">
        <f t="shared" si="162"/>
        <v>77.30653467562577</v>
      </c>
      <c r="AO227" s="98">
        <f t="shared" si="163"/>
        <v>1.5578604489389059</v>
      </c>
      <c r="AP227" s="168" t="str">
        <f t="shared" si="164"/>
        <v>-0.0987151062303982+0.00890899911781157i</v>
      </c>
      <c r="AQ227" s="98">
        <f t="shared" si="165"/>
        <v>-20.077097690079704</v>
      </c>
      <c r="AR227" s="169">
        <f t="shared" si="166"/>
        <v>174.84304948604651</v>
      </c>
      <c r="AS227" s="168" t="str">
        <f t="shared" si="167"/>
        <v>0.0913433753388044+0.437194870182663i</v>
      </c>
      <c r="AT227" s="190">
        <f t="shared" si="168"/>
        <v>-7.0009418153099814</v>
      </c>
      <c r="AU227" s="169">
        <f t="shared" si="169"/>
        <v>78.198919026805498</v>
      </c>
      <c r="AV227" s="225"/>
      <c r="AX227">
        <f t="shared" si="170"/>
        <v>0</v>
      </c>
      <c r="AY227">
        <f t="shared" si="171"/>
        <v>0</v>
      </c>
    </row>
    <row r="228" spans="14:51" x14ac:dyDescent="0.55000000000000004">
      <c r="N228" s="170">
        <v>10</v>
      </c>
      <c r="O228" s="199">
        <f t="shared" si="172"/>
        <v>1258.925411794168</v>
      </c>
      <c r="P228" s="189" t="str">
        <f t="shared" si="138"/>
        <v>1078.86904761905</v>
      </c>
      <c r="Q228" s="160" t="str">
        <f t="shared" si="139"/>
        <v>1+247.189426569379i</v>
      </c>
      <c r="R228" s="160">
        <f t="shared" si="147"/>
        <v>247.19144930134297</v>
      </c>
      <c r="S228" s="160">
        <f t="shared" si="148"/>
        <v>1.5667508683842037</v>
      </c>
      <c r="T228" s="160" t="str">
        <f t="shared" si="140"/>
        <v>1+0.000158201233004403i</v>
      </c>
      <c r="U228" s="160">
        <f t="shared" si="149"/>
        <v>1.0000000125138151</v>
      </c>
      <c r="V228" s="160">
        <f t="shared" si="150"/>
        <v>1.5820123168460237E-4</v>
      </c>
      <c r="W228" s="98" t="str">
        <f t="shared" si="141"/>
        <v>1-0.114417459758104i</v>
      </c>
      <c r="X228" s="160">
        <f t="shared" si="151"/>
        <v>1.006524393692223</v>
      </c>
      <c r="Y228" s="160">
        <f t="shared" si="152"/>
        <v>-0.11392205211080768</v>
      </c>
      <c r="Z228" s="98" t="str">
        <f t="shared" si="142"/>
        <v>0.997130116446426+0.00908844845856113i</v>
      </c>
      <c r="AA228" s="160">
        <f t="shared" si="153"/>
        <v>0.99717153440110151</v>
      </c>
      <c r="AB228" s="160">
        <f t="shared" si="154"/>
        <v>9.1143539280839694E-3</v>
      </c>
      <c r="AC228" s="171" t="str">
        <f t="shared" si="155"/>
        <v>-0.522279827643322-4.37437588691267i</v>
      </c>
      <c r="AD228" s="190">
        <f t="shared" si="156"/>
        <v>12.879794547325471</v>
      </c>
      <c r="AE228" s="169">
        <f t="shared" si="157"/>
        <v>-96.808614836468678</v>
      </c>
      <c r="AF228" s="98" t="str">
        <f t="shared" si="143"/>
        <v>-9.95024875621891E-06</v>
      </c>
      <c r="AG228" s="98" t="str">
        <f t="shared" si="144"/>
        <v>0.00791797171187035i</v>
      </c>
      <c r="AH228" s="98">
        <f t="shared" si="158"/>
        <v>7.9179717118703502E-3</v>
      </c>
      <c r="AI228" s="98">
        <f t="shared" si="159"/>
        <v>1.5707963267948966</v>
      </c>
      <c r="AJ228" s="98" t="str">
        <f t="shared" si="145"/>
        <v>1+0.079021594907294i</v>
      </c>
      <c r="AK228" s="98">
        <f t="shared" si="160"/>
        <v>1.0031173473037402</v>
      </c>
      <c r="AL228" s="98">
        <f t="shared" si="161"/>
        <v>7.8857727280775655E-2</v>
      </c>
      <c r="AM228" s="98" t="str">
        <f t="shared" si="146"/>
        <v>1+79.1006165022013i</v>
      </c>
      <c r="AN228" s="98">
        <f t="shared" si="162"/>
        <v>79.106937312907775</v>
      </c>
      <c r="AO228" s="98">
        <f t="shared" si="163"/>
        <v>1.5581548737333248</v>
      </c>
      <c r="AP228" s="168" t="str">
        <f t="shared" si="164"/>
        <v>-0.0986875350234999+0.00905511278342247i</v>
      </c>
      <c r="AQ228" s="98">
        <f t="shared" si="165"/>
        <v>-20.078343554178375</v>
      </c>
      <c r="AR228" s="169">
        <f t="shared" si="166"/>
        <v>174.7574831374771</v>
      </c>
      <c r="AS228" s="168" t="str">
        <f t="shared" si="167"/>
        <v>0.0911529757956958+0.426967070801831i</v>
      </c>
      <c r="AT228" s="190">
        <f t="shared" si="168"/>
        <v>-7.1985490068529003</v>
      </c>
      <c r="AU228" s="169">
        <f t="shared" si="169"/>
        <v>77.948868301008417</v>
      </c>
      <c r="AV228" s="225"/>
      <c r="AX228">
        <f t="shared" si="170"/>
        <v>0</v>
      </c>
      <c r="AY228">
        <f t="shared" si="171"/>
        <v>0</v>
      </c>
    </row>
    <row r="229" spans="14:51" x14ac:dyDescent="0.55000000000000004">
      <c r="N229" s="170">
        <v>11</v>
      </c>
      <c r="O229" s="199">
        <f t="shared" si="172"/>
        <v>1288.2495516931347</v>
      </c>
      <c r="P229" s="189" t="str">
        <f t="shared" si="138"/>
        <v>1078.86904761905</v>
      </c>
      <c r="Q229" s="160" t="str">
        <f t="shared" si="139"/>
        <v>1+252.947207974343i</v>
      </c>
      <c r="R229" s="160">
        <f t="shared" si="147"/>
        <v>252.9491846636702</v>
      </c>
      <c r="S229" s="160">
        <f t="shared" si="148"/>
        <v>1.5668429532894839</v>
      </c>
      <c r="T229" s="160" t="str">
        <f t="shared" si="140"/>
        <v>1+0.00016188621310358i</v>
      </c>
      <c r="U229" s="160">
        <f t="shared" si="149"/>
        <v>1.0000000131035729</v>
      </c>
      <c r="V229" s="160">
        <f t="shared" si="150"/>
        <v>1.6188621168938816E-4</v>
      </c>
      <c r="W229" s="98" t="str">
        <f t="shared" si="141"/>
        <v>1-0.117082584765033i</v>
      </c>
      <c r="X229" s="160">
        <f t="shared" si="151"/>
        <v>1.0068308356696576</v>
      </c>
      <c r="Y229" s="160">
        <f t="shared" si="152"/>
        <v>-0.11655194022453892</v>
      </c>
      <c r="Z229" s="98" t="str">
        <f t="shared" si="142"/>
        <v>0.996994863001471+0.00930014561835042i</v>
      </c>
      <c r="AA229" s="160">
        <f t="shared" si="153"/>
        <v>0.9970382387651161</v>
      </c>
      <c r="AB229" s="160">
        <f t="shared" si="154"/>
        <v>9.327907522013526E-3</v>
      </c>
      <c r="AC229" s="171" t="str">
        <f t="shared" si="155"/>
        <v>-0.523151452127999-4.27516225856824i</v>
      </c>
      <c r="AD229" s="190">
        <f t="shared" si="156"/>
        <v>12.683602969378196</v>
      </c>
      <c r="AE229" s="169">
        <f t="shared" si="157"/>
        <v>-96.976596988236707</v>
      </c>
      <c r="AF229" s="98" t="str">
        <f t="shared" si="143"/>
        <v>-9.95024875621891E-06</v>
      </c>
      <c r="AG229" s="98" t="str">
        <f t="shared" si="144"/>
        <v>0.00810240496583417i</v>
      </c>
      <c r="AH229" s="98">
        <f t="shared" si="158"/>
        <v>8.1024049658341701E-3</v>
      </c>
      <c r="AI229" s="98">
        <f t="shared" si="159"/>
        <v>1.5707963267948966</v>
      </c>
      <c r="AJ229" s="98" t="str">
        <f t="shared" si="145"/>
        <v>1+0.0808622443074824i</v>
      </c>
      <c r="AK229" s="98">
        <f t="shared" si="160"/>
        <v>1.0032640243497437</v>
      </c>
      <c r="AL229" s="98">
        <f t="shared" si="161"/>
        <v>8.0686687820361674E-2</v>
      </c>
      <c r="AM229" s="98" t="str">
        <f t="shared" si="146"/>
        <v>1+80.9431065517899i</v>
      </c>
      <c r="AN229" s="98">
        <f t="shared" si="162"/>
        <v>80.949283494385625</v>
      </c>
      <c r="AO229" s="98">
        <f t="shared" si="163"/>
        <v>1.5584425987191135</v>
      </c>
      <c r="AP229" s="168" t="str">
        <f t="shared" si="164"/>
        <v>-0.0986586809280124+0.00920582350977489i</v>
      </c>
      <c r="AQ229" s="98">
        <f t="shared" si="165"/>
        <v>-20.079644757692275</v>
      </c>
      <c r="AR229" s="169">
        <f t="shared" si="166"/>
        <v>174.66917684500899</v>
      </c>
      <c r="AS229" s="168" t="str">
        <f t="shared" si="167"/>
        <v>0.0909698214205524+0.416965829246392i</v>
      </c>
      <c r="AT229" s="190">
        <f t="shared" si="168"/>
        <v>-7.3960417883140757</v>
      </c>
      <c r="AU229" s="169">
        <f t="shared" si="169"/>
        <v>77.692579856772312</v>
      </c>
      <c r="AV229" s="225"/>
      <c r="AX229">
        <f t="shared" si="170"/>
        <v>0</v>
      </c>
      <c r="AY229">
        <f t="shared" si="171"/>
        <v>0</v>
      </c>
    </row>
    <row r="230" spans="14:51" x14ac:dyDescent="0.55000000000000004">
      <c r="N230" s="170">
        <v>12</v>
      </c>
      <c r="O230" s="199">
        <f t="shared" si="172"/>
        <v>1318.2567385564089</v>
      </c>
      <c r="P230" s="189" t="str">
        <f t="shared" si="138"/>
        <v>1078.86904761905</v>
      </c>
      <c r="Q230" s="160" t="str">
        <f t="shared" si="139"/>
        <v>1+258.839105337128i</v>
      </c>
      <c r="R230" s="160">
        <f t="shared" si="147"/>
        <v>258.84103703185252</v>
      </c>
      <c r="S230" s="160">
        <f t="shared" si="148"/>
        <v>1.5669329421511982</v>
      </c>
      <c r="T230" s="160" t="str">
        <f t="shared" si="140"/>
        <v>1+0.000165657027415762i</v>
      </c>
      <c r="U230" s="160">
        <f t="shared" si="149"/>
        <v>1.0000000137211253</v>
      </c>
      <c r="V230" s="160">
        <f t="shared" si="150"/>
        <v>1.6565702590042814E-4</v>
      </c>
      <c r="W230" s="98" t="str">
        <f t="shared" si="141"/>
        <v>1-0.119809788508176i</v>
      </c>
      <c r="X230" s="160">
        <f t="shared" si="151"/>
        <v>1.007151619877749</v>
      </c>
      <c r="Y230" s="160">
        <f t="shared" si="152"/>
        <v>-0.11924141047249066</v>
      </c>
      <c r="Z230" s="98" t="str">
        <f t="shared" si="142"/>
        <v>0.996853235258036+0.00951677383844856i</v>
      </c>
      <c r="AA230" s="160">
        <f t="shared" si="153"/>
        <v>0.99689866166461749</v>
      </c>
      <c r="AB230" s="160">
        <f t="shared" si="154"/>
        <v>9.5465253988582851E-3</v>
      </c>
      <c r="AC230" s="171" t="str">
        <f t="shared" si="155"/>
        <v>-0.523990925774705-4.17821512850687i</v>
      </c>
      <c r="AD230" s="190">
        <f t="shared" si="156"/>
        <v>12.487589019310999</v>
      </c>
      <c r="AE230" s="169">
        <f t="shared" si="157"/>
        <v>-97.148158094479442</v>
      </c>
      <c r="AF230" s="98" t="str">
        <f t="shared" si="143"/>
        <v>-9.95024875621891E-06</v>
      </c>
      <c r="AG230" s="98" t="str">
        <f t="shared" si="144"/>
        <v>0.0082911342221589i</v>
      </c>
      <c r="AH230" s="98">
        <f t="shared" si="158"/>
        <v>8.2911342221588993E-3</v>
      </c>
      <c r="AI230" s="98">
        <f t="shared" si="159"/>
        <v>1.5707963267948966</v>
      </c>
      <c r="AJ230" s="98" t="str">
        <f t="shared" si="145"/>
        <v>1+0.0827457679399412i</v>
      </c>
      <c r="AK230" s="98">
        <f t="shared" si="160"/>
        <v>1.0034175910915508</v>
      </c>
      <c r="AL230" s="98">
        <f t="shared" si="161"/>
        <v>8.2557690361059172E-2</v>
      </c>
      <c r="AM230" s="98" t="str">
        <f t="shared" si="146"/>
        <v>1+82.8285137078811i</v>
      </c>
      <c r="AN230" s="98">
        <f t="shared" si="162"/>
        <v>82.834550056462845</v>
      </c>
      <c r="AO230" s="98">
        <f t="shared" si="163"/>
        <v>1.5587237762612027</v>
      </c>
      <c r="AP230" s="168" t="str">
        <f t="shared" si="164"/>
        <v>-0.0986284850594994+0.00936119680192202i</v>
      </c>
      <c r="AQ230" s="98">
        <f t="shared" si="165"/>
        <v>-20.081004009475343</v>
      </c>
      <c r="AR230" s="169">
        <f t="shared" si="166"/>
        <v>174.57808658242436</v>
      </c>
      <c r="AS230" s="168" t="str">
        <f t="shared" si="167"/>
        <v>0.0907935252928045+0.407185846198716i</v>
      </c>
      <c r="AT230" s="190">
        <f t="shared" si="168"/>
        <v>-7.5934149901643426</v>
      </c>
      <c r="AU230" s="169">
        <f t="shared" si="169"/>
        <v>77.42992848794492</v>
      </c>
      <c r="AV230" s="225"/>
      <c r="AX230">
        <f t="shared" si="170"/>
        <v>0</v>
      </c>
      <c r="AY230">
        <f t="shared" si="171"/>
        <v>0</v>
      </c>
    </row>
    <row r="231" spans="14:51" x14ac:dyDescent="0.55000000000000004">
      <c r="N231" s="170">
        <v>13</v>
      </c>
      <c r="O231" s="199">
        <f t="shared" si="172"/>
        <v>1348.9628825916541</v>
      </c>
      <c r="P231" s="189" t="str">
        <f t="shared" si="138"/>
        <v>1078.86904761905</v>
      </c>
      <c r="Q231" s="160" t="str">
        <f t="shared" si="139"/>
        <v>1+264.868242619703i</v>
      </c>
      <c r="R231" s="160">
        <f t="shared" si="147"/>
        <v>264.87013034400434</v>
      </c>
      <c r="S231" s="160">
        <f t="shared" si="148"/>
        <v>1.5670208826767991</v>
      </c>
      <c r="T231" s="160" t="str">
        <f t="shared" si="140"/>
        <v>1+0.00016951567527661i</v>
      </c>
      <c r="U231" s="160">
        <f t="shared" si="149"/>
        <v>1.0000000143677821</v>
      </c>
      <c r="V231" s="160">
        <f t="shared" si="150"/>
        <v>1.6951567365290052E-4</v>
      </c>
      <c r="W231" s="98" t="str">
        <f t="shared" si="141"/>
        <v>1-0.122600516987055i</v>
      </c>
      <c r="X231" s="160">
        <f t="shared" si="151"/>
        <v>1.007487412708215</v>
      </c>
      <c r="Y231" s="160">
        <f t="shared" si="152"/>
        <v>-0.12199173313472071</v>
      </c>
      <c r="Z231" s="98" t="str">
        <f t="shared" si="142"/>
        <v>0.99670493280469+0.00973844797800521i</v>
      </c>
      <c r="AA231" s="160">
        <f t="shared" si="153"/>
        <v>0.99675250711810193</v>
      </c>
      <c r="AB231" s="160">
        <f t="shared" si="154"/>
        <v>9.7703320010710699E-3</v>
      </c>
      <c r="AC231" s="171" t="str">
        <f t="shared" si="155"/>
        <v>-0.524800032278724-4.08348311535739i</v>
      </c>
      <c r="AD231" s="190">
        <f t="shared" si="156"/>
        <v>12.291760933413471</v>
      </c>
      <c r="AE231" s="169">
        <f t="shared" si="157"/>
        <v>-97.323380685792571</v>
      </c>
      <c r="AF231" s="98" t="str">
        <f t="shared" si="143"/>
        <v>-9.95024875621891E-06</v>
      </c>
      <c r="AG231" s="98" t="str">
        <f t="shared" si="144"/>
        <v>0.00848425954759434i</v>
      </c>
      <c r="AH231" s="98">
        <f t="shared" si="158"/>
        <v>8.4842595475943406E-3</v>
      </c>
      <c r="AI231" s="98">
        <f t="shared" si="159"/>
        <v>1.5707963267948966</v>
      </c>
      <c r="AJ231" s="98" t="str">
        <f t="shared" si="145"/>
        <v>1+0.0846731644738312i</v>
      </c>
      <c r="AK231" s="98">
        <f t="shared" si="160"/>
        <v>1.0035783700249883</v>
      </c>
      <c r="AL231" s="98">
        <f t="shared" si="161"/>
        <v>8.4471674506187713E-2</v>
      </c>
      <c r="AM231" s="98" t="str">
        <f t="shared" si="146"/>
        <v>1+84.757837638305i</v>
      </c>
      <c r="AN231" s="98">
        <f t="shared" si="162"/>
        <v>84.763736592491441</v>
      </c>
      <c r="AO231" s="98">
        <f t="shared" si="163"/>
        <v>1.558998555265704</v>
      </c>
      <c r="AP231" s="168" t="str">
        <f t="shared" si="164"/>
        <v>-0.098596885908129+0.00952129963007914i</v>
      </c>
      <c r="AQ231" s="98">
        <f t="shared" si="165"/>
        <v>-20.082424136623086</v>
      </c>
      <c r="AR231" s="169">
        <f t="shared" si="166"/>
        <v>174.48416704611029</v>
      </c>
      <c r="AS231" s="168" t="str">
        <f t="shared" si="167"/>
        <v>0.0906237151828545+0.397621940479463i</v>
      </c>
      <c r="AT231" s="190">
        <f t="shared" si="168"/>
        <v>-7.7906632032096077</v>
      </c>
      <c r="AU231" s="169">
        <f t="shared" si="169"/>
        <v>77.160786360317715</v>
      </c>
      <c r="AV231" s="225"/>
      <c r="AX231">
        <f t="shared" si="170"/>
        <v>0</v>
      </c>
      <c r="AY231">
        <f t="shared" si="171"/>
        <v>0</v>
      </c>
    </row>
    <row r="232" spans="14:51" x14ac:dyDescent="0.55000000000000004">
      <c r="N232" s="170">
        <v>14</v>
      </c>
      <c r="O232" s="199">
        <f t="shared" si="172"/>
        <v>1380.3842646028863</v>
      </c>
      <c r="P232" s="189" t="str">
        <f t="shared" si="138"/>
        <v>1078.86904761905</v>
      </c>
      <c r="Q232" s="160" t="str">
        <f t="shared" si="139"/>
        <v>1+271.037816550461i</v>
      </c>
      <c r="R232" s="160">
        <f t="shared" si="147"/>
        <v>271.03966130520706</v>
      </c>
      <c r="S232" s="160">
        <f t="shared" si="148"/>
        <v>1.5671068214880732</v>
      </c>
      <c r="T232" s="160" t="str">
        <f t="shared" si="140"/>
        <v>1+0.000173464202592295i</v>
      </c>
      <c r="U232" s="160">
        <f t="shared" si="149"/>
        <v>1.0000000150449146</v>
      </c>
      <c r="V232" s="160">
        <f t="shared" si="150"/>
        <v>1.7346420085245895E-4</v>
      </c>
      <c r="W232" s="98" t="str">
        <f t="shared" si="141"/>
        <v>1-0.125456249882852i</v>
      </c>
      <c r="X232" s="160">
        <f t="shared" si="151"/>
        <v>1.0078389110540775</v>
      </c>
      <c r="Y232" s="160">
        <f t="shared" si="152"/>
        <v>-0.12480419994582602</v>
      </c>
      <c r="Z232" s="98" t="str">
        <f t="shared" si="142"/>
        <v>0.996549641072045+0.00996528557158342i</v>
      </c>
      <c r="AA232" s="160">
        <f t="shared" si="153"/>
        <v>0.99659946520021014</v>
      </c>
      <c r="AB232" s="160">
        <f t="shared" si="154"/>
        <v>9.9994551386931342E-3</v>
      </c>
      <c r="AC232" s="171" t="str">
        <f t="shared" si="155"/>
        <v>-0.525580491246976-3.99091601114126i</v>
      </c>
      <c r="AD232" s="190">
        <f t="shared" si="156"/>
        <v>12.096127321591254</v>
      </c>
      <c r="AE232" s="169">
        <f t="shared" si="157"/>
        <v>-97.502348650102633</v>
      </c>
      <c r="AF232" s="98" t="str">
        <f t="shared" si="143"/>
        <v>-9.95024875621891E-06</v>
      </c>
      <c r="AG232" s="98" t="str">
        <f t="shared" si="144"/>
        <v>0.00868188333974437i</v>
      </c>
      <c r="AH232" s="98">
        <f t="shared" si="158"/>
        <v>8.6818833397443694E-3</v>
      </c>
      <c r="AI232" s="98">
        <f t="shared" si="159"/>
        <v>1.5707963267948966</v>
      </c>
      <c r="AJ232" s="98" t="str">
        <f t="shared" si="145"/>
        <v>1+0.0866454558403072i</v>
      </c>
      <c r="AK232" s="98">
        <f t="shared" si="160"/>
        <v>1.0037466986335619</v>
      </c>
      <c r="AL232" s="98">
        <f t="shared" si="161"/>
        <v>8.6429598951753506E-2</v>
      </c>
      <c r="AM232" s="98" t="str">
        <f t="shared" si="146"/>
        <v>1+86.7321012961475i</v>
      </c>
      <c r="AN232" s="98">
        <f t="shared" si="162"/>
        <v>86.737865982771282</v>
      </c>
      <c r="AO232" s="98">
        <f t="shared" si="163"/>
        <v>1.5592670812580132</v>
      </c>
      <c r="AP232" s="168" t="str">
        <f t="shared" si="164"/>
        <v>-0.0985638192290485+0.00968620039589379i</v>
      </c>
      <c r="AQ232" s="98">
        <f t="shared" si="165"/>
        <v>-20.083908090003799</v>
      </c>
      <c r="AR232" s="169">
        <f t="shared" si="166"/>
        <v>174.38737164482274</v>
      </c>
      <c r="AS232" s="168" t="str">
        <f t="shared" si="167"/>
        <v>0.0904600327766768+0.388269046318052i</v>
      </c>
      <c r="AT232" s="190">
        <f t="shared" si="168"/>
        <v>-7.9877807684125433</v>
      </c>
      <c r="AU232" s="169">
        <f t="shared" si="169"/>
        <v>76.885022994720103</v>
      </c>
      <c r="AV232" s="225"/>
      <c r="AX232">
        <f t="shared" si="170"/>
        <v>0</v>
      </c>
      <c r="AY232">
        <f t="shared" si="171"/>
        <v>0</v>
      </c>
    </row>
    <row r="233" spans="14:51" x14ac:dyDescent="0.55000000000000004">
      <c r="N233" s="170">
        <v>15</v>
      </c>
      <c r="O233" s="199">
        <f t="shared" si="172"/>
        <v>1412.5375446227545</v>
      </c>
      <c r="P233" s="189" t="str">
        <f t="shared" si="138"/>
        <v>1078.86904761905</v>
      </c>
      <c r="Q233" s="160" t="str">
        <f t="shared" si="139"/>
        <v>1+277.351098319163i</v>
      </c>
      <c r="R233" s="160">
        <f t="shared" si="147"/>
        <v>277.35290108244044</v>
      </c>
      <c r="S233" s="160">
        <f t="shared" si="148"/>
        <v>1.5671908041458356</v>
      </c>
      <c r="T233" s="160" t="str">
        <f t="shared" si="140"/>
        <v>1+0.000177504702924264i</v>
      </c>
      <c r="U233" s="160">
        <f t="shared" si="149"/>
        <v>1.0000000157539597</v>
      </c>
      <c r="V233" s="160">
        <f t="shared" si="150"/>
        <v>1.7750470105999607E-4</v>
      </c>
      <c r="W233" s="98" t="str">
        <f t="shared" si="141"/>
        <v>1-0.128378501342945i</v>
      </c>
      <c r="X233" s="160">
        <f t="shared" si="151"/>
        <v>1.0082068436620832</v>
      </c>
      <c r="Y233" s="160">
        <f t="shared" si="152"/>
        <v>-0.12768012404551843</v>
      </c>
      <c r="Z233" s="98" t="str">
        <f t="shared" si="142"/>
        <v>0.996387030665516+0.0101974068914778i</v>
      </c>
      <c r="AA233" s="160">
        <f t="shared" si="153"/>
        <v>0.99643921138509717</v>
      </c>
      <c r="AB233" s="160">
        <f t="shared" si="154"/>
        <v>1.0234026102009981E-2</v>
      </c>
      <c r="AC233" s="171" t="str">
        <f t="shared" si="155"/>
        <v>-0.526333961874711-3.90046475474788i</v>
      </c>
      <c r="AD233" s="190">
        <f t="shared" si="156"/>
        <v>11.900697183707468</v>
      </c>
      <c r="AE233" s="169">
        <f t="shared" si="157"/>
        <v>-97.685147237642397</v>
      </c>
      <c r="AF233" s="98" t="str">
        <f t="shared" si="143"/>
        <v>-9.95024875621891E-06</v>
      </c>
      <c r="AG233" s="98" t="str">
        <f t="shared" si="144"/>
        <v>0.00888411038135943i</v>
      </c>
      <c r="AH233" s="98">
        <f t="shared" si="158"/>
        <v>8.8841103813594308E-3</v>
      </c>
      <c r="AI233" s="98">
        <f t="shared" si="159"/>
        <v>1.5707963267948966</v>
      </c>
      <c r="AJ233" s="98" t="str">
        <f t="shared" si="145"/>
        <v>1+0.0886636877743578i</v>
      </c>
      <c r="AK233" s="98">
        <f t="shared" si="160"/>
        <v>1.003922930074689</v>
      </c>
      <c r="AL233" s="98">
        <f t="shared" si="161"/>
        <v>8.8432441736741627E-2</v>
      </c>
      <c r="AM233" s="98" t="str">
        <f t="shared" si="146"/>
        <v>1+88.7523514621322i</v>
      </c>
      <c r="AN233" s="98">
        <f t="shared" si="162"/>
        <v>88.757984936893649</v>
      </c>
      <c r="AO233" s="98">
        <f t="shared" si="163"/>
        <v>1.5595294964591775</v>
      </c>
      <c r="AP233" s="168" t="str">
        <f t="shared" si="164"/>
        <v>-0.0985292179289042+0.00985596889485414i</v>
      </c>
      <c r="AQ233" s="98">
        <f t="shared" si="165"/>
        <v>-20.085458950008519</v>
      </c>
      <c r="AR233" s="169">
        <f t="shared" si="166"/>
        <v>174.28765248972149</v>
      </c>
      <c r="AS233" s="168" t="str">
        <f t="shared" si="167"/>
        <v>0.090302132931207+0.379122210688021i</v>
      </c>
      <c r="AT233" s="190">
        <f t="shared" si="168"/>
        <v>-8.1847617663010599</v>
      </c>
      <c r="AU233" s="169">
        <f t="shared" si="169"/>
        <v>76.602505252079069</v>
      </c>
      <c r="AV233" s="225"/>
      <c r="AX233">
        <f t="shared" si="170"/>
        <v>0</v>
      </c>
      <c r="AY233">
        <f t="shared" si="171"/>
        <v>0</v>
      </c>
    </row>
    <row r="234" spans="14:51" x14ac:dyDescent="0.55000000000000004">
      <c r="N234" s="170">
        <v>16</v>
      </c>
      <c r="O234" s="199">
        <f t="shared" si="172"/>
        <v>1445.4397707459289</v>
      </c>
      <c r="P234" s="189" t="str">
        <f t="shared" si="138"/>
        <v>1078.86904761905</v>
      </c>
      <c r="Q234" s="160" t="str">
        <f t="shared" si="139"/>
        <v>1+283.81143531137i</v>
      </c>
      <c r="R234" s="160">
        <f t="shared" si="147"/>
        <v>283.81319703900306</v>
      </c>
      <c r="S234" s="160">
        <f t="shared" si="148"/>
        <v>1.5672728751740612</v>
      </c>
      <c r="T234" s="160" t="str">
        <f t="shared" si="140"/>
        <v>1+0.000181639318599277i</v>
      </c>
      <c r="U234" s="160">
        <f t="shared" si="149"/>
        <v>1.0000000164964209</v>
      </c>
      <c r="V234" s="160">
        <f t="shared" si="150"/>
        <v>1.8163931660167791E-4</v>
      </c>
      <c r="W234" s="98" t="str">
        <f t="shared" si="141"/>
        <v>1-0.131368820783741i</v>
      </c>
      <c r="X234" s="160">
        <f t="shared" si="151"/>
        <v>1.0085919725409829</v>
      </c>
      <c r="Y234" s="160">
        <f t="shared" si="152"/>
        <v>-0.13062083989262585</v>
      </c>
      <c r="Z234" s="98" t="str">
        <f t="shared" si="142"/>
        <v>0.996216756666629+0.0104349350114847i</v>
      </c>
      <c r="AA234" s="160">
        <f t="shared" si="153"/>
        <v>0.99627140585890106</v>
      </c>
      <c r="AB234" s="160">
        <f t="shared" si="154"/>
        <v>1.0474179779362151E-2</v>
      </c>
      <c r="AC234" s="171" t="str">
        <f t="shared" si="155"/>
        <v>-0.52706204649719-3.81208140601264i</v>
      </c>
      <c r="AD234" s="190">
        <f t="shared" si="156"/>
        <v>11.705479926574615</v>
      </c>
      <c r="AE234" s="169">
        <f t="shared" si="157"/>
        <v>-97.871863064092949</v>
      </c>
      <c r="AF234" s="98" t="str">
        <f t="shared" si="143"/>
        <v>-9.95024875621891E-06</v>
      </c>
      <c r="AG234" s="98" t="str">
        <f t="shared" si="144"/>
        <v>0.00909104789589382i</v>
      </c>
      <c r="AH234" s="98">
        <f t="shared" si="158"/>
        <v>9.0910478958938206E-3</v>
      </c>
      <c r="AI234" s="98">
        <f t="shared" si="159"/>
        <v>1.5707963267948966</v>
      </c>
      <c r="AJ234" s="98" t="str">
        <f t="shared" si="145"/>
        <v>1+0.0907289303692692i</v>
      </c>
      <c r="AK234" s="98">
        <f t="shared" si="160"/>
        <v>1.0041074338963694</v>
      </c>
      <c r="AL234" s="98">
        <f t="shared" si="161"/>
        <v>9.0481200485977395E-2</v>
      </c>
      <c r="AM234" s="98" t="str">
        <f t="shared" si="146"/>
        <v>1+90.8196592996385i</v>
      </c>
      <c r="AN234" s="98">
        <f t="shared" si="162"/>
        <v>90.825164548721929</v>
      </c>
      <c r="AO234" s="98">
        <f t="shared" si="163"/>
        <v>1.5597859398605642</v>
      </c>
      <c r="AP234" s="168" t="str">
        <f t="shared" si="164"/>
        <v>-0.0984930119484432+0.0100306762745252i</v>
      </c>
      <c r="AQ234" s="98">
        <f t="shared" si="165"/>
        <v>-20.087079932527686</v>
      </c>
      <c r="AR234" s="169">
        <f t="shared" si="166"/>
        <v>174.18496038473322</v>
      </c>
      <c r="AS234" s="168" t="str">
        <f t="shared" si="167"/>
        <v>0.0901496829590683+0.370176590705839i</v>
      </c>
      <c r="AT234" s="190">
        <f t="shared" si="168"/>
        <v>-8.3816000059530733</v>
      </c>
      <c r="AU234" s="169">
        <f t="shared" si="169"/>
        <v>76.313097320640253</v>
      </c>
      <c r="AV234" s="225"/>
      <c r="AX234">
        <f t="shared" si="170"/>
        <v>0</v>
      </c>
      <c r="AY234">
        <f t="shared" si="171"/>
        <v>0</v>
      </c>
    </row>
    <row r="235" spans="14:51" x14ac:dyDescent="0.55000000000000004">
      <c r="N235" s="170">
        <v>17</v>
      </c>
      <c r="O235" s="199">
        <f t="shared" si="172"/>
        <v>1479.1083881682086</v>
      </c>
      <c r="P235" s="189" t="str">
        <f t="shared" si="138"/>
        <v>1078.86904761905</v>
      </c>
      <c r="Q235" s="160" t="str">
        <f t="shared" si="139"/>
        <v>1+290.422252883268i</v>
      </c>
      <c r="R235" s="160">
        <f t="shared" si="147"/>
        <v>290.42397450932464</v>
      </c>
      <c r="S235" s="160">
        <f t="shared" si="148"/>
        <v>1.567353078083471</v>
      </c>
      <c r="T235" s="160" t="str">
        <f t="shared" si="140"/>
        <v>1+0.000185870241845291i</v>
      </c>
      <c r="U235" s="160">
        <f t="shared" si="149"/>
        <v>1.0000000172738732</v>
      </c>
      <c r="V235" s="160">
        <f t="shared" si="150"/>
        <v>1.8587023970482503E-4</v>
      </c>
      <c r="W235" s="98" t="str">
        <f t="shared" si="141"/>
        <v>1-0.134428793712189i</v>
      </c>
      <c r="X235" s="160">
        <f t="shared" si="151"/>
        <v>1.0089950944275765</v>
      </c>
      <c r="Y235" s="160">
        <f t="shared" si="152"/>
        <v>-0.13362770313953168</v>
      </c>
      <c r="Z235" s="98" t="str">
        <f t="shared" si="142"/>
        <v>0.996038457901404+0.0106779958721574i</v>
      </c>
      <c r="AA235" s="160">
        <f t="shared" si="153"/>
        <v>0.99609569279986987</v>
      </c>
      <c r="AB235" s="160">
        <f t="shared" si="154"/>
        <v>1.0720054780421474E-2</v>
      </c>
      <c r="AC235" s="171" t="str">
        <f t="shared" si="155"/>
        <v>-0.527766294024058-3.72571912038542i</v>
      </c>
      <c r="AD235" s="190">
        <f t="shared" si="156"/>
        <v>11.510485381619551</v>
      </c>
      <c r="AE235" s="169">
        <f t="shared" si="157"/>
        <v>-98.062584111738715</v>
      </c>
      <c r="AF235" s="98" t="str">
        <f t="shared" si="143"/>
        <v>-9.95024875621891E-06</v>
      </c>
      <c r="AG235" s="98" t="str">
        <f t="shared" si="144"/>
        <v>0.00930280560435684i</v>
      </c>
      <c r="AH235" s="98">
        <f t="shared" si="158"/>
        <v>9.3028056043568397E-3</v>
      </c>
      <c r="AI235" s="98">
        <f t="shared" si="159"/>
        <v>1.5707963267948966</v>
      </c>
      <c r="AJ235" s="98" t="str">
        <f t="shared" si="145"/>
        <v>1+0.0928422786440017i</v>
      </c>
      <c r="AK235" s="98">
        <f t="shared" si="160"/>
        <v>1.0043005967855492</v>
      </c>
      <c r="AL235" s="98">
        <f t="shared" si="161"/>
        <v>9.2576892644506442E-2</v>
      </c>
      <c r="AM235" s="98" t="str">
        <f t="shared" si="146"/>
        <v>1+92.9351209226457i</v>
      </c>
      <c r="AN235" s="98">
        <f t="shared" si="162"/>
        <v>92.940500864299082</v>
      </c>
      <c r="AO235" s="98">
        <f t="shared" si="163"/>
        <v>1.5600365472968654</v>
      </c>
      <c r="AP235" s="168" t="str">
        <f t="shared" si="164"/>
        <v>-0.0984551281411439+0.0102103949882825i</v>
      </c>
      <c r="AQ235" s="98">
        <f t="shared" si="165"/>
        <v>-20.08877439516268</v>
      </c>
      <c r="AR235" s="169">
        <f t="shared" si="166"/>
        <v>174.07924481730549</v>
      </c>
      <c r="AS235" s="168" t="str">
        <f t="shared" si="167"/>
        <v>0.0900023619412468+0.361427451091969i</v>
      </c>
      <c r="AT235" s="190">
        <f t="shared" si="168"/>
        <v>-8.578289013543122</v>
      </c>
      <c r="AU235" s="169">
        <f t="shared" si="169"/>
        <v>76.016660705566792</v>
      </c>
      <c r="AV235" s="225"/>
      <c r="AX235">
        <f t="shared" si="170"/>
        <v>0</v>
      </c>
      <c r="AY235">
        <f t="shared" si="171"/>
        <v>0</v>
      </c>
    </row>
    <row r="236" spans="14:51" x14ac:dyDescent="0.55000000000000004">
      <c r="N236" s="170">
        <v>18</v>
      </c>
      <c r="O236" s="199">
        <f t="shared" si="172"/>
        <v>1513.5612484362093</v>
      </c>
      <c r="P236" s="189" t="str">
        <f t="shared" si="138"/>
        <v>1078.86904761905</v>
      </c>
      <c r="Q236" s="160" t="str">
        <f t="shared" si="139"/>
        <v>1+297.187056177837i</v>
      </c>
      <c r="R236" s="160">
        <f t="shared" si="147"/>
        <v>297.18873861512458</v>
      </c>
      <c r="S236" s="160">
        <f t="shared" si="148"/>
        <v>1.5674314553945792</v>
      </c>
      <c r="T236" s="160" t="str">
        <f t="shared" si="140"/>
        <v>1+0.000190199715953816i</v>
      </c>
      <c r="U236" s="160">
        <f t="shared" si="149"/>
        <v>1.0000000180879658</v>
      </c>
      <c r="V236" s="160">
        <f t="shared" si="150"/>
        <v>1.901997136602654E-4</v>
      </c>
      <c r="W236" s="98" t="str">
        <f t="shared" si="141"/>
        <v>1-0.137560042566438i</v>
      </c>
      <c r="X236" s="160">
        <f t="shared" si="151"/>
        <v>1.0094170423124826</v>
      </c>
      <c r="Y236" s="160">
        <f t="shared" si="152"/>
        <v>-0.13670209046396764</v>
      </c>
      <c r="Z236" s="98" t="str">
        <f t="shared" si="142"/>
        <v>0.995851756174255+0.0109267183475815i</v>
      </c>
      <c r="AA236" s="160">
        <f t="shared" si="153"/>
        <v>0.99591169962461801</v>
      </c>
      <c r="AB236" s="160">
        <f t="shared" si="154"/>
        <v>1.0971793565267018E-2</v>
      </c>
      <c r="AC236" s="171" t="str">
        <f t="shared" si="155"/>
        <v>-0.528448203264103-3.64133212417571i</v>
      </c>
      <c r="AD236" s="190">
        <f t="shared" si="156"/>
        <v>11.315723823240479</v>
      </c>
      <c r="AE236" s="169">
        <f t="shared" si="157"/>
        <v>-98.257399728479726</v>
      </c>
      <c r="AF236" s="98" t="str">
        <f t="shared" si="143"/>
        <v>-9.95024875621891E-06</v>
      </c>
      <c r="AG236" s="98" t="str">
        <f t="shared" si="144"/>
        <v>0.00951949578348847i</v>
      </c>
      <c r="AH236" s="98">
        <f t="shared" si="158"/>
        <v>9.5194957834884696E-3</v>
      </c>
      <c r="AI236" s="98">
        <f t="shared" si="159"/>
        <v>1.5707963267948966</v>
      </c>
      <c r="AJ236" s="98" t="str">
        <f t="shared" si="145"/>
        <v>1+0.095004853123784i</v>
      </c>
      <c r="AK236" s="98">
        <f t="shared" si="160"/>
        <v>1.0045028233494777</v>
      </c>
      <c r="AL236" s="98">
        <f t="shared" si="161"/>
        <v>9.4720555702374309E-2</v>
      </c>
      <c r="AM236" s="98" t="str">
        <f t="shared" si="146"/>
        <v>1+95.0998579769078i</v>
      </c>
      <c r="AN236" s="98">
        <f t="shared" si="162"/>
        <v>95.105115462986717</v>
      </c>
      <c r="AO236" s="98">
        <f t="shared" si="163"/>
        <v>1.5602814515174754</v>
      </c>
      <c r="AP236" s="168" t="str">
        <f t="shared" si="164"/>
        <v>-0.0984154901478266+0.0103951987441945i</v>
      </c>
      <c r="AQ236" s="98">
        <f t="shared" si="165"/>
        <v>-20.090545843680744</v>
      </c>
      <c r="AR236" s="169">
        <f t="shared" si="166"/>
        <v>173.97045394961745</v>
      </c>
      <c r="AS236" s="168" t="str">
        <f t="shared" si="167"/>
        <v>0.0898598600664014+0.352870161692836i</v>
      </c>
      <c r="AT236" s="190">
        <f t="shared" si="168"/>
        <v>-8.7748220204402703</v>
      </c>
      <c r="AU236" s="169">
        <f t="shared" si="169"/>
        <v>75.71305422113771</v>
      </c>
      <c r="AV236" s="225"/>
      <c r="AX236">
        <f t="shared" si="170"/>
        <v>0</v>
      </c>
      <c r="AY236">
        <f t="shared" si="171"/>
        <v>0</v>
      </c>
    </row>
    <row r="237" spans="14:51" x14ac:dyDescent="0.55000000000000004">
      <c r="N237" s="170">
        <v>19</v>
      </c>
      <c r="O237" s="199">
        <f t="shared" si="172"/>
        <v>1548.8166189124822</v>
      </c>
      <c r="P237" s="189" t="str">
        <f t="shared" si="138"/>
        <v>1078.86904761905</v>
      </c>
      <c r="Q237" s="160" t="str">
        <f t="shared" si="139"/>
        <v>1+304.109431983327i</v>
      </c>
      <c r="R237" s="160">
        <f t="shared" si="147"/>
        <v>304.11107612387582</v>
      </c>
      <c r="S237" s="160">
        <f t="shared" si="148"/>
        <v>1.56750804866022</v>
      </c>
      <c r="T237" s="160" t="str">
        <f t="shared" si="140"/>
        <v>1+0.000194630036469329i</v>
      </c>
      <c r="U237" s="160">
        <f t="shared" si="149"/>
        <v>1.0000000189404255</v>
      </c>
      <c r="V237" s="160">
        <f t="shared" si="150"/>
        <v>1.9463003401174524E-4</v>
      </c>
      <c r="W237" s="98" t="str">
        <f t="shared" si="141"/>
        <v>1-0.140764227576078i</v>
      </c>
      <c r="X237" s="160">
        <f t="shared" si="151"/>
        <v>1.009858687027591</v>
      </c>
      <c r="Y237" s="160">
        <f t="shared" si="152"/>
        <v>-0.1398453993548647</v>
      </c>
      <c r="Z237" s="98" t="str">
        <f t="shared" si="142"/>
        <v>0.995656255465786+0.0111812343137057i</v>
      </c>
      <c r="AA237" s="160">
        <f t="shared" si="153"/>
        <v>0.9957190361989311</v>
      </c>
      <c r="AB237" s="160">
        <f t="shared" si="154"/>
        <v>1.122954257961809E-2</v>
      </c>
      <c r="AC237" s="171" t="str">
        <f t="shared" si="155"/>
        <v>-0.529109226147773-3.55887569036218i</v>
      </c>
      <c r="AD237" s="190">
        <f t="shared" si="156"/>
        <v>11.121205987877884</v>
      </c>
      <c r="AE237" s="169">
        <f t="shared" si="157"/>
        <v>-98.456400624532407</v>
      </c>
      <c r="AF237" s="98" t="str">
        <f t="shared" si="143"/>
        <v>-9.95024875621891E-06</v>
      </c>
      <c r="AG237" s="98" t="str">
        <f t="shared" si="144"/>
        <v>0.00974123332528994i</v>
      </c>
      <c r="AH237" s="98">
        <f t="shared" si="158"/>
        <v>9.7412333252899393E-3</v>
      </c>
      <c r="AI237" s="98">
        <f t="shared" si="159"/>
        <v>1.5707963267948966</v>
      </c>
      <c r="AJ237" s="98" t="str">
        <f t="shared" si="145"/>
        <v>1+0.0972178004342305i</v>
      </c>
      <c r="AK237" s="98">
        <f t="shared" si="160"/>
        <v>1.0047145369313961</v>
      </c>
      <c r="AL237" s="98">
        <f t="shared" si="161"/>
        <v>9.6913247408597525E-2</v>
      </c>
      <c r="AM237" s="98" t="str">
        <f t="shared" si="146"/>
        <v>1+97.3150182346647i</v>
      </c>
      <c r="AN237" s="98">
        <f t="shared" si="162"/>
        <v>97.320156052141257</v>
      </c>
      <c r="AO237" s="98">
        <f t="shared" si="163"/>
        <v>1.560520782256275</v>
      </c>
      <c r="AP237" s="168" t="str">
        <f t="shared" si="164"/>
        <v>-0.0983740182672113+0.0105851624486846i</v>
      </c>
      <c r="AQ237" s="98">
        <f t="shared" si="165"/>
        <v>-20.092397938721366</v>
      </c>
      <c r="AR237" s="169">
        <f t="shared" si="166"/>
        <v>173.85853461031846</v>
      </c>
      <c r="AS237" s="168" t="str">
        <f t="shared" si="167"/>
        <v>0.0897218779955693+0.344500195062551i</v>
      </c>
      <c r="AT237" s="190">
        <f t="shared" si="168"/>
        <v>-8.9711919508434903</v>
      </c>
      <c r="AU237" s="169">
        <f t="shared" si="169"/>
        <v>75.402133985786023</v>
      </c>
      <c r="AV237" s="225"/>
      <c r="AX237">
        <f t="shared" si="170"/>
        <v>0</v>
      </c>
      <c r="AY237">
        <f t="shared" si="171"/>
        <v>0</v>
      </c>
    </row>
    <row r="238" spans="14:51" x14ac:dyDescent="0.55000000000000004">
      <c r="N238" s="170">
        <v>20</v>
      </c>
      <c r="O238" s="199">
        <f t="shared" si="172"/>
        <v>1584.8931924611156</v>
      </c>
      <c r="P238" s="189" t="str">
        <f t="shared" si="138"/>
        <v>1078.86904761905</v>
      </c>
      <c r="Q238" s="160" t="str">
        <f t="shared" si="139"/>
        <v>1+311.19305063502i</v>
      </c>
      <c r="R238" s="160">
        <f t="shared" si="147"/>
        <v>311.19465735055621</v>
      </c>
      <c r="S238" s="160">
        <f t="shared" si="148"/>
        <v>1.5675828984875595</v>
      </c>
      <c r="T238" s="160" t="str">
        <f t="shared" si="140"/>
        <v>1+0.000199163552406413i</v>
      </c>
      <c r="U238" s="160">
        <f t="shared" si="149"/>
        <v>1.0000000198330601</v>
      </c>
      <c r="V238" s="160">
        <f t="shared" si="150"/>
        <v>1.9916354977306456E-4</v>
      </c>
      <c r="W238" s="98" t="str">
        <f t="shared" si="141"/>
        <v>1-0.144043047642414i</v>
      </c>
      <c r="X238" s="160">
        <f t="shared" si="151"/>
        <v>1.0103209388971974</v>
      </c>
      <c r="Y238" s="160">
        <f t="shared" si="152"/>
        <v>-0.14305904784878823</v>
      </c>
      <c r="Z238" s="98" t="str">
        <f t="shared" si="142"/>
        <v>0.995451541092785+0.0114416787182641i</v>
      </c>
      <c r="AA238" s="160">
        <f t="shared" si="153"/>
        <v>0.99551729401145639</v>
      </c>
      <c r="AB238" s="160">
        <f t="shared" si="154"/>
        <v>1.149345239660755E-2</v>
      </c>
      <c r="AC238" s="171" t="str">
        <f t="shared" si="155"/>
        <v>-0.529750770854604-3.47830611495379i</v>
      </c>
      <c r="AD238" s="190">
        <f t="shared" si="156"/>
        <v>10.926943093819153</v>
      </c>
      <c r="AE238" s="169">
        <f t="shared" si="157"/>
        <v>-98.659678866642707</v>
      </c>
      <c r="AF238" s="98" t="str">
        <f t="shared" si="143"/>
        <v>-9.95024875621891E-06</v>
      </c>
      <c r="AG238" s="98" t="str">
        <f t="shared" si="144"/>
        <v>0.00996813579794095i</v>
      </c>
      <c r="AH238" s="98">
        <f t="shared" si="158"/>
        <v>9.9681357979409507E-3</v>
      </c>
      <c r="AI238" s="98">
        <f t="shared" si="159"/>
        <v>1.5707963267948966</v>
      </c>
      <c r="AJ238" s="98" t="str">
        <f t="shared" si="145"/>
        <v>1+0.099482293909297i</v>
      </c>
      <c r="AK238" s="98">
        <f t="shared" si="160"/>
        <v>1.0049361804619514</v>
      </c>
      <c r="AL238" s="98">
        <f t="shared" si="161"/>
        <v>9.9156045973033749E-2</v>
      </c>
      <c r="AM238" s="98" t="str">
        <f t="shared" si="146"/>
        <v>1+99.5817762032063i</v>
      </c>
      <c r="AN238" s="98">
        <f t="shared" si="162"/>
        <v>99.586797075643858</v>
      </c>
      <c r="AO238" s="98">
        <f t="shared" si="163"/>
        <v>1.5607546662998577</v>
      </c>
      <c r="AP238" s="168" t="str">
        <f t="shared" si="164"/>
        <v>-0.0983306293223955+0.0107803621445821i</v>
      </c>
      <c r="AQ238" s="98">
        <f t="shared" si="165"/>
        <v>-20.094334502762816</v>
      </c>
      <c r="AR238" s="169">
        <f t="shared" si="166"/>
        <v>173.74343228687104</v>
      </c>
      <c r="AS238" s="168" t="str">
        <f t="shared" si="167"/>
        <v>0.0895881262510736+0.336313124103159i</v>
      </c>
      <c r="AT238" s="190">
        <f t="shared" si="168"/>
        <v>-9.1673914089436543</v>
      </c>
      <c r="AU238" s="169">
        <f t="shared" si="169"/>
        <v>75.083753420228334</v>
      </c>
      <c r="AV238" s="225"/>
      <c r="AX238">
        <f t="shared" si="170"/>
        <v>0</v>
      </c>
      <c r="AY238">
        <f t="shared" si="171"/>
        <v>0</v>
      </c>
    </row>
    <row r="239" spans="14:51" x14ac:dyDescent="0.55000000000000004">
      <c r="N239" s="170">
        <v>21</v>
      </c>
      <c r="O239" s="199">
        <f t="shared" si="172"/>
        <v>1621.8100973589308</v>
      </c>
      <c r="P239" s="189" t="str">
        <f t="shared" si="138"/>
        <v>1078.86904761905</v>
      </c>
      <c r="Q239" s="160" t="str">
        <f t="shared" si="139"/>
        <v>1+318.441667961284i</v>
      </c>
      <c r="R239" s="160">
        <f t="shared" si="147"/>
        <v>318.44323810369195</v>
      </c>
      <c r="S239" s="160">
        <f t="shared" si="148"/>
        <v>1.5676560445596106</v>
      </c>
      <c r="T239" s="160" t="str">
        <f t="shared" si="140"/>
        <v>1+0.000203802667495222i</v>
      </c>
      <c r="U239" s="160">
        <f t="shared" si="149"/>
        <v>1.0000000207677635</v>
      </c>
      <c r="V239" s="160">
        <f t="shared" si="150"/>
        <v>2.0380266467353832E-4</v>
      </c>
      <c r="W239" s="98" t="str">
        <f t="shared" si="141"/>
        <v>1-0.147398241239244i</v>
      </c>
      <c r="X239" s="160">
        <f t="shared" si="151"/>
        <v>1.0108047494548205</v>
      </c>
      <c r="Y239" s="160">
        <f t="shared" si="152"/>
        <v>-0.14634447421331032</v>
      </c>
      <c r="Z239" s="98" t="str">
        <f t="shared" si="142"/>
        <v>0.995237178828619+0.0117081896523275i</v>
      </c>
      <c r="AA239" s="160">
        <f t="shared" si="153"/>
        <v>0.99530604530851885</v>
      </c>
      <c r="AB239" s="160">
        <f t="shared" si="154"/>
        <v>1.1763677865507449E-2</v>
      </c>
      <c r="AC239" s="171" t="str">
        <f t="shared" si="155"/>
        <v>-0.530374204852755-3.39958069389069i</v>
      </c>
      <c r="AD239" s="190">
        <f t="shared" si="156"/>
        <v>10.73294686175846</v>
      </c>
      <c r="AE239" s="169">
        <f t="shared" si="157"/>
        <v>-98.867327869627744</v>
      </c>
      <c r="AF239" s="98" t="str">
        <f t="shared" si="143"/>
        <v>-9.95024875621891E-06</v>
      </c>
      <c r="AG239" s="98" t="str">
        <f t="shared" si="144"/>
        <v>0.0102003235081359i</v>
      </c>
      <c r="AH239" s="98">
        <f t="shared" si="158"/>
        <v>1.02003235081359E-2</v>
      </c>
      <c r="AI239" s="98">
        <f t="shared" si="159"/>
        <v>1.5707963267948966</v>
      </c>
      <c r="AJ239" s="98" t="str">
        <f t="shared" si="145"/>
        <v>1+0.101799534213398i</v>
      </c>
      <c r="AK239" s="98">
        <f t="shared" si="160"/>
        <v>1.0051682173477556</v>
      </c>
      <c r="AL239" s="98">
        <f t="shared" si="161"/>
        <v>0.10145005025476717</v>
      </c>
      <c r="AM239" s="98" t="str">
        <f t="shared" si="146"/>
        <v>1+101.901333747611i</v>
      </c>
      <c r="AN239" s="98">
        <f t="shared" si="162"/>
        <v>101.90624033660551</v>
      </c>
      <c r="AO239" s="98">
        <f t="shared" si="163"/>
        <v>1.560983227554229</v>
      </c>
      <c r="AP239" s="168" t="str">
        <f t="shared" si="164"/>
        <v>-0.0982852365232426+0.0109808749431514i</v>
      </c>
      <c r="AQ239" s="98">
        <f t="shared" si="165"/>
        <v>-20.09635952735708</v>
      </c>
      <c r="AR239" s="169">
        <f t="shared" si="166"/>
        <v>173.62509111857847</v>
      </c>
      <c r="AS239" s="168" t="str">
        <f t="shared" si="167"/>
        <v>0.0894583246285453+0.328304619762334i</v>
      </c>
      <c r="AT239" s="190">
        <f t="shared" si="168"/>
        <v>-9.3634126655986201</v>
      </c>
      <c r="AU239" s="169">
        <f t="shared" si="169"/>
        <v>74.757763248950738</v>
      </c>
      <c r="AV239" s="225"/>
      <c r="AX239">
        <f t="shared" si="170"/>
        <v>0</v>
      </c>
      <c r="AY239">
        <f t="shared" si="171"/>
        <v>0</v>
      </c>
    </row>
    <row r="240" spans="14:51" x14ac:dyDescent="0.55000000000000004">
      <c r="N240" s="170">
        <v>22</v>
      </c>
      <c r="O240" s="199">
        <f t="shared" si="172"/>
        <v>1659.5869074375626</v>
      </c>
      <c r="P240" s="189" t="str">
        <f t="shared" si="138"/>
        <v>1078.86904761905</v>
      </c>
      <c r="Q240" s="160" t="str">
        <f t="shared" si="139"/>
        <v>1+325.859127274978i</v>
      </c>
      <c r="R240" s="160">
        <f t="shared" si="147"/>
        <v>325.86066167675148</v>
      </c>
      <c r="S240" s="160">
        <f t="shared" si="148"/>
        <v>1.5677275256562559</v>
      </c>
      <c r="T240" s="160" t="str">
        <f t="shared" si="140"/>
        <v>1+0.000208549841455986i</v>
      </c>
      <c r="U240" s="160">
        <f t="shared" si="149"/>
        <v>1.0000000217465179</v>
      </c>
      <c r="V240" s="160">
        <f t="shared" si="150"/>
        <v>2.0854983843249749E-4</v>
      </c>
      <c r="W240" s="98" t="str">
        <f t="shared" si="141"/>
        <v>1-0.150831587334627i</v>
      </c>
      <c r="X240" s="160">
        <f t="shared" si="151"/>
        <v>1.0113111132277164</v>
      </c>
      <c r="Y240" s="160">
        <f t="shared" si="152"/>
        <v>-0.14970313657348505</v>
      </c>
      <c r="Z240" s="98" t="str">
        <f t="shared" si="142"/>
        <v>0.995012713982185+0.0119809084235208i</v>
      </c>
      <c r="AA240" s="160">
        <f t="shared" si="153"/>
        <v>0.99508484218826609</v>
      </c>
      <c r="AB240" s="160">
        <f t="shared" si="154"/>
        <v>1.2040378267847469E-2</v>
      </c>
      <c r="AC240" s="171" t="str">
        <f t="shared" si="155"/>
        <v>-0.530980857857429-3.32265770047258i</v>
      </c>
      <c r="AD240" s="190">
        <f t="shared" si="156"/>
        <v>10.539229536131575</v>
      </c>
      <c r="AE240" s="169">
        <f t="shared" si="157"/>
        <v>-99.079442385050541</v>
      </c>
      <c r="AF240" s="98" t="str">
        <f t="shared" si="143"/>
        <v>-9.95024875621891E-06</v>
      </c>
      <c r="AG240" s="98" t="str">
        <f t="shared" si="144"/>
        <v>0.0104379195648721i</v>
      </c>
      <c r="AH240" s="98">
        <f t="shared" si="158"/>
        <v>1.0437919564872101E-2</v>
      </c>
      <c r="AI240" s="98">
        <f t="shared" si="159"/>
        <v>1.5707963267948966</v>
      </c>
      <c r="AJ240" s="98" t="str">
        <f t="shared" si="145"/>
        <v>1+0.104170749978015i</v>
      </c>
      <c r="AK240" s="98">
        <f t="shared" si="160"/>
        <v>1.0054111323985735</v>
      </c>
      <c r="AL240" s="98">
        <f t="shared" si="161"/>
        <v>0.10379637993552622</v>
      </c>
      <c r="AM240" s="98" t="str">
        <f t="shared" si="146"/>
        <v>1+104.274920727993i</v>
      </c>
      <c r="AN240" s="98">
        <f t="shared" si="162"/>
        <v>104.27971563458172</v>
      </c>
      <c r="AO240" s="98">
        <f t="shared" si="163"/>
        <v>1.5612065871100163</v>
      </c>
      <c r="AP240" s="168" t="str">
        <f t="shared" si="164"/>
        <v>-0.0982377493246867+0.0111867789496635i</v>
      </c>
      <c r="AQ240" s="98">
        <f t="shared" si="165"/>
        <v>-20.098477180641506</v>
      </c>
      <c r="AR240" s="169">
        <f t="shared" si="166"/>
        <v>173.5034538903852</v>
      </c>
      <c r="AS240" s="168" t="str">
        <f t="shared" si="167"/>
        <v>0.0893322016309892+0.320470448787411i</v>
      </c>
      <c r="AT240" s="190">
        <f t="shared" si="168"/>
        <v>-9.5592476445099415</v>
      </c>
      <c r="AU240" s="169">
        <f t="shared" si="169"/>
        <v>74.424011505334633</v>
      </c>
      <c r="AV240" s="225"/>
      <c r="AX240">
        <f t="shared" si="170"/>
        <v>0</v>
      </c>
      <c r="AY240">
        <f t="shared" si="171"/>
        <v>0</v>
      </c>
    </row>
    <row r="241" spans="14:51" x14ac:dyDescent="0.55000000000000004">
      <c r="N241" s="170">
        <v>23</v>
      </c>
      <c r="O241" s="199">
        <f t="shared" si="172"/>
        <v>1698.2436524617447</v>
      </c>
      <c r="P241" s="189" t="str">
        <f t="shared" si="138"/>
        <v>1078.86904761905</v>
      </c>
      <c r="Q241" s="160" t="str">
        <f t="shared" si="139"/>
        <v>1+333.449361411206i</v>
      </c>
      <c r="R241" s="160">
        <f t="shared" si="147"/>
        <v>333.45086088588988</v>
      </c>
      <c r="S241" s="160">
        <f t="shared" si="148"/>
        <v>1.5677973796747957</v>
      </c>
      <c r="T241" s="160" t="str">
        <f t="shared" si="140"/>
        <v>1+0.000213407591303172i</v>
      </c>
      <c r="U241" s="160">
        <f t="shared" si="149"/>
        <v>1.0000000227713997</v>
      </c>
      <c r="V241" s="160">
        <f t="shared" si="150"/>
        <v>2.1340758806344566E-4</v>
      </c>
      <c r="W241" s="98" t="str">
        <f t="shared" si="141"/>
        <v>1-0.154344906334106i</v>
      </c>
      <c r="X241" s="160">
        <f t="shared" si="151"/>
        <v>1.0118410695911113</v>
      </c>
      <c r="Y241" s="160">
        <f t="shared" si="152"/>
        <v>-0.15313651247737026</v>
      </c>
      <c r="Z241" s="98" t="str">
        <f t="shared" si="142"/>
        <v>0.994777670433451+0.0122599796309463i</v>
      </c>
      <c r="AA241" s="160">
        <f t="shared" si="153"/>
        <v>0.99485321565221607</v>
      </c>
      <c r="AB241" s="160">
        <f t="shared" si="154"/>
        <v>1.2323717481401522E-2</v>
      </c>
      <c r="AC241" s="171" t="str">
        <f t="shared" si="155"/>
        <v>-0.531572024715031-3.2474963633032i</v>
      </c>
      <c r="AD241" s="190">
        <f t="shared" si="156"/>
        <v>10.345803907246518</v>
      </c>
      <c r="AE241" s="169">
        <f t="shared" si="157"/>
        <v>-99.296118486824895</v>
      </c>
      <c r="AF241" s="98" t="str">
        <f t="shared" si="143"/>
        <v>-9.95024875621891E-06</v>
      </c>
      <c r="AG241" s="98" t="str">
        <f t="shared" si="144"/>
        <v>0.0106810499447238i</v>
      </c>
      <c r="AH241" s="98">
        <f t="shared" si="158"/>
        <v>1.0681049944723801E-2</v>
      </c>
      <c r="AI241" s="98">
        <f t="shared" si="159"/>
        <v>1.5707963267948966</v>
      </c>
      <c r="AJ241" s="98" t="str">
        <f t="shared" si="145"/>
        <v>1+0.106597198453133i</v>
      </c>
      <c r="AK241" s="98">
        <f t="shared" si="160"/>
        <v>1.005665432794653</v>
      </c>
      <c r="AL241" s="98">
        <f t="shared" si="161"/>
        <v>0.10619617567654915</v>
      </c>
      <c r="AM241" s="98" t="str">
        <f t="shared" si="146"/>
        <v>1+106.703795651586i</v>
      </c>
      <c r="AN241" s="98">
        <f t="shared" si="162"/>
        <v>106.70848141762407</v>
      </c>
      <c r="AO241" s="98">
        <f t="shared" si="163"/>
        <v>1.5614248633062147</v>
      </c>
      <c r="AP241" s="168" t="str">
        <f t="shared" si="164"/>
        <v>-0.0981880732809645+0.0113981531820522i</v>
      </c>
      <c r="AQ241" s="98">
        <f t="shared" si="165"/>
        <v>-20.100691815136443</v>
      </c>
      <c r="AR241" s="169">
        <f t="shared" si="166"/>
        <v>173.37846202754145</v>
      </c>
      <c r="AS241" s="168" t="str">
        <f t="shared" si="167"/>
        <v>0.0892094939239174+0.312806471534685i</v>
      </c>
      <c r="AT241" s="190">
        <f t="shared" si="168"/>
        <v>-9.7548879078899198</v>
      </c>
      <c r="AU241" s="169">
        <f t="shared" si="169"/>
        <v>74.082343540716565</v>
      </c>
      <c r="AV241" s="225"/>
      <c r="AX241">
        <f t="shared" si="170"/>
        <v>0</v>
      </c>
      <c r="AY241">
        <f t="shared" si="171"/>
        <v>0</v>
      </c>
    </row>
    <row r="242" spans="14:51" x14ac:dyDescent="0.55000000000000004">
      <c r="N242" s="170">
        <v>24</v>
      </c>
      <c r="O242" s="199">
        <f t="shared" si="172"/>
        <v>1737.8008287493772</v>
      </c>
      <c r="P242" s="189" t="str">
        <f t="shared" si="138"/>
        <v>1078.86904761905</v>
      </c>
      <c r="Q242" s="160" t="str">
        <f t="shared" si="139"/>
        <v>1+341.216394812581i</v>
      </c>
      <c r="R242" s="160">
        <f t="shared" si="147"/>
        <v>341.21786015520223</v>
      </c>
      <c r="S242" s="160">
        <f t="shared" si="148"/>
        <v>1.5678656436500269</v>
      </c>
      <c r="T242" s="160" t="str">
        <f t="shared" si="140"/>
        <v>1+0.000218378492680052i</v>
      </c>
      <c r="U242" s="160">
        <f t="shared" si="149"/>
        <v>1.0000000238445828</v>
      </c>
      <c r="V242" s="160">
        <f t="shared" si="150"/>
        <v>2.183784892086227E-4</v>
      </c>
      <c r="W242" s="98" t="str">
        <f t="shared" si="141"/>
        <v>1-0.157940061045921i</v>
      </c>
      <c r="X242" s="160">
        <f t="shared" si="151"/>
        <v>1.0123957046941623</v>
      </c>
      <c r="Y242" s="160">
        <f t="shared" si="152"/>
        <v>-0.15664609839639831</v>
      </c>
      <c r="Z242" s="98" t="str">
        <f t="shared" si="142"/>
        <v>0.994531549623536+0.0125455512418521i</v>
      </c>
      <c r="AA242" s="160">
        <f t="shared" si="153"/>
        <v>0.99461067461220909</v>
      </c>
      <c r="AB242" s="160">
        <f t="shared" si="154"/>
        <v>1.2613864152551474E-2</v>
      </c>
      <c r="AC242" s="171" t="str">
        <f t="shared" si="155"/>
        <v>-0.532148968219773-3.17405684473952i</v>
      </c>
      <c r="AD242" s="190">
        <f t="shared" si="156"/>
        <v>10.152683334230151</v>
      </c>
      <c r="AE242" s="169">
        <f t="shared" si="157"/>
        <v>-99.517453553537905</v>
      </c>
      <c r="AF242" s="98" t="str">
        <f t="shared" si="143"/>
        <v>-9.95024875621891E-06</v>
      </c>
      <c r="AG242" s="98" t="str">
        <f t="shared" si="144"/>
        <v>0.0109298435586366i</v>
      </c>
      <c r="AH242" s="98">
        <f t="shared" si="158"/>
        <v>1.09298435586366E-2</v>
      </c>
      <c r="AI242" s="98">
        <f t="shared" si="159"/>
        <v>1.5707963267948966</v>
      </c>
      <c r="AJ242" s="98" t="str">
        <f t="shared" si="145"/>
        <v>1+0.109080166173852i</v>
      </c>
      <c r="AK242" s="98">
        <f t="shared" si="160"/>
        <v>1.0059316490957599</v>
      </c>
      <c r="AL242" s="98">
        <f t="shared" si="161"/>
        <v>0.10865059925720527</v>
      </c>
      <c r="AM242" s="98" t="str">
        <f t="shared" si="146"/>
        <v>1+109.189246340026i</v>
      </c>
      <c r="AN242" s="98">
        <f t="shared" si="162"/>
        <v>109.19382544953208</v>
      </c>
      <c r="AO242" s="98">
        <f t="shared" si="163"/>
        <v>1.5616381717925076</v>
      </c>
      <c r="AP242" s="168" t="str">
        <f t="shared" si="164"/>
        <v>-0.0981361098958335+0.0116150774821759i</v>
      </c>
      <c r="AQ242" s="98">
        <f t="shared" si="165"/>
        <v>-20.103007975835428</v>
      </c>
      <c r="AR242" s="169">
        <f t="shared" si="166"/>
        <v>173.25005559123139</v>
      </c>
      <c r="AS242" s="168" t="str">
        <f t="shared" si="167"/>
        <v>0.0890899458106503+0.305308639833047i</v>
      </c>
      <c r="AT242" s="190">
        <f t="shared" si="168"/>
        <v>-9.9503246416052917</v>
      </c>
      <c r="AU242" s="169">
        <f t="shared" si="169"/>
        <v>73.732602037693454</v>
      </c>
      <c r="AV242" s="225"/>
      <c r="AX242">
        <f t="shared" si="170"/>
        <v>0</v>
      </c>
      <c r="AY242">
        <f t="shared" si="171"/>
        <v>0</v>
      </c>
    </row>
    <row r="243" spans="14:51" x14ac:dyDescent="0.55000000000000004">
      <c r="N243" s="170">
        <v>25</v>
      </c>
      <c r="O243" s="199">
        <f t="shared" si="172"/>
        <v>1778.2794100389244</v>
      </c>
      <c r="P243" s="189" t="str">
        <f t="shared" si="138"/>
        <v>1078.86904761905</v>
      </c>
      <c r="Q243" s="160" t="str">
        <f t="shared" si="139"/>
        <v>1+349.164345663019i</v>
      </c>
      <c r="R243" s="160">
        <f t="shared" si="147"/>
        <v>349.16577765050829</v>
      </c>
      <c r="S243" s="160">
        <f t="shared" si="148"/>
        <v>1.5679323537738661</v>
      </c>
      <c r="T243" s="160" t="str">
        <f t="shared" si="140"/>
        <v>1+0.000223465181224332i</v>
      </c>
      <c r="U243" s="160">
        <f t="shared" si="149"/>
        <v>1.0000000249683434</v>
      </c>
      <c r="V243" s="160">
        <f t="shared" si="150"/>
        <v>2.2346517750462851E-4</v>
      </c>
      <c r="W243" s="98" t="str">
        <f t="shared" si="141"/>
        <v>1-0.161618957668686i</v>
      </c>
      <c r="X243" s="160">
        <f t="shared" si="151"/>
        <v>1.012976153459652</v>
      </c>
      <c r="Y243" s="160">
        <f t="shared" si="152"/>
        <v>-0.16023340915612941</v>
      </c>
      <c r="Z243" s="98" t="str">
        <f t="shared" si="142"/>
        <v>0.994273829497205+0.0128377746700865i</v>
      </c>
      <c r="AA243" s="160">
        <f t="shared" si="153"/>
        <v>0.99435670485068728</v>
      </c>
      <c r="AB243" s="160">
        <f t="shared" si="154"/>
        <v>1.2910991877575747E-2</v>
      </c>
      <c r="AC243" s="171" t="str">
        <f t="shared" si="155"/>
        <v>-0.532712921869266-3.10230021983421i</v>
      </c>
      <c r="AD243" s="190">
        <f t="shared" si="156"/>
        <v>9.959881768809522</v>
      </c>
      <c r="AE243" s="169">
        <f t="shared" si="157"/>
        <v>-99.743546247268355</v>
      </c>
      <c r="AF243" s="98" t="str">
        <f t="shared" si="143"/>
        <v>-9.95024875621891E-06</v>
      </c>
      <c r="AG243" s="98" t="str">
        <f t="shared" si="144"/>
        <v>0.0111844323202778i</v>
      </c>
      <c r="AH243" s="98">
        <f t="shared" si="158"/>
        <v>1.11844323202778E-2</v>
      </c>
      <c r="AI243" s="98">
        <f t="shared" si="159"/>
        <v>1.5707963267948966</v>
      </c>
      <c r="AJ243" s="98" t="str">
        <f t="shared" si="145"/>
        <v>1+0.111620969642523i</v>
      </c>
      <c r="AK243" s="98">
        <f t="shared" si="160"/>
        <v>1.0062103362935291</v>
      </c>
      <c r="AL243" s="98">
        <f t="shared" si="161"/>
        <v>0.11116083369356211</v>
      </c>
      <c r="AM243" s="98" t="str">
        <f t="shared" si="146"/>
        <v>1+111.732590612166i</v>
      </c>
      <c r="AN243" s="98">
        <f t="shared" si="162"/>
        <v>111.73706549263717</v>
      </c>
      <c r="AO243" s="98">
        <f t="shared" si="163"/>
        <v>1.5618466255901884</v>
      </c>
      <c r="AP243" s="168" t="str">
        <f t="shared" si="164"/>
        <v>-0.0980817564688116+0.0118376324191738i</v>
      </c>
      <c r="AQ243" s="98">
        <f t="shared" si="165"/>
        <v>-20.105430408598504</v>
      </c>
      <c r="AR243" s="169">
        <f t="shared" si="166"/>
        <v>173.11817327527035</v>
      </c>
      <c r="AS243" s="168" t="str">
        <f t="shared" si="167"/>
        <v>0.0889733087268899+0.297972994900887i</v>
      </c>
      <c r="AT243" s="190">
        <f t="shared" si="168"/>
        <v>-10.145548639788988</v>
      </c>
      <c r="AU243" s="169">
        <f t="shared" si="169"/>
        <v>73.374627028001996</v>
      </c>
      <c r="AV243" s="225"/>
      <c r="AX243">
        <f t="shared" si="170"/>
        <v>0</v>
      </c>
      <c r="AY243">
        <f t="shared" si="171"/>
        <v>0</v>
      </c>
    </row>
    <row r="244" spans="14:51" x14ac:dyDescent="0.55000000000000004">
      <c r="N244" s="170">
        <v>26</v>
      </c>
      <c r="O244" s="199">
        <f t="shared" si="172"/>
        <v>1819.7008586099832</v>
      </c>
      <c r="P244" s="189" t="str">
        <f t="shared" si="138"/>
        <v>1078.86904761905</v>
      </c>
      <c r="Q244" s="160" t="str">
        <f t="shared" si="139"/>
        <v>1+357.297428071259i</v>
      </c>
      <c r="R244" s="160">
        <f t="shared" si="147"/>
        <v>357.29882746286262</v>
      </c>
      <c r="S244" s="160">
        <f t="shared" si="148"/>
        <v>1.5679975454145276</v>
      </c>
      <c r="T244" s="160" t="str">
        <f t="shared" si="140"/>
        <v>1+0.000228670353965606i</v>
      </c>
      <c r="U244" s="160">
        <f t="shared" si="149"/>
        <v>1.000000026145065</v>
      </c>
      <c r="V244" s="160">
        <f t="shared" si="150"/>
        <v>2.286703499798719E-4</v>
      </c>
      <c r="W244" s="98" t="str">
        <f t="shared" si="141"/>
        <v>1-0.165383546802085i</v>
      </c>
      <c r="X244" s="160">
        <f t="shared" si="151"/>
        <v>1.0135836016593982</v>
      </c>
      <c r="Y244" s="160">
        <f t="shared" si="152"/>
        <v>-0.16389997729278796</v>
      </c>
      <c r="Z244" s="98" t="str">
        <f t="shared" si="142"/>
        <v>0.994003963395517+0.0131368048563787i</v>
      </c>
      <c r="AA244" s="160">
        <f t="shared" si="153"/>
        <v>0.99409076793209938</v>
      </c>
      <c r="AB244" s="160">
        <f t="shared" si="154"/>
        <v>1.3215279393450631E-2</v>
      </c>
      <c r="AC244" s="171" t="str">
        <f t="shared" si="155"/>
        <v>-0.533265092565707-3.03218845576119i</v>
      </c>
      <c r="AD244" s="190">
        <f t="shared" si="156"/>
        <v>9.7674137799489351</v>
      </c>
      <c r="AE244" s="169">
        <f t="shared" si="157"/>
        <v>-99.974496488669104</v>
      </c>
      <c r="AF244" s="98" t="str">
        <f t="shared" si="143"/>
        <v>-9.95024875621891E-06</v>
      </c>
      <c r="AG244" s="98" t="str">
        <f t="shared" si="144"/>
        <v>0.0114449512159786i</v>
      </c>
      <c r="AH244" s="98">
        <f t="shared" si="158"/>
        <v>1.14449512159786E-2</v>
      </c>
      <c r="AI244" s="98">
        <f t="shared" si="159"/>
        <v>1.5707963267948966</v>
      </c>
      <c r="AJ244" s="98" t="str">
        <f t="shared" si="145"/>
        <v>1+0.114220956026776i</v>
      </c>
      <c r="AK244" s="98">
        <f t="shared" si="160"/>
        <v>1.0065020749087756</v>
      </c>
      <c r="AL244" s="98">
        <f t="shared" si="161"/>
        <v>0.11372808333497754</v>
      </c>
      <c r="AM244" s="98" t="str">
        <f t="shared" si="146"/>
        <v>1+114.335176982803i</v>
      </c>
      <c r="AN244" s="98">
        <f t="shared" si="162"/>
        <v>114.33955000649986</v>
      </c>
      <c r="AO244" s="98">
        <f t="shared" si="163"/>
        <v>1.5620503351517143</v>
      </c>
      <c r="AP244" s="168" t="str">
        <f t="shared" si="164"/>
        <v>-0.0980249059375475+0.0120658991843902i</v>
      </c>
      <c r="AQ244" s="98">
        <f t="shared" si="165"/>
        <v>-20.107964068854468</v>
      </c>
      <c r="AR244" s="169">
        <f t="shared" si="166"/>
        <v>172.98275240398257</v>
      </c>
      <c r="AS244" s="168" t="str">
        <f t="shared" si="167"/>
        <v>0.0888593407538173+0.290795665315456i</v>
      </c>
      <c r="AT244" s="190">
        <f t="shared" si="168"/>
        <v>-10.340550288905524</v>
      </c>
      <c r="AU244" s="169">
        <f t="shared" si="169"/>
        <v>73.008255915313484</v>
      </c>
      <c r="AV244" s="225"/>
      <c r="AX244">
        <f t="shared" si="170"/>
        <v>0</v>
      </c>
      <c r="AY244">
        <f t="shared" si="171"/>
        <v>0</v>
      </c>
    </row>
    <row r="245" spans="14:51" x14ac:dyDescent="0.55000000000000004">
      <c r="N245" s="170">
        <v>27</v>
      </c>
      <c r="O245" s="199">
        <f t="shared" si="172"/>
        <v>1862.0871366628687</v>
      </c>
      <c r="P245" s="189" t="str">
        <f t="shared" si="138"/>
        <v>1078.86904761905</v>
      </c>
      <c r="Q245" s="160" t="str">
        <f t="shared" si="139"/>
        <v>1+365.619954305256i</v>
      </c>
      <c r="R245" s="160">
        <f t="shared" si="147"/>
        <v>365.6213218429383</v>
      </c>
      <c r="S245" s="160">
        <f t="shared" si="148"/>
        <v>1.5680612531352647</v>
      </c>
      <c r="T245" s="160" t="str">
        <f t="shared" si="140"/>
        <v>1+0.000233996770755364i</v>
      </c>
      <c r="U245" s="160">
        <f t="shared" si="149"/>
        <v>1.000000027377244</v>
      </c>
      <c r="V245" s="160">
        <f t="shared" si="150"/>
        <v>2.3399676648457296E-4</v>
      </c>
      <c r="W245" s="98" t="str">
        <f t="shared" si="141"/>
        <v>1-0.16923582448111i</v>
      </c>
      <c r="X245" s="160">
        <f t="shared" si="151"/>
        <v>1.0142192880673297</v>
      </c>
      <c r="Y245" s="160">
        <f t="shared" si="152"/>
        <v>-0.16764735233073849</v>
      </c>
      <c r="Z245" s="98" t="str">
        <f t="shared" si="142"/>
        <v>0.993721378896287+0.0134428003504921i</v>
      </c>
      <c r="AA245" s="160">
        <f t="shared" si="153"/>
        <v>0.99381230006314614</v>
      </c>
      <c r="AB245" s="160">
        <f t="shared" si="154"/>
        <v>1.3526910778801721E-2</v>
      </c>
      <c r="AC245" s="171" t="str">
        <f t="shared" si="155"/>
        <v>-0.533806663269077-2.96368439171247i</v>
      </c>
      <c r="AD245" s="190">
        <f t="shared" si="156"/>
        <v>9.575294579358232</v>
      </c>
      <c r="AE245" s="169">
        <f t="shared" si="157"/>
        <v>-100.21040542807584</v>
      </c>
      <c r="AF245" s="98" t="str">
        <f t="shared" si="143"/>
        <v>-9.95024875621891E-06</v>
      </c>
      <c r="AG245" s="98" t="str">
        <f t="shared" si="144"/>
        <v>0.011711538376306i</v>
      </c>
      <c r="AH245" s="98">
        <f t="shared" si="158"/>
        <v>1.1711538376306001E-2</v>
      </c>
      <c r="AI245" s="98">
        <f t="shared" si="159"/>
        <v>1.5707963267948966</v>
      </c>
      <c r="AJ245" s="98" t="str">
        <f t="shared" si="145"/>
        <v>1+0.116881503873808i</v>
      </c>
      <c r="AK245" s="98">
        <f t="shared" si="160"/>
        <v>1.0068074721354638</v>
      </c>
      <c r="AL245" s="98">
        <f t="shared" si="161"/>
        <v>0.1163535739366633</v>
      </c>
      <c r="AM245" s="98" t="str">
        <f t="shared" si="146"/>
        <v>1+116.998385377682i</v>
      </c>
      <c r="AN245" s="98">
        <f t="shared" si="162"/>
        <v>117.0026588628848</v>
      </c>
      <c r="AO245" s="98">
        <f t="shared" si="163"/>
        <v>1.5622494084189251</v>
      </c>
      <c r="AP245" s="168" t="str">
        <f t="shared" si="164"/>
        <v>-0.0979654467164169+0.0122999594773045i</v>
      </c>
      <c r="AQ245" s="98">
        <f t="shared" si="165"/>
        <v>-20.110614130621411</v>
      </c>
      <c r="AR245" s="169">
        <f t="shared" si="166"/>
        <v>172.84372893137981</v>
      </c>
      <c r="AS245" s="168" t="str">
        <f t="shared" si="167"/>
        <v>0.0887478061489383+0.28377286503366i</v>
      </c>
      <c r="AT245" s="190">
        <f t="shared" si="168"/>
        <v>-10.535319551263168</v>
      </c>
      <c r="AU245" s="169">
        <f t="shared" si="169"/>
        <v>72.633323503303998</v>
      </c>
      <c r="AV245" s="225"/>
      <c r="AX245">
        <f t="shared" si="170"/>
        <v>0</v>
      </c>
      <c r="AY245">
        <f t="shared" si="171"/>
        <v>0</v>
      </c>
    </row>
    <row r="246" spans="14:51" x14ac:dyDescent="0.55000000000000004">
      <c r="N246" s="170">
        <v>28</v>
      </c>
      <c r="O246" s="199">
        <f t="shared" si="172"/>
        <v>1905.4607179632501</v>
      </c>
      <c r="P246" s="189" t="str">
        <f t="shared" si="138"/>
        <v>1078.86904761905</v>
      </c>
      <c r="Q246" s="160" t="str">
        <f t="shared" si="139"/>
        <v>1+374.136337078581i</v>
      </c>
      <c r="R246" s="160">
        <f t="shared" si="147"/>
        <v>374.13767348741771</v>
      </c>
      <c r="S246" s="160">
        <f t="shared" si="148"/>
        <v>1.5681235107126845</v>
      </c>
      <c r="T246" s="160" t="str">
        <f t="shared" si="140"/>
        <v>1+0.000239447255730292i</v>
      </c>
      <c r="U246" s="160">
        <f t="shared" si="149"/>
        <v>1.0000000286674937</v>
      </c>
      <c r="V246" s="160">
        <f t="shared" si="150"/>
        <v>2.3944725115405697E-4</v>
      </c>
      <c r="W246" s="98" t="str">
        <f t="shared" si="141"/>
        <v>1-0.173177833234376i</v>
      </c>
      <c r="X246" s="160">
        <f t="shared" si="151"/>
        <v>1.0148845066921424</v>
      </c>
      <c r="Y246" s="160">
        <f t="shared" si="152"/>
        <v>-0.17147709997585725</v>
      </c>
      <c r="Z246" s="98" t="str">
        <f t="shared" si="142"/>
        <v>0.993425476599908+0.013755923395288i</v>
      </c>
      <c r="AA246" s="160">
        <f t="shared" si="153"/>
        <v>0.99352071089948157</v>
      </c>
      <c r="AB246" s="160">
        <f t="shared" si="154"/>
        <v>1.3846075665681778E-2</v>
      </c>
      <c r="AC246" s="171" t="str">
        <f t="shared" si="155"/>
        <v>-0.534338795608873-2.89675171925751i</v>
      </c>
      <c r="AD246" s="190">
        <f t="shared" si="156"/>
        <v>9.3835400478945949</v>
      </c>
      <c r="AE246" s="169">
        <f t="shared" si="157"/>
        <v>-100.45137541238927</v>
      </c>
      <c r="AF246" s="98" t="str">
        <f t="shared" si="143"/>
        <v>-9.95024875621891E-06</v>
      </c>
      <c r="AG246" s="98" t="str">
        <f t="shared" si="144"/>
        <v>0.0119843351493011i</v>
      </c>
      <c r="AH246" s="98">
        <f t="shared" si="158"/>
        <v>1.19843351493011E-2</v>
      </c>
      <c r="AI246" s="98">
        <f t="shared" si="159"/>
        <v>1.5707963267948966</v>
      </c>
      <c r="AJ246" s="98" t="str">
        <f t="shared" si="145"/>
        <v>1+0.119604023841305i</v>
      </c>
      <c r="AK246" s="98">
        <f t="shared" si="160"/>
        <v>1.0071271630330658</v>
      </c>
      <c r="AL246" s="98">
        <f t="shared" si="161"/>
        <v>0.11903855270603216</v>
      </c>
      <c r="AM246" s="98" t="str">
        <f t="shared" si="146"/>
        <v>1+119.723627865146i</v>
      </c>
      <c r="AN246" s="98">
        <f t="shared" si="162"/>
        <v>119.72780407738199</v>
      </c>
      <c r="AO246" s="98">
        <f t="shared" si="163"/>
        <v>1.5624439508799515</v>
      </c>
      <c r="AP246" s="168" t="str">
        <f t="shared" si="164"/>
        <v>-0.0979032625314887+0.0125398953818885i</v>
      </c>
      <c r="AQ246" s="98">
        <f t="shared" si="165"/>
        <v>-20.113385995852738</v>
      </c>
      <c r="AR246" s="169">
        <f t="shared" si="166"/>
        <v>172.70103744176566</v>
      </c>
      <c r="AS246" s="168" t="str">
        <f t="shared" si="167"/>
        <v>0.0886384748940498+0.27690089146359i</v>
      </c>
      <c r="AT246" s="190">
        <f t="shared" si="168"/>
        <v>-10.729845947958133</v>
      </c>
      <c r="AU246" s="169">
        <f t="shared" si="169"/>
        <v>72.24966202937641</v>
      </c>
      <c r="AV246" s="225"/>
      <c r="AX246">
        <f t="shared" si="170"/>
        <v>0</v>
      </c>
      <c r="AY246">
        <f t="shared" si="171"/>
        <v>0</v>
      </c>
    </row>
    <row r="247" spans="14:51" x14ac:dyDescent="0.55000000000000004">
      <c r="N247" s="170">
        <v>29</v>
      </c>
      <c r="O247" s="199">
        <f t="shared" si="172"/>
        <v>1949.8445997580463</v>
      </c>
      <c r="P247" s="189" t="str">
        <f t="shared" si="138"/>
        <v>1078.86904761905</v>
      </c>
      <c r="Q247" s="160" t="str">
        <f t="shared" si="139"/>
        <v>1+382.8510918901i</v>
      </c>
      <c r="R247" s="160">
        <f t="shared" si="147"/>
        <v>382.8523978786626</v>
      </c>
      <c r="S247" s="160">
        <f t="shared" si="148"/>
        <v>1.5681843511546467</v>
      </c>
      <c r="T247" s="160" t="str">
        <f t="shared" si="140"/>
        <v>1+0.000245024698809664i</v>
      </c>
      <c r="U247" s="160">
        <f t="shared" si="149"/>
        <v>1.000000030018551</v>
      </c>
      <c r="V247" s="160">
        <f t="shared" si="150"/>
        <v>2.4502469390613979E-4</v>
      </c>
      <c r="W247" s="98" t="str">
        <f t="shared" si="141"/>
        <v>1-0.177211663167101i</v>
      </c>
      <c r="X247" s="160">
        <f t="shared" si="151"/>
        <v>1.0155806090913957</v>
      </c>
      <c r="Y247" s="160">
        <f t="shared" si="152"/>
        <v>-0.17539080121959785</v>
      </c>
      <c r="Z247" s="98" t="str">
        <f t="shared" si="142"/>
        <v>0.993115628857935+0.014076340012749i</v>
      </c>
      <c r="AA247" s="160">
        <f t="shared" si="153"/>
        <v>0.99321538229633077</v>
      </c>
      <c r="AB247" s="160">
        <f t="shared" si="154"/>
        <v>1.417296946291491E-2</v>
      </c>
      <c r="AC247" s="171" t="str">
        <f t="shared" si="155"/>
        <v>-0.53486263246085-2.83135496315345i</v>
      </c>
      <c r="AD247" s="190">
        <f t="shared" si="156"/>
        <v>9.1921667628709223</v>
      </c>
      <c r="AE247" s="169">
        <f t="shared" si="157"/>
        <v>-100.69750994747911</v>
      </c>
      <c r="AF247" s="98" t="str">
        <f t="shared" si="143"/>
        <v>-9.95024875621891E-06</v>
      </c>
      <c r="AG247" s="98" t="str">
        <f t="shared" si="144"/>
        <v>0.0122634861754237i</v>
      </c>
      <c r="AH247" s="98">
        <f t="shared" si="158"/>
        <v>1.22634861754237E-2</v>
      </c>
      <c r="AI247" s="98">
        <f t="shared" si="159"/>
        <v>1.5707963267948966</v>
      </c>
      <c r="AJ247" s="98" t="str">
        <f t="shared" si="145"/>
        <v>1+0.122389959445387i</v>
      </c>
      <c r="AK247" s="98">
        <f t="shared" si="160"/>
        <v>1.0074618117690832</v>
      </c>
      <c r="AL247" s="98">
        <f t="shared" si="161"/>
        <v>0.12178428832050897</v>
      </c>
      <c r="AM247" s="98" t="str">
        <f t="shared" si="146"/>
        <v>1+122.512349404832i</v>
      </c>
      <c r="AN247" s="98">
        <f t="shared" si="162"/>
        <v>122.5164305580751</v>
      </c>
      <c r="AO247" s="98">
        <f t="shared" si="163"/>
        <v>1.5626340656248447</v>
      </c>
      <c r="AP247" s="168" t="str">
        <f t="shared" si="164"/>
        <v>-0.0978382322520346+0.0127857892327754i</v>
      </c>
      <c r="AQ247" s="98">
        <f t="shared" si="165"/>
        <v>-20.116285304115912</v>
      </c>
      <c r="AR247" s="169">
        <f t="shared" si="166"/>
        <v>172.55461115190298</v>
      </c>
      <c r="AS247" s="168" t="str">
        <f t="shared" si="167"/>
        <v>0.0885311222596918+0.270176123585826i</v>
      </c>
      <c r="AT247" s="190">
        <f t="shared" si="168"/>
        <v>-10.924118541244997</v>
      </c>
      <c r="AU247" s="169">
        <f t="shared" si="169"/>
        <v>71.85710120442387</v>
      </c>
      <c r="AV247" s="225"/>
      <c r="AX247">
        <f t="shared" si="170"/>
        <v>0</v>
      </c>
      <c r="AY247">
        <f t="shared" si="171"/>
        <v>0</v>
      </c>
    </row>
    <row r="248" spans="14:51" x14ac:dyDescent="0.55000000000000004">
      <c r="N248" s="170">
        <v>30</v>
      </c>
      <c r="O248" s="199">
        <f t="shared" si="172"/>
        <v>1995.2623149688804</v>
      </c>
      <c r="P248" s="189" t="str">
        <f t="shared" si="138"/>
        <v>1078.86904761905</v>
      </c>
      <c r="Q248" s="160" t="str">
        <f t="shared" si="139"/>
        <v>1+391.768839418175i</v>
      </c>
      <c r="R248" s="160">
        <f t="shared" si="147"/>
        <v>391.77011567890651</v>
      </c>
      <c r="S248" s="160">
        <f t="shared" si="148"/>
        <v>1.5682438067177564</v>
      </c>
      <c r="T248" s="160" t="str">
        <f t="shared" si="140"/>
        <v>1+0.000250732057227632i</v>
      </c>
      <c r="U248" s="160">
        <f t="shared" si="149"/>
        <v>1.0000000314332818</v>
      </c>
      <c r="V248" s="160">
        <f t="shared" si="150"/>
        <v>2.5073205197341118E-4</v>
      </c>
      <c r="W248" s="98" t="str">
        <f t="shared" si="141"/>
        <v>1-0.181339453069313i</v>
      </c>
      <c r="X248" s="160">
        <f t="shared" si="151"/>
        <v>1.0163090067688456</v>
      </c>
      <c r="Y248" s="160">
        <f t="shared" si="152"/>
        <v>-0.17939005134831845</v>
      </c>
      <c r="Z248" s="98" t="str">
        <f t="shared" si="142"/>
        <v>0.992791178441766+0.0144042200920072i</v>
      </c>
      <c r="AA248" s="160">
        <f t="shared" si="153"/>
        <v>0.99289566700044052</v>
      </c>
      <c r="AB248" s="160">
        <f t="shared" si="154"/>
        <v>1.4507793591798003E-2</v>
      </c>
      <c r="AC248" s="171" t="str">
        <f t="shared" si="155"/>
        <v>-0.535379300495204-2.76745946259701i</v>
      </c>
      <c r="AD248" s="190">
        <f t="shared" si="156"/>
        <v>9.0011920262888534</v>
      </c>
      <c r="AE248" s="169">
        <f t="shared" si="157"/>
        <v>-100.94891365584142</v>
      </c>
      <c r="AF248" s="98" t="str">
        <f t="shared" si="143"/>
        <v>-9.95024875621891E-06</v>
      </c>
      <c r="AG248" s="98" t="str">
        <f t="shared" si="144"/>
        <v>0.012549139464243i</v>
      </c>
      <c r="AH248" s="98">
        <f t="shared" si="158"/>
        <v>1.2549139464243001E-2</v>
      </c>
      <c r="AI248" s="98">
        <f t="shared" si="159"/>
        <v>1.5707963267948966</v>
      </c>
      <c r="AJ248" s="98" t="str">
        <f t="shared" si="145"/>
        <v>1+0.12524078782599i</v>
      </c>
      <c r="AK248" s="98">
        <f t="shared" si="160"/>
        <v>1.0078121129135502</v>
      </c>
      <c r="AL248" s="98">
        <f t="shared" si="161"/>
        <v>0.12459207091435864</v>
      </c>
      <c r="AM248" s="98" t="str">
        <f t="shared" si="146"/>
        <v>1+125.366028613816i</v>
      </c>
      <c r="AN248" s="98">
        <f t="shared" si="162"/>
        <v>125.37001687165927</v>
      </c>
      <c r="AO248" s="98">
        <f t="shared" si="163"/>
        <v>1.5628198533999562</v>
      </c>
      <c r="AP248" s="168" t="str">
        <f t="shared" si="164"/>
        <v>-0.0977702297187946+0.0130377234706107i</v>
      </c>
      <c r="AQ248" s="98">
        <f t="shared" si="165"/>
        <v>-20.119317942610415</v>
      </c>
      <c r="AR248" s="169">
        <f t="shared" si="166"/>
        <v>172.40438191488406</v>
      </c>
      <c r="AS248" s="168" t="str">
        <f t="shared" si="167"/>
        <v>0.0884255283855684+0.263595020123816i</v>
      </c>
      <c r="AT248" s="190">
        <f t="shared" si="168"/>
        <v>-11.118125916321564</v>
      </c>
      <c r="AU248" s="169">
        <f t="shared" si="169"/>
        <v>71.455468259042632</v>
      </c>
      <c r="AV248" s="225"/>
      <c r="AX248">
        <f t="shared" si="170"/>
        <v>0</v>
      </c>
      <c r="AY248">
        <f t="shared" si="171"/>
        <v>0</v>
      </c>
    </row>
    <row r="249" spans="14:51" x14ac:dyDescent="0.55000000000000004">
      <c r="N249" s="170">
        <v>31</v>
      </c>
      <c r="O249" s="199">
        <f t="shared" si="172"/>
        <v>2041.7379446695318</v>
      </c>
      <c r="P249" s="189" t="str">
        <f t="shared" si="138"/>
        <v>1078.86904761905</v>
      </c>
      <c r="Q249" s="160" t="str">
        <f t="shared" si="139"/>
        <v>1+400.894307970581i</v>
      </c>
      <c r="R249" s="160">
        <f t="shared" si="147"/>
        <v>400.89555518016294</v>
      </c>
      <c r="S249" s="160">
        <f t="shared" si="148"/>
        <v>1.5683019089244579</v>
      </c>
      <c r="T249" s="160" t="str">
        <f t="shared" si="140"/>
        <v>1+0.000256572357101172i</v>
      </c>
      <c r="U249" s="160">
        <f t="shared" si="149"/>
        <v>1.0000000329146868</v>
      </c>
      <c r="V249" s="160">
        <f t="shared" si="150"/>
        <v>2.5657235147117296E-4</v>
      </c>
      <c r="W249" s="98" t="str">
        <f t="shared" si="141"/>
        <v>1-0.185563391549852i</v>
      </c>
      <c r="X249" s="160">
        <f t="shared" si="151"/>
        <v>1.0170711736567328</v>
      </c>
      <c r="Y249" s="160">
        <f t="shared" si="152"/>
        <v>-0.18347645885224312</v>
      </c>
      <c r="Z249" s="98" t="str">
        <f t="shared" si="142"/>
        <v>0.992451437148568+0.0147397374794206i</v>
      </c>
      <c r="AA249" s="160">
        <f t="shared" si="153"/>
        <v>0.992560887280584</v>
      </c>
      <c r="AB249" s="160">
        <f t="shared" si="154"/>
        <v>1.4850755735010214E-2</v>
      </c>
      <c r="AC249" s="171" t="str">
        <f t="shared" si="155"/>
        <v>-0.535889912702767-2.70503135290858i</v>
      </c>
      <c r="AD249" s="190">
        <f t="shared" si="156"/>
        <v>8.8106338940122981</v>
      </c>
      <c r="AE249" s="169">
        <f t="shared" si="157"/>
        <v>-101.20569222923781</v>
      </c>
      <c r="AF249" s="98" t="str">
        <f t="shared" si="143"/>
        <v>-9.95024875621891E-06</v>
      </c>
      <c r="AG249" s="98" t="str">
        <f t="shared" si="144"/>
        <v>0.0128414464729137i</v>
      </c>
      <c r="AH249" s="98">
        <f t="shared" si="158"/>
        <v>1.2841446472913701E-2</v>
      </c>
      <c r="AI249" s="98">
        <f t="shared" si="159"/>
        <v>1.5707963267948966</v>
      </c>
      <c r="AJ249" s="98" t="str">
        <f t="shared" si="145"/>
        <v>1+0.128158020530056i</v>
      </c>
      <c r="AK249" s="98">
        <f t="shared" si="160"/>
        <v>1.0081787927873618</v>
      </c>
      <c r="AL249" s="98">
        <f t="shared" si="161"/>
        <v>0.1274632120318816</v>
      </c>
      <c r="AM249" s="98" t="str">
        <f t="shared" si="146"/>
        <v>1+128.286178550586i</v>
      </c>
      <c r="AN249" s="98">
        <f t="shared" si="162"/>
        <v>128.29007602738736</v>
      </c>
      <c r="AO249" s="98">
        <f t="shared" si="163"/>
        <v>1.5630014126610912</v>
      </c>
      <c r="AP249" s="168" t="str">
        <f t="shared" si="164"/>
        <v>-0.0976991235692341+0.0132957804859148i</v>
      </c>
      <c r="AQ249" s="98">
        <f t="shared" si="165"/>
        <v>-20.122490056532435</v>
      </c>
      <c r="AR249" s="169">
        <f t="shared" si="166"/>
        <v>172.25028022585815</v>
      </c>
      <c r="AS249" s="168" t="str">
        <f t="shared" si="167"/>
        <v>0.0883214778764433+0.257154117762556i</v>
      </c>
      <c r="AT249" s="190">
        <f t="shared" si="168"/>
        <v>-11.311856162520135</v>
      </c>
      <c r="AU249" s="169">
        <f t="shared" si="169"/>
        <v>71.044587996620351</v>
      </c>
      <c r="AV249" s="225"/>
      <c r="AX249">
        <f t="shared" si="170"/>
        <v>0</v>
      </c>
      <c r="AY249">
        <f t="shared" si="171"/>
        <v>0</v>
      </c>
    </row>
    <row r="250" spans="14:51" x14ac:dyDescent="0.55000000000000004">
      <c r="N250" s="170">
        <v>32</v>
      </c>
      <c r="O250" s="199">
        <f t="shared" si="172"/>
        <v>2089.2961308540398</v>
      </c>
      <c r="P250" s="189" t="str">
        <f t="shared" si="138"/>
        <v>1078.86904761905</v>
      </c>
      <c r="Q250" s="160" t="str">
        <f t="shared" si="139"/>
        <v>1+410.232335991541i</v>
      </c>
      <c r="R250" s="160">
        <f t="shared" si="147"/>
        <v>410.23355481125208</v>
      </c>
      <c r="S250" s="160">
        <f t="shared" si="148"/>
        <v>1.5683586885797403</v>
      </c>
      <c r="T250" s="160" t="str">
        <f t="shared" si="140"/>
        <v>1+0.000262548695034586i</v>
      </c>
      <c r="U250" s="160">
        <f t="shared" si="149"/>
        <v>1.0000000344659081</v>
      </c>
      <c r="V250" s="160">
        <f t="shared" si="150"/>
        <v>2.625486890019334E-4</v>
      </c>
      <c r="W250" s="98" t="str">
        <f t="shared" si="141"/>
        <v>1-0.189885718196814i</v>
      </c>
      <c r="X250" s="160">
        <f t="shared" si="151"/>
        <v>1.0178686486846522</v>
      </c>
      <c r="Y250" s="160">
        <f t="shared" si="152"/>
        <v>-0.18765164422831601</v>
      </c>
      <c r="Z250" s="98" t="str">
        <f t="shared" si="142"/>
        <v>0.992095684341509+0.0150830700707492i</v>
      </c>
      <c r="AA250" s="160">
        <f t="shared" si="153"/>
        <v>0.99221033349376397</v>
      </c>
      <c r="AB250" s="160">
        <f t="shared" si="154"/>
        <v>1.5202070099655239E-2</v>
      </c>
      <c r="AC250" s="171" t="str">
        <f t="shared" si="155"/>
        <v>-0.536395570905833-2.64403754763834i</v>
      </c>
      <c r="AD250" s="190">
        <f t="shared" si="156"/>
        <v>8.6205112058934024</v>
      </c>
      <c r="AE250" s="169">
        <f t="shared" si="157"/>
        <v>-101.46795237604043</v>
      </c>
      <c r="AF250" s="98" t="str">
        <f t="shared" si="143"/>
        <v>-9.95024875621891E-06</v>
      </c>
      <c r="AG250" s="98" t="str">
        <f t="shared" si="144"/>
        <v>0.013140562186481i</v>
      </c>
      <c r="AH250" s="98">
        <f t="shared" si="158"/>
        <v>1.3140562186481001E-2</v>
      </c>
      <c r="AI250" s="98">
        <f t="shared" si="159"/>
        <v>1.5707963267948966</v>
      </c>
      <c r="AJ250" s="98" t="str">
        <f t="shared" si="145"/>
        <v>1+0.13114320431298i</v>
      </c>
      <c r="AK250" s="98">
        <f t="shared" si="160"/>
        <v>1.0085626108663142</v>
      </c>
      <c r="AL250" s="98">
        <f t="shared" si="161"/>
        <v>0.1303990445442394</v>
      </c>
      <c r="AM250" s="98" t="str">
        <f t="shared" si="146"/>
        <v>1+131.274347517293i</v>
      </c>
      <c r="AN250" s="98">
        <f t="shared" si="162"/>
        <v>131.27815627929502</v>
      </c>
      <c r="AO250" s="98">
        <f t="shared" si="163"/>
        <v>1.5631788396254669</v>
      </c>
      <c r="AP250" s="168" t="str">
        <f t="shared" si="164"/>
        <v>-0.0976247770600969+0.0135600424507757i</v>
      </c>
      <c r="AQ250" s="98">
        <f t="shared" si="165"/>
        <v>-20.125808059790881</v>
      </c>
      <c r="AR250" s="169">
        <f t="shared" si="166"/>
        <v>172.09223522977328</v>
      </c>
      <c r="AS250" s="168" t="str">
        <f t="shared" si="167"/>
        <v>0.0882187594131261+0.250850029414827i</v>
      </c>
      <c r="AT250" s="190">
        <f t="shared" si="168"/>
        <v>-11.505296853897484</v>
      </c>
      <c r="AU250" s="169">
        <f t="shared" si="169"/>
        <v>70.624282853732836</v>
      </c>
      <c r="AV250" s="225"/>
      <c r="AX250">
        <f t="shared" si="170"/>
        <v>0</v>
      </c>
      <c r="AY250">
        <f t="shared" si="171"/>
        <v>0</v>
      </c>
    </row>
    <row r="251" spans="14:51" x14ac:dyDescent="0.55000000000000004">
      <c r="N251" s="170">
        <v>33</v>
      </c>
      <c r="O251" s="199">
        <f t="shared" si="172"/>
        <v>2137.9620895022344</v>
      </c>
      <c r="P251" s="189" t="str">
        <f t="shared" si="138"/>
        <v>1078.86904761905</v>
      </c>
      <c r="Q251" s="160" t="str">
        <f t="shared" si="139"/>
        <v>1+419.787874627106i</v>
      </c>
      <c r="R251" s="160">
        <f t="shared" si="147"/>
        <v>419.78906570317298</v>
      </c>
      <c r="S251" s="160">
        <f t="shared" si="148"/>
        <v>1.5684141757874628</v>
      </c>
      <c r="T251" s="160" t="str">
        <f t="shared" si="140"/>
        <v>1+0.000268664239761348i</v>
      </c>
      <c r="U251" s="160">
        <f t="shared" si="149"/>
        <v>1.0000000360902364</v>
      </c>
      <c r="V251" s="160">
        <f t="shared" si="150"/>
        <v>2.6866423329724421E-4</v>
      </c>
      <c r="W251" s="98" t="str">
        <f t="shared" si="141"/>
        <v>1-0.194308724764997i</v>
      </c>
      <c r="X251" s="160">
        <f t="shared" si="151"/>
        <v>1.0187030384365205</v>
      </c>
      <c r="Y251" s="160">
        <f t="shared" si="152"/>
        <v>-0.19191723867094126</v>
      </c>
      <c r="Z251" s="98" t="str">
        <f t="shared" si="142"/>
        <v>0.991723165421188+0.0154343999054772i</v>
      </c>
      <c r="AA251" s="160">
        <f t="shared" si="153"/>
        <v>0.99184326258409572</v>
      </c>
      <c r="AB251" s="160">
        <f t="shared" si="154"/>
        <v>1.5561957695428114E-2</v>
      </c>
      <c r="AC251" s="171" t="str">
        <f t="shared" si="155"/>
        <v>-0.536897368260311-2.58444572108608i</v>
      </c>
      <c r="AD251" s="190">
        <f t="shared" si="156"/>
        <v>8.4308436168664684</v>
      </c>
      <c r="AE251" s="169">
        <f t="shared" si="157"/>
        <v>-101.73580176299623</v>
      </c>
      <c r="AF251" s="98" t="str">
        <f t="shared" si="143"/>
        <v>-9.95024875621891E-06</v>
      </c>
      <c r="AG251" s="98" t="str">
        <f t="shared" si="144"/>
        <v>0.0134466452000555i</v>
      </c>
      <c r="AH251" s="98">
        <f t="shared" si="158"/>
        <v>1.34466452000555E-2</v>
      </c>
      <c r="AI251" s="98">
        <f t="shared" si="159"/>
        <v>1.5707963267948966</v>
      </c>
      <c r="AJ251" s="98" t="str">
        <f t="shared" si="145"/>
        <v>1+0.134197921958715i</v>
      </c>
      <c r="AK251" s="98">
        <f t="shared" si="160"/>
        <v>1.0089643612427732</v>
      </c>
      <c r="AL251" s="98">
        <f t="shared" si="161"/>
        <v>0.13340092252695446</v>
      </c>
      <c r="AM251" s="98" t="str">
        <f t="shared" si="146"/>
        <v>1+134.332119880674i</v>
      </c>
      <c r="AN251" s="98">
        <f t="shared" si="162"/>
        <v>134.33584194709829</v>
      </c>
      <c r="AO251" s="98">
        <f t="shared" si="163"/>
        <v>1.5633522283224983</v>
      </c>
      <c r="AP251" s="168" t="str">
        <f t="shared" si="164"/>
        <v>-0.0975470478875781+0.0138305911376491i</v>
      </c>
      <c r="AQ251" s="98">
        <f t="shared" si="165"/>
        <v>-20.129278646081289</v>
      </c>
      <c r="AR251" s="169">
        <f t="shared" si="166"/>
        <v>171.93017473130558</v>
      </c>
      <c r="AS251" s="168" t="str">
        <f t="shared" si="167"/>
        <v>0.0881171653781915+0.244679442534342i</v>
      </c>
      <c r="AT251" s="190">
        <f t="shared" si="168"/>
        <v>-11.698435029214817</v>
      </c>
      <c r="AU251" s="169">
        <f t="shared" si="169"/>
        <v>70.194372968309366</v>
      </c>
      <c r="AV251" s="225"/>
      <c r="AX251">
        <f t="shared" si="170"/>
        <v>0</v>
      </c>
      <c r="AY251">
        <f t="shared" si="171"/>
        <v>0</v>
      </c>
    </row>
    <row r="252" spans="14:51" x14ac:dyDescent="0.55000000000000004">
      <c r="N252" s="170">
        <v>34</v>
      </c>
      <c r="O252" s="199">
        <f t="shared" si="172"/>
        <v>2187.7616239495528</v>
      </c>
      <c r="P252" s="189" t="str">
        <f t="shared" si="138"/>
        <v>1078.86904761905</v>
      </c>
      <c r="Q252" s="160" t="str">
        <f t="shared" si="139"/>
        <v>1+429.56599035035i</v>
      </c>
      <c r="R252" s="160">
        <f t="shared" si="147"/>
        <v>429.56715431429001</v>
      </c>
      <c r="S252" s="160">
        <f t="shared" si="148"/>
        <v>1.56846839996631</v>
      </c>
      <c r="T252" s="160" t="str">
        <f t="shared" si="140"/>
        <v>1+0.000274922233824224i</v>
      </c>
      <c r="U252" s="160">
        <f t="shared" si="149"/>
        <v>1.0000000377911167</v>
      </c>
      <c r="V252" s="160">
        <f t="shared" si="150"/>
        <v>2.7492222689781204E-4</v>
      </c>
      <c r="W252" s="98" t="str">
        <f t="shared" si="141"/>
        <v>1-0.198834756391032i</v>
      </c>
      <c r="X252" s="160">
        <f t="shared" si="151"/>
        <v>1.0195760198970361</v>
      </c>
      <c r="Y252" s="160">
        <f t="shared" si="152"/>
        <v>-0.19627488264455228</v>
      </c>
      <c r="Z252" s="98" t="str">
        <f t="shared" si="142"/>
        <v>0.991333090225031+0.0157939132633335i</v>
      </c>
      <c r="AA252" s="160">
        <f t="shared" si="153"/>
        <v>0.99145889651123664</v>
      </c>
      <c r="AB252" s="160">
        <f t="shared" si="154"/>
        <v>1.5930646628982477E-2</v>
      </c>
      <c r="AC252" s="171" t="str">
        <f t="shared" si="155"/>
        <v>-0.537396391755954-2.52622429122468i</v>
      </c>
      <c r="AD252" s="190">
        <f t="shared" si="156"/>
        <v>8.2416516290179302</v>
      </c>
      <c r="AE252" s="169">
        <f t="shared" si="157"/>
        <v>-102.00934895112449</v>
      </c>
      <c r="AF252" s="98" t="str">
        <f t="shared" si="143"/>
        <v>-9.95024875621891E-06</v>
      </c>
      <c r="AG252" s="98" t="str">
        <f t="shared" si="144"/>
        <v>0.0137598578029024i</v>
      </c>
      <c r="AH252" s="98">
        <f t="shared" si="158"/>
        <v>1.3759857802902399E-2</v>
      </c>
      <c r="AI252" s="98">
        <f t="shared" si="159"/>
        <v>1.5707963267948966</v>
      </c>
      <c r="AJ252" s="98" t="str">
        <f t="shared" si="145"/>
        <v>1+0.137323793118993i</v>
      </c>
      <c r="AK252" s="98">
        <f t="shared" si="160"/>
        <v>1.0093848741469174</v>
      </c>
      <c r="AL252" s="98">
        <f t="shared" si="161"/>
        <v>0.1364702210950052</v>
      </c>
      <c r="AM252" s="98" t="str">
        <f t="shared" si="146"/>
        <v>1+137.461116912112i</v>
      </c>
      <c r="AN252" s="98">
        <f t="shared" si="162"/>
        <v>137.46475425622862</v>
      </c>
      <c r="AO252" s="98">
        <f t="shared" si="163"/>
        <v>1.5635216706434429</v>
      </c>
      <c r="AP252" s="168" t="str">
        <f t="shared" si="164"/>
        <v>-0.097465788005523+0.0141075077245336i</v>
      </c>
      <c r="AQ252" s="98">
        <f t="shared" si="165"/>
        <v>-20.132908800320504</v>
      </c>
      <c r="AR252" s="169">
        <f t="shared" si="166"/>
        <v>171.7640252071518</v>
      </c>
      <c r="AS252" s="168" t="str">
        <f t="shared" si="167"/>
        <v>0.0880164914961754+0.238639117475074i</v>
      </c>
      <c r="AT252" s="190">
        <f t="shared" si="168"/>
        <v>-11.891257171302561</v>
      </c>
      <c r="AU252" s="169">
        <f t="shared" si="169"/>
        <v>69.754676256027338</v>
      </c>
      <c r="AV252" s="225"/>
      <c r="AX252">
        <f t="shared" si="170"/>
        <v>0</v>
      </c>
      <c r="AY252">
        <f t="shared" si="171"/>
        <v>0</v>
      </c>
    </row>
    <row r="253" spans="14:51" x14ac:dyDescent="0.55000000000000004">
      <c r="N253" s="170">
        <v>35</v>
      </c>
      <c r="O253" s="199">
        <f t="shared" si="172"/>
        <v>2238.7211385683418</v>
      </c>
      <c r="P253" s="189" t="str">
        <f t="shared" si="138"/>
        <v>1078.86904761905</v>
      </c>
      <c r="Q253" s="160" t="str">
        <f t="shared" si="139"/>
        <v>1+439.571867647656i</v>
      </c>
      <c r="R253" s="160">
        <f t="shared" si="147"/>
        <v>439.57300511661128</v>
      </c>
      <c r="S253" s="160">
        <f t="shared" si="148"/>
        <v>1.5685213898653834</v>
      </c>
      <c r="T253" s="160" t="str">
        <f t="shared" si="140"/>
        <v>1+0.0002813259952945i</v>
      </c>
      <c r="U253" s="160">
        <f t="shared" si="149"/>
        <v>1.0000000395721569</v>
      </c>
      <c r="V253" s="160">
        <f t="shared" si="150"/>
        <v>2.8132598787271589E-4</v>
      </c>
      <c r="W253" s="98" t="str">
        <f t="shared" si="141"/>
        <v>1-0.203466212836794i</v>
      </c>
      <c r="X253" s="160">
        <f t="shared" si="151"/>
        <v>1.0204893432888693</v>
      </c>
      <c r="Y253" s="160">
        <f t="shared" si="152"/>
        <v>-0.20072622433171913</v>
      </c>
      <c r="Z253" s="98" t="str">
        <f t="shared" si="142"/>
        <v>0.990924631351249+0.0161618007630593i</v>
      </c>
      <c r="AA253" s="160">
        <f t="shared" si="153"/>
        <v>0.99105642060505994</v>
      </c>
      <c r="AB253" s="160">
        <f t="shared" si="154"/>
        <v>1.6308372415656275E-2</v>
      </c>
      <c r="AC253" s="171" t="str">
        <f t="shared" si="155"/>
        <v>-0.537893724721771-2.46934240301929i</v>
      </c>
      <c r="AD253" s="190">
        <f t="shared" si="156"/>
        <v>8.052956624644942</v>
      </c>
      <c r="AE253" s="169">
        <f t="shared" si="157"/>
        <v>-102.28870332545635</v>
      </c>
      <c r="AF253" s="98" t="str">
        <f t="shared" si="143"/>
        <v>-9.95024875621891E-06</v>
      </c>
      <c r="AG253" s="98" t="str">
        <f t="shared" si="144"/>
        <v>0.0140803660644897i</v>
      </c>
      <c r="AH253" s="98">
        <f t="shared" si="158"/>
        <v>1.40803660644897E-2</v>
      </c>
      <c r="AI253" s="98">
        <f t="shared" si="159"/>
        <v>1.5707963267948966</v>
      </c>
      <c r="AJ253" s="98" t="str">
        <f t="shared" si="145"/>
        <v>1+0.140522475172078i</v>
      </c>
      <c r="AK253" s="98">
        <f t="shared" si="160"/>
        <v>1.009825017529516</v>
      </c>
      <c r="AL253" s="98">
        <f t="shared" si="161"/>
        <v>0.13960833619221352</v>
      </c>
      <c r="AM253" s="98" t="str">
        <f t="shared" si="146"/>
        <v>1+140.66299764725i</v>
      </c>
      <c r="AN253" s="98">
        <f t="shared" si="162"/>
        <v>140.66655219742273</v>
      </c>
      <c r="AO253" s="98">
        <f t="shared" si="163"/>
        <v>1.5636872563899209</v>
      </c>
      <c r="AP253" s="168" t="str">
        <f t="shared" si="164"/>
        <v>-0.0973808434420758+0.014390872585751i</v>
      </c>
      <c r="AQ253" s="98">
        <f t="shared" si="165"/>
        <v>-20.136705810447815</v>
      </c>
      <c r="AR253" s="169">
        <f t="shared" si="166"/>
        <v>171.59371182087625</v>
      </c>
      <c r="AS253" s="168" t="str">
        <f t="shared" si="167"/>
        <v>0.0879165364880486+0.232725885896155i</v>
      </c>
      <c r="AT253" s="190">
        <f t="shared" si="168"/>
        <v>-12.083749185802864</v>
      </c>
      <c r="AU253" s="169">
        <f t="shared" si="169"/>
        <v>69.305008495419926</v>
      </c>
      <c r="AV253" s="225"/>
      <c r="AX253">
        <f t="shared" si="170"/>
        <v>0</v>
      </c>
      <c r="AY253">
        <f t="shared" si="171"/>
        <v>0</v>
      </c>
    </row>
    <row r="254" spans="14:51" x14ac:dyDescent="0.55000000000000004">
      <c r="N254" s="170">
        <v>36</v>
      </c>
      <c r="O254" s="199">
        <f t="shared" si="172"/>
        <v>2290.8676527677749</v>
      </c>
      <c r="P254" s="189" t="str">
        <f t="shared" si="138"/>
        <v>1078.86904761905</v>
      </c>
      <c r="Q254" s="160" t="str">
        <f t="shared" si="139"/>
        <v>1+449.810811767609i</v>
      </c>
      <c r="R254" s="160">
        <f t="shared" si="147"/>
        <v>449.8119233446746</v>
      </c>
      <c r="S254" s="160">
        <f t="shared" si="148"/>
        <v>1.5685731735794377</v>
      </c>
      <c r="T254" s="160" t="str">
        <f t="shared" si="140"/>
        <v>1+0.00028787891953127i</v>
      </c>
      <c r="U254" s="160">
        <f t="shared" si="149"/>
        <v>1.0000000414371353</v>
      </c>
      <c r="V254" s="160">
        <f t="shared" si="150"/>
        <v>2.8787891157868508E-4</v>
      </c>
      <c r="W254" s="98" t="str">
        <f t="shared" si="141"/>
        <v>1-0.208205549761796i</v>
      </c>
      <c r="X254" s="160">
        <f t="shared" si="151"/>
        <v>1.0214448350016812</v>
      </c>
      <c r="Y254" s="160">
        <f t="shared" si="152"/>
        <v>-0.20527291795047456</v>
      </c>
      <c r="Z254" s="98" t="str">
        <f t="shared" si="142"/>
        <v>0.990496922403807+0.0165382574634763i</v>
      </c>
      <c r="AA254" s="160">
        <f t="shared" si="153"/>
        <v>0.99063498184313159</v>
      </c>
      <c r="AB254" s="160">
        <f t="shared" si="154"/>
        <v>1.6695378309811725E-2</v>
      </c>
      <c r="AC254" s="171" t="str">
        <f t="shared" si="155"/>
        <v>-0.538390449343686-2.41376991213332i</v>
      </c>
      <c r="AD254" s="190">
        <f t="shared" si="156"/>
        <v>7.8647809003098201</v>
      </c>
      <c r="AE254" s="169">
        <f t="shared" si="157"/>
        <v>-102.57397501832287</v>
      </c>
      <c r="AF254" s="98" t="str">
        <f t="shared" si="143"/>
        <v>-9.95024875621891E-06</v>
      </c>
      <c r="AG254" s="98" t="str">
        <f t="shared" si="144"/>
        <v>0.01440833992254i</v>
      </c>
      <c r="AH254" s="98">
        <f t="shared" si="158"/>
        <v>1.440833992254E-2</v>
      </c>
      <c r="AI254" s="98">
        <f t="shared" si="159"/>
        <v>1.5707963267948966</v>
      </c>
      <c r="AJ254" s="98" t="str">
        <f t="shared" si="145"/>
        <v>1+0.143795664101533i</v>
      </c>
      <c r="AK254" s="98">
        <f t="shared" si="160"/>
        <v>1.010285698708242</v>
      </c>
      <c r="AL254" s="98">
        <f t="shared" si="161"/>
        <v>0.14281668433149766</v>
      </c>
      <c r="AM254" s="98" t="str">
        <f t="shared" si="146"/>
        <v>1+143.939459765635i</v>
      </c>
      <c r="AN254" s="98">
        <f t="shared" si="162"/>
        <v>143.94293340634286</v>
      </c>
      <c r="AO254" s="98">
        <f t="shared" si="163"/>
        <v>1.563849073321345</v>
      </c>
      <c r="AP254" s="168" t="str">
        <f t="shared" si="164"/>
        <v>-0.0972920541153051+0.0146807650675485i</v>
      </c>
      <c r="AQ254" s="98">
        <f t="shared" si="165"/>
        <v>-20.140677279593369</v>
      </c>
      <c r="AR254" s="169">
        <f t="shared" si="166"/>
        <v>171.4191584405109</v>
      </c>
      <c r="AS254" s="168" t="str">
        <f t="shared" si="167"/>
        <v>0.0878171017398558+0.226936649211744i</v>
      </c>
      <c r="AT254" s="190">
        <f t="shared" si="168"/>
        <v>-12.275896379283539</v>
      </c>
      <c r="AU254" s="169">
        <f t="shared" si="169"/>
        <v>68.845183422188057</v>
      </c>
      <c r="AV254" s="225"/>
      <c r="AX254">
        <f t="shared" si="170"/>
        <v>0</v>
      </c>
      <c r="AY254">
        <f t="shared" si="171"/>
        <v>0</v>
      </c>
    </row>
    <row r="255" spans="14:51" x14ac:dyDescent="0.55000000000000004">
      <c r="N255" s="170">
        <v>37</v>
      </c>
      <c r="O255" s="199">
        <f t="shared" si="172"/>
        <v>2344.2288153199238</v>
      </c>
      <c r="P255" s="189" t="str">
        <f t="shared" si="138"/>
        <v>1078.86904761905</v>
      </c>
      <c r="Q255" s="160" t="str">
        <f t="shared" si="139"/>
        <v>1+460.288251533913i</v>
      </c>
      <c r="R255" s="160">
        <f t="shared" si="147"/>
        <v>460.28933780845585</v>
      </c>
      <c r="S255" s="160">
        <f t="shared" si="148"/>
        <v>1.5686237785637718</v>
      </c>
      <c r="T255" s="160" t="str">
        <f t="shared" si="140"/>
        <v>1+0.000294584480981704i</v>
      </c>
      <c r="U255" s="160">
        <f t="shared" si="149"/>
        <v>1.0000000433900074</v>
      </c>
      <c r="V255" s="160">
        <f t="shared" si="150"/>
        <v>2.9458447246035575E-4</v>
      </c>
      <c r="W255" s="98" t="str">
        <f t="shared" si="141"/>
        <v>1-0.213055280025208i</v>
      </c>
      <c r="X255" s="160">
        <f t="shared" si="151"/>
        <v>1.0224444006138524</v>
      </c>
      <c r="Y255" s="160">
        <f t="shared" si="152"/>
        <v>-0.20991662193437272</v>
      </c>
      <c r="Z255" s="98" t="str">
        <f t="shared" si="142"/>
        <v>0.990049056154683+0.0169234829669102i</v>
      </c>
      <c r="AA255" s="160">
        <f t="shared" si="153"/>
        <v>0.99019368704739263</v>
      </c>
      <c r="AB255" s="160">
        <f t="shared" si="154"/>
        <v>1.7091915655148004E-2</v>
      </c>
      <c r="AC255" s="171" t="str">
        <f t="shared" si="155"/>
        <v>-0.538887649201862-2.35947736901257i</v>
      </c>
      <c r="AD255" s="190">
        <f t="shared" si="156"/>
        <v>7.6771477018959011</v>
      </c>
      <c r="AE255" s="169">
        <f t="shared" si="157"/>
        <v>-102.86527482590228</v>
      </c>
      <c r="AF255" s="98" t="str">
        <f t="shared" si="143"/>
        <v>-9.95024875621891E-06</v>
      </c>
      <c r="AG255" s="98" t="str">
        <f t="shared" si="144"/>
        <v>0.0147439532731342i</v>
      </c>
      <c r="AH255" s="98">
        <f t="shared" si="158"/>
        <v>1.47439532731342E-2</v>
      </c>
      <c r="AI255" s="98">
        <f t="shared" si="159"/>
        <v>1.5707963267948966</v>
      </c>
      <c r="AJ255" s="98" t="str">
        <f t="shared" si="145"/>
        <v>1+0.147145095395457i</v>
      </c>
      <c r="AK255" s="98">
        <f t="shared" si="160"/>
        <v>1.0107678660795159</v>
      </c>
      <c r="AL255" s="98">
        <f t="shared" si="161"/>
        <v>0.14609670228234128</v>
      </c>
      <c r="AM255" s="98" t="str">
        <f t="shared" si="146"/>
        <v>1+147.292240490852i</v>
      </c>
      <c r="AN255" s="98">
        <f t="shared" si="162"/>
        <v>147.29563506368743</v>
      </c>
      <c r="AO255" s="98">
        <f t="shared" si="163"/>
        <v>1.5640072072012774</v>
      </c>
      <c r="AP255" s="168" t="str">
        <f t="shared" si="164"/>
        <v>-0.0971992536483643+0.0149772632477136i</v>
      </c>
      <c r="AQ255" s="98">
        <f t="shared" si="165"/>
        <v>-20.144831138616798</v>
      </c>
      <c r="AR255" s="169">
        <f t="shared" si="166"/>
        <v>171.24028765911862</v>
      </c>
      <c r="AS255" s="168" t="str">
        <f t="shared" si="167"/>
        <v>0.0877179909854665+0.22126837708519i</v>
      </c>
      <c r="AT255" s="190">
        <f t="shared" si="168"/>
        <v>-12.467683436720904</v>
      </c>
      <c r="AU255" s="169">
        <f t="shared" si="169"/>
        <v>68.375012833216317</v>
      </c>
      <c r="AV255" s="225"/>
      <c r="AX255">
        <f t="shared" si="170"/>
        <v>0</v>
      </c>
      <c r="AY255">
        <f t="shared" si="171"/>
        <v>0</v>
      </c>
    </row>
    <row r="256" spans="14:51" x14ac:dyDescent="0.55000000000000004">
      <c r="N256" s="170">
        <v>38</v>
      </c>
      <c r="O256" s="199">
        <f t="shared" si="172"/>
        <v>2398.8329190194918</v>
      </c>
      <c r="P256" s="189" t="str">
        <f t="shared" si="138"/>
        <v>1078.86904761905</v>
      </c>
      <c r="Q256" s="160" t="str">
        <f t="shared" si="139"/>
        <v>1+471.009742223813i</v>
      </c>
      <c r="R256" s="160">
        <f t="shared" si="147"/>
        <v>471.01080377178488</v>
      </c>
      <c r="S256" s="160">
        <f t="shared" si="148"/>
        <v>1.568673231648781</v>
      </c>
      <c r="T256" s="160" t="str">
        <f t="shared" si="140"/>
        <v>1+0.00030144623502324i</v>
      </c>
      <c r="U256" s="160">
        <f t="shared" si="149"/>
        <v>1.0000000454349152</v>
      </c>
      <c r="V256" s="160">
        <f t="shared" si="150"/>
        <v>3.0144622589245088E-4</v>
      </c>
      <c r="W256" s="98" t="str">
        <f t="shared" si="141"/>
        <v>1-0.218017975018208i</v>
      </c>
      <c r="X256" s="160">
        <f t="shared" si="151"/>
        <v>1.0234900280076207</v>
      </c>
      <c r="Y256" s="160">
        <f t="shared" si="152"/>
        <v>-0.21465899696877838</v>
      </c>
      <c r="Z256" s="98" t="str">
        <f t="shared" si="142"/>
        <v>0.989580082619517+0.0173176815250219i</v>
      </c>
      <c r="AA256" s="160">
        <f t="shared" si="153"/>
        <v>0.98973160099627644</v>
      </c>
      <c r="AB256" s="160">
        <f t="shared" si="154"/>
        <v>1.7498244256453833E-2</v>
      </c>
      <c r="AC256" s="171" t="str">
        <f t="shared" si="155"/>
        <v>-0.539386411835345-2.30643600333978i</v>
      </c>
      <c r="AD256" s="190">
        <f t="shared" si="156"/>
        <v>7.4900812606709586</v>
      </c>
      <c r="AE256" s="169">
        <f t="shared" si="157"/>
        <v>-103.16271411773543</v>
      </c>
      <c r="AF256" s="98" t="str">
        <f t="shared" si="143"/>
        <v>-9.95024875621891E-06</v>
      </c>
      <c r="AG256" s="98" t="str">
        <f t="shared" si="144"/>
        <v>0.0150873840629132i</v>
      </c>
      <c r="AH256" s="98">
        <f t="shared" si="158"/>
        <v>1.50873840629132E-2</v>
      </c>
      <c r="AI256" s="98">
        <f t="shared" si="159"/>
        <v>1.5707963267948966</v>
      </c>
      <c r="AJ256" s="98" t="str">
        <f t="shared" si="145"/>
        <v>1+0.150572544966653i</v>
      </c>
      <c r="AK256" s="98">
        <f t="shared" si="160"/>
        <v>1.0112725108978957</v>
      </c>
      <c r="AL256" s="98">
        <f t="shared" si="161"/>
        <v>0.14944984670163758</v>
      </c>
      <c r="AM256" s="98" t="str">
        <f t="shared" si="146"/>
        <v>1+150.72311751162i</v>
      </c>
      <c r="AN256" s="98">
        <f t="shared" si="162"/>
        <v>150.7264348162644</v>
      </c>
      <c r="AO256" s="98">
        <f t="shared" si="163"/>
        <v>1.5641617418427418</v>
      </c>
      <c r="AP256" s="168" t="str">
        <f t="shared" si="164"/>
        <v>-0.0971022691848382+0.0152804436783773i</v>
      </c>
      <c r="AQ256" s="98">
        <f t="shared" si="165"/>
        <v>-20.149175659015697</v>
      </c>
      <c r="AR256" s="169">
        <f t="shared" si="166"/>
        <v>171.05702081853957</v>
      </c>
      <c r="AS256" s="168" t="str">
        <f t="shared" si="167"/>
        <v>0.0876190100034948+0.21571810596697i</v>
      </c>
      <c r="AT256" s="190">
        <f t="shared" si="168"/>
        <v>-12.659094398344726</v>
      </c>
      <c r="AU256" s="169">
        <f t="shared" si="169"/>
        <v>67.894306700804179</v>
      </c>
      <c r="AV256" s="225"/>
      <c r="AX256">
        <f t="shared" si="170"/>
        <v>0</v>
      </c>
      <c r="AY256">
        <f t="shared" si="171"/>
        <v>0</v>
      </c>
    </row>
    <row r="257" spans="14:51" x14ac:dyDescent="0.55000000000000004">
      <c r="N257" s="170">
        <v>39</v>
      </c>
      <c r="O257" s="199">
        <f t="shared" si="172"/>
        <v>2454.7089156850338</v>
      </c>
      <c r="P257" s="189" t="str">
        <f t="shared" si="138"/>
        <v>1078.86904761905</v>
      </c>
      <c r="Q257" s="160" t="str">
        <f t="shared" si="139"/>
        <v>1+481.980968513591i</v>
      </c>
      <c r="R257" s="160">
        <f t="shared" si="147"/>
        <v>481.98200589783346</v>
      </c>
      <c r="S257" s="160">
        <f t="shared" si="148"/>
        <v>1.5687215590541776</v>
      </c>
      <c r="T257" s="160" t="str">
        <f t="shared" si="140"/>
        <v>1+0.000308467819848698i</v>
      </c>
      <c r="U257" s="160">
        <f t="shared" si="149"/>
        <v>1.0000000475761968</v>
      </c>
      <c r="V257" s="160">
        <f t="shared" si="150"/>
        <v>3.0846781006488115E-4</v>
      </c>
      <c r="W257" s="98" t="str">
        <f t="shared" si="141"/>
        <v>1-0.223096266027372i</v>
      </c>
      <c r="X257" s="160">
        <f t="shared" si="151"/>
        <v>1.0245837905780844</v>
      </c>
      <c r="Y257" s="160">
        <f t="shared" si="152"/>
        <v>-0.21950170387683499</v>
      </c>
      <c r="Z257" s="98" t="str">
        <f t="shared" si="142"/>
        <v>0.989089007042565+0.0177210621471047i</v>
      </c>
      <c r="AA257" s="160">
        <f t="shared" si="153"/>
        <v>0.98924774444830987</v>
      </c>
      <c r="AB257" s="160">
        <f t="shared" si="154"/>
        <v>1.7914632774394139E-2</v>
      </c>
      <c r="AC257" s="171" t="str">
        <f t="shared" si="155"/>
        <v>-0.539887831341933-2.25461770885117i</v>
      </c>
      <c r="AD257" s="190">
        <f t="shared" si="156"/>
        <v>7.3036068303594961</v>
      </c>
      <c r="AE257" s="169">
        <f t="shared" si="157"/>
        <v>-103.46640473892711</v>
      </c>
      <c r="AF257" s="98" t="str">
        <f t="shared" si="143"/>
        <v>-9.95024875621891E-06</v>
      </c>
      <c r="AG257" s="98" t="str">
        <f t="shared" si="144"/>
        <v>0.0154388143834274i</v>
      </c>
      <c r="AH257" s="98">
        <f t="shared" si="158"/>
        <v>1.54388143834274E-2</v>
      </c>
      <c r="AI257" s="98">
        <f t="shared" si="159"/>
        <v>1.5707963267948966</v>
      </c>
      <c r="AJ257" s="98" t="str">
        <f t="shared" si="145"/>
        <v>1+0.154079830094255i</v>
      </c>
      <c r="AK257" s="98">
        <f t="shared" si="160"/>
        <v>1.0118006691250379</v>
      </c>
      <c r="AL257" s="98">
        <f t="shared" si="161"/>
        <v>0.15287759370392695</v>
      </c>
      <c r="AM257" s="98" t="str">
        <f t="shared" si="146"/>
        <v>1+154.233909924349i</v>
      </c>
      <c r="AN257" s="98">
        <f t="shared" si="162"/>
        <v>154.23715171952639</v>
      </c>
      <c r="AO257" s="98">
        <f t="shared" si="163"/>
        <v>1.5643127591525101</v>
      </c>
      <c r="AP257" s="168" t="str">
        <f t="shared" si="164"/>
        <v>-0.0970009212049983+0.0155903811111633i</v>
      </c>
      <c r="AQ257" s="98">
        <f t="shared" si="165"/>
        <v>-20.153719466203036</v>
      </c>
      <c r="AR257" s="169">
        <f t="shared" si="166"/>
        <v>170.86927803655291</v>
      </c>
      <c r="AS257" s="168" t="str">
        <f t="shared" si="167"/>
        <v>0.0875199663285038+0.210282937675766i</v>
      </c>
      <c r="AT257" s="190">
        <f t="shared" si="168"/>
        <v>-12.850112635843537</v>
      </c>
      <c r="AU257" s="169">
        <f t="shared" si="169"/>
        <v>67.402873297625817</v>
      </c>
      <c r="AV257" s="225"/>
      <c r="AX257">
        <f t="shared" si="170"/>
        <v>0</v>
      </c>
      <c r="AY257">
        <f t="shared" si="171"/>
        <v>0</v>
      </c>
    </row>
    <row r="258" spans="14:51" x14ac:dyDescent="0.55000000000000004">
      <c r="N258" s="170">
        <v>40</v>
      </c>
      <c r="O258" s="199">
        <f t="shared" si="172"/>
        <v>2511.8864315095811</v>
      </c>
      <c r="P258" s="189" t="str">
        <f t="shared" si="138"/>
        <v>1078.86904761905</v>
      </c>
      <c r="Q258" s="160" t="str">
        <f t="shared" si="139"/>
        <v>1+493.20774749265i</v>
      </c>
      <c r="R258" s="160">
        <f t="shared" si="147"/>
        <v>493.20876126319331</v>
      </c>
      <c r="S258" s="160">
        <f t="shared" si="148"/>
        <v>1.5687687864028881</v>
      </c>
      <c r="T258" s="160" t="str">
        <f t="shared" si="140"/>
        <v>1+0.000315652958395296i</v>
      </c>
      <c r="U258" s="160">
        <f t="shared" si="149"/>
        <v>1.0000000498183939</v>
      </c>
      <c r="V258" s="160">
        <f t="shared" si="150"/>
        <v>3.1565294791174745E-4</v>
      </c>
      <c r="W258" s="98" t="str">
        <f t="shared" si="141"/>
        <v>1-0.228292845629814i</v>
      </c>
      <c r="X258" s="160">
        <f t="shared" si="151"/>
        <v>1.0257278505362708</v>
      </c>
      <c r="Y258" s="160">
        <f t="shared" si="152"/>
        <v>-0.22444640134855415</v>
      </c>
      <c r="Z258" s="98" t="str">
        <f t="shared" si="142"/>
        <v>0.988574787786687+0.0181338387109041i</v>
      </c>
      <c r="AA258" s="160">
        <f t="shared" si="153"/>
        <v>0.98874109207308991</v>
      </c>
      <c r="AB258" s="160">
        <f t="shared" si="154"/>
        <v>1.8341359145055563E-2</v>
      </c>
      <c r="AC258" s="171" t="str">
        <f t="shared" si="155"/>
        <v>-0.540393011021581-2.20399502850749i</v>
      </c>
      <c r="AD258" s="190">
        <f t="shared" si="156"/>
        <v>7.1177507252257595</v>
      </c>
      <c r="AE258" s="169">
        <f t="shared" si="157"/>
        <v>-103.77645890475625</v>
      </c>
      <c r="AF258" s="98" t="str">
        <f t="shared" si="143"/>
        <v>-9.95024875621891E-06</v>
      </c>
      <c r="AG258" s="98" t="str">
        <f t="shared" si="144"/>
        <v>0.0157984305676845i</v>
      </c>
      <c r="AH258" s="98">
        <f t="shared" si="158"/>
        <v>1.5798430567684499E-2</v>
      </c>
      <c r="AI258" s="98">
        <f t="shared" si="159"/>
        <v>1.5707963267948966</v>
      </c>
      <c r="AJ258" s="98" t="str">
        <f t="shared" si="145"/>
        <v>1+0.157668810387261i</v>
      </c>
      <c r="AK258" s="98">
        <f t="shared" si="160"/>
        <v>1.012353423350232</v>
      </c>
      <c r="AL258" s="98">
        <f t="shared" si="161"/>
        <v>0.15638143836676172</v>
      </c>
      <c r="AM258" s="98" t="str">
        <f t="shared" si="146"/>
        <v>1+157.826479197648i</v>
      </c>
      <c r="AN258" s="98">
        <f t="shared" si="162"/>
        <v>157.82964720205649</v>
      </c>
      <c r="AO258" s="98">
        <f t="shared" si="163"/>
        <v>1.5644603391743899</v>
      </c>
      <c r="AP258" s="168" t="str">
        <f t="shared" si="164"/>
        <v>-0.0968950233437607+0.0159071482038256i</v>
      </c>
      <c r="AQ258" s="98">
        <f t="shared" si="165"/>
        <v>-20.158471553151816</v>
      </c>
      <c r="AR258" s="169">
        <f t="shared" si="166"/>
        <v>170.67697823769711</v>
      </c>
      <c r="AS258" s="168" t="str">
        <f t="shared" si="167"/>
        <v>0.0874206689767047+0.204960038022134i</v>
      </c>
      <c r="AT258" s="190">
        <f t="shared" si="168"/>
        <v>-13.040720827926052</v>
      </c>
      <c r="AU258" s="169">
        <f t="shared" si="169"/>
        <v>66.90051933294086</v>
      </c>
      <c r="AV258" s="225"/>
      <c r="AX258">
        <f t="shared" si="170"/>
        <v>0</v>
      </c>
      <c r="AY258">
        <f t="shared" si="171"/>
        <v>0</v>
      </c>
    </row>
    <row r="259" spans="14:51" x14ac:dyDescent="0.55000000000000004">
      <c r="N259" s="170">
        <v>41</v>
      </c>
      <c r="O259" s="199">
        <f t="shared" si="172"/>
        <v>2570.3957827688669</v>
      </c>
      <c r="P259" s="189" t="str">
        <f t="shared" si="138"/>
        <v>1078.86904761905</v>
      </c>
      <c r="Q259" s="160" t="str">
        <f t="shared" si="139"/>
        <v>1+504.696031747803i</v>
      </c>
      <c r="R259" s="160">
        <f t="shared" si="147"/>
        <v>504.69702244215722</v>
      </c>
      <c r="S259" s="160">
        <f t="shared" si="148"/>
        <v>1.5688149387346344</v>
      </c>
      <c r="T259" s="160" t="str">
        <f t="shared" si="140"/>
        <v>1+0.000323005460318594i</v>
      </c>
      <c r="U259" s="160">
        <f t="shared" si="149"/>
        <v>1.0000000521662624</v>
      </c>
      <c r="V259" s="160">
        <f t="shared" si="150"/>
        <v>3.2300544908526937E-4</v>
      </c>
      <c r="W259" s="98" t="str">
        <f t="shared" si="141"/>
        <v>1-0.23361046912082i</v>
      </c>
      <c r="X259" s="160">
        <f t="shared" si="151"/>
        <v>1.0269244623061862</v>
      </c>
      <c r="Y259" s="160">
        <f t="shared" si="152"/>
        <v>-0.22949474350653207</v>
      </c>
      <c r="Z259" s="98" t="str">
        <f t="shared" si="142"/>
        <v>0.9880363341239+0.0185562300760175i</v>
      </c>
      <c r="AA259" s="160">
        <f t="shared" si="153"/>
        <v>0.98821057028531589</v>
      </c>
      <c r="AB259" s="160">
        <f t="shared" si="154"/>
        <v>1.8778711026121143E-2</v>
      </c>
      <c r="AC259" s="171" t="str">
        <f t="shared" si="155"/>
        <v>-0.540903066071954-2.15454114001162i</v>
      </c>
      <c r="AD259" s="190">
        <f t="shared" si="156"/>
        <v>6.9325403591650243</v>
      </c>
      <c r="AE259" s="169">
        <f t="shared" si="157"/>
        <v>-104.09298908743123</v>
      </c>
      <c r="AF259" s="98" t="str">
        <f t="shared" si="143"/>
        <v>-9.95024875621891E-06</v>
      </c>
      <c r="AG259" s="98" t="str">
        <f t="shared" si="144"/>
        <v>0.0161664232889456i</v>
      </c>
      <c r="AH259" s="98">
        <f t="shared" si="158"/>
        <v>1.6166423288945599E-2</v>
      </c>
      <c r="AI259" s="98">
        <f t="shared" si="159"/>
        <v>1.5707963267948966</v>
      </c>
      <c r="AJ259" s="98" t="str">
        <f t="shared" si="145"/>
        <v>1+0.161341388770526i</v>
      </c>
      <c r="AK259" s="98">
        <f t="shared" si="160"/>
        <v>1.0129319047845231</v>
      </c>
      <c r="AL259" s="98">
        <f t="shared" si="161"/>
        <v>0.15996289416682427</v>
      </c>
      <c r="AM259" s="98" t="str">
        <f t="shared" si="146"/>
        <v>1+161.502730159297i</v>
      </c>
      <c r="AN259" s="98">
        <f t="shared" si="162"/>
        <v>161.50582605251952</v>
      </c>
      <c r="AO259" s="98">
        <f t="shared" si="163"/>
        <v>1.564604560131533</v>
      </c>
      <c r="AP259" s="168" t="str">
        <f t="shared" si="164"/>
        <v>-0.0967843822112535+0.0162308152075141i</v>
      </c>
      <c r="AQ259" s="98">
        <f t="shared" si="165"/>
        <v>-20.163441294401593</v>
      </c>
      <c r="AR259" s="169">
        <f t="shared" si="166"/>
        <v>170.48003918800256</v>
      </c>
      <c r="AS259" s="168" t="str">
        <f t="shared" si="167"/>
        <v>0.0873209281864623+0.199746635474163i</v>
      </c>
      <c r="AT259" s="190">
        <f t="shared" si="168"/>
        <v>-13.230900935236559</v>
      </c>
      <c r="AU259" s="169">
        <f t="shared" si="169"/>
        <v>66.387050100571358</v>
      </c>
      <c r="AV259" s="225"/>
      <c r="AX259">
        <f t="shared" si="170"/>
        <v>0</v>
      </c>
      <c r="AY259">
        <f t="shared" si="171"/>
        <v>0</v>
      </c>
    </row>
    <row r="260" spans="14:51" x14ac:dyDescent="0.55000000000000004">
      <c r="N260" s="170">
        <v>42</v>
      </c>
      <c r="O260" s="199">
        <f t="shared" si="172"/>
        <v>2630.2679918953822</v>
      </c>
      <c r="P260" s="189" t="str">
        <f t="shared" si="138"/>
        <v>1078.86904761905</v>
      </c>
      <c r="Q260" s="160" t="str">
        <f t="shared" si="139"/>
        <v>1+516.451912519431i</v>
      </c>
      <c r="R260" s="160">
        <f t="shared" si="147"/>
        <v>516.45288066287128</v>
      </c>
      <c r="S260" s="160">
        <f t="shared" si="148"/>
        <v>1.5688600405192075</v>
      </c>
      <c r="T260" s="160" t="str">
        <f t="shared" si="140"/>
        <v>1+0.000330529224012436i</v>
      </c>
      <c r="U260" s="160">
        <f t="shared" si="149"/>
        <v>1.0000000546247825</v>
      </c>
      <c r="V260" s="160">
        <f t="shared" si="150"/>
        <v>3.3052921197571186E-4</v>
      </c>
      <c r="W260" s="98" t="str">
        <f t="shared" si="141"/>
        <v>1-0.239051955974754i</v>
      </c>
      <c r="X260" s="160">
        <f t="shared" si="151"/>
        <v>1.0281759760154658</v>
      </c>
      <c r="Y260" s="160">
        <f t="shared" si="152"/>
        <v>-0.23464837730190916</v>
      </c>
      <c r="Z260" s="98" t="str">
        <f t="shared" si="142"/>
        <v>0.987472503921794+0.0189884601999381i</v>
      </c>
      <c r="AA260" s="160">
        <f t="shared" si="153"/>
        <v>0.98765505497736517</v>
      </c>
      <c r="AB260" s="160">
        <f t="shared" si="154"/>
        <v>1.9226986271710312E-2</v>
      </c>
      <c r="AC260" s="171" t="str">
        <f t="shared" si="155"/>
        <v>-0.541419126345294-2.10622984166559i</v>
      </c>
      <c r="AD260" s="190">
        <f t="shared" si="156"/>
        <v>6.7480042858010547</v>
      </c>
      <c r="AE260" s="169">
        <f t="shared" si="157"/>
        <v>-104.41610789473965</v>
      </c>
      <c r="AF260" s="98" t="str">
        <f t="shared" si="143"/>
        <v>-9.95024875621891E-06</v>
      </c>
      <c r="AG260" s="98" t="str">
        <f t="shared" si="144"/>
        <v>0.0165429876618224i</v>
      </c>
      <c r="AH260" s="98">
        <f t="shared" si="158"/>
        <v>1.6542987661822401E-2</v>
      </c>
      <c r="AI260" s="98">
        <f t="shared" si="159"/>
        <v>1.5707963267948966</v>
      </c>
      <c r="AJ260" s="98" t="str">
        <f t="shared" si="145"/>
        <v>1+0.165099512493724i</v>
      </c>
      <c r="AK260" s="98">
        <f t="shared" si="160"/>
        <v>1.0135372953304014</v>
      </c>
      <c r="AL260" s="98">
        <f t="shared" si="161"/>
        <v>0.16362349234217108</v>
      </c>
      <c r="AM260" s="98" t="str">
        <f t="shared" si="146"/>
        <v>1+165.264612006218i</v>
      </c>
      <c r="AN260" s="98">
        <f t="shared" si="162"/>
        <v>165.26763742961225</v>
      </c>
      <c r="AO260" s="98">
        <f t="shared" si="163"/>
        <v>1.5647454984677887</v>
      </c>
      <c r="AP260" s="168" t="str">
        <f t="shared" si="164"/>
        <v>-0.0966687972169813+0.0165614496338025i</v>
      </c>
      <c r="AQ260" s="98">
        <f t="shared" si="165"/>
        <v>-20.16863846042094</v>
      </c>
      <c r="AR260" s="169">
        <f t="shared" si="166"/>
        <v>170.27837753390094</v>
      </c>
      <c r="AS260" s="168" t="str">
        <f t="shared" si="167"/>
        <v>0.0872205551740249+0.194640019864581i</v>
      </c>
      <c r="AT260" s="190">
        <f t="shared" si="168"/>
        <v>-13.420634174619872</v>
      </c>
      <c r="AU260" s="169">
        <f t="shared" si="169"/>
        <v>65.862269639161312</v>
      </c>
      <c r="AV260" s="225"/>
      <c r="AX260">
        <f t="shared" si="170"/>
        <v>0</v>
      </c>
      <c r="AY260">
        <f t="shared" si="171"/>
        <v>0</v>
      </c>
    </row>
    <row r="261" spans="14:51" x14ac:dyDescent="0.55000000000000004">
      <c r="N261" s="170">
        <v>43</v>
      </c>
      <c r="O261" s="199">
        <f t="shared" si="172"/>
        <v>2691.5348039269184</v>
      </c>
      <c r="P261" s="189" t="str">
        <f t="shared" si="138"/>
        <v>1078.86904761905</v>
      </c>
      <c r="Q261" s="160" t="str">
        <f t="shared" si="139"/>
        <v>1+528.481622931128i</v>
      </c>
      <c r="R261" s="160">
        <f t="shared" si="147"/>
        <v>528.48256903697302</v>
      </c>
      <c r="S261" s="160">
        <f t="shared" si="148"/>
        <v>1.5689041156694354</v>
      </c>
      <c r="T261" s="160" t="str">
        <f t="shared" si="140"/>
        <v>1+0.000338228238675922i</v>
      </c>
      <c r="U261" s="160">
        <f t="shared" si="149"/>
        <v>1.0000000571991692</v>
      </c>
      <c r="V261" s="160">
        <f t="shared" si="150"/>
        <v>3.382282257783397E-4</v>
      </c>
      <c r="W261" s="98" t="str">
        <f t="shared" si="141"/>
        <v>1-0.244620191339974i</v>
      </c>
      <c r="X261" s="160">
        <f t="shared" si="151"/>
        <v>1.0294848410788793</v>
      </c>
      <c r="Y261" s="160">
        <f t="shared" si="152"/>
        <v>-0.2399089397342854</v>
      </c>
      <c r="Z261" s="98" t="str">
        <f t="shared" si="142"/>
        <v>0.986882101220914+0.0194307582567987i</v>
      </c>
      <c r="AA261" s="160">
        <f t="shared" si="153"/>
        <v>0.98707336914569854</v>
      </c>
      <c r="AB261" s="160">
        <f t="shared" si="154"/>
        <v>1.9686493438085286E-2</v>
      </c>
      <c r="AC261" s="171" t="str">
        <f t="shared" si="155"/>
        <v>-0.541942339176129-2.05903553855949i</v>
      </c>
      <c r="AD261" s="190">
        <f t="shared" si="156"/>
        <v>6.5641722395836002</v>
      </c>
      <c r="AE261" s="169">
        <f t="shared" si="157"/>
        <v>-104.74592794036121</v>
      </c>
      <c r="AF261" s="98" t="str">
        <f t="shared" si="143"/>
        <v>-9.95024875621891E-06</v>
      </c>
      <c r="AG261" s="98" t="str">
        <f t="shared" si="144"/>
        <v>0.0169283233457299i</v>
      </c>
      <c r="AH261" s="98">
        <f t="shared" si="158"/>
        <v>1.6928323345729902E-2</v>
      </c>
      <c r="AI261" s="98">
        <f t="shared" si="159"/>
        <v>1.5707963267948966</v>
      </c>
      <c r="AJ261" s="98" t="str">
        <f t="shared" si="145"/>
        <v>1+0.168945174163797i</v>
      </c>
      <c r="AK261" s="98">
        <f t="shared" si="160"/>
        <v>1.0141708297290135</v>
      </c>
      <c r="AL261" s="98">
        <f t="shared" si="161"/>
        <v>0.16736478117576931</v>
      </c>
      <c r="AM261" s="98" t="str">
        <f t="shared" si="146"/>
        <v>1+169.114119337961i</v>
      </c>
      <c r="AN261" s="98">
        <f t="shared" si="162"/>
        <v>169.11707589552901</v>
      </c>
      <c r="AO261" s="98">
        <f t="shared" si="163"/>
        <v>1.5648832288881187</v>
      </c>
      <c r="AP261" s="168" t="str">
        <f t="shared" si="164"/>
        <v>-0.0965480603986698+0.0168991159006027i</v>
      </c>
      <c r="AQ261" s="98">
        <f t="shared" si="165"/>
        <v>-20.17407323231847</v>
      </c>
      <c r="AR261" s="169">
        <f t="shared" si="166"/>
        <v>170.07190884559182</v>
      </c>
      <c r="AS261" s="168" t="str">
        <f t="shared" si="167"/>
        <v>0.08711936190495+0.189637541138668i</v>
      </c>
      <c r="AT261" s="190">
        <f t="shared" si="168"/>
        <v>-13.609900992734874</v>
      </c>
      <c r="AU261" s="169">
        <f t="shared" si="169"/>
        <v>65.325980905230594</v>
      </c>
      <c r="AV261" s="225"/>
      <c r="AX261">
        <f t="shared" si="170"/>
        <v>0</v>
      </c>
      <c r="AY261">
        <f t="shared" si="171"/>
        <v>0</v>
      </c>
    </row>
    <row r="262" spans="14:51" x14ac:dyDescent="0.55000000000000004">
      <c r="N262" s="170">
        <v>44</v>
      </c>
      <c r="O262" s="199">
        <f t="shared" si="172"/>
        <v>2754.228703338169</v>
      </c>
      <c r="P262" s="189" t="str">
        <f t="shared" si="138"/>
        <v>1078.86904761905</v>
      </c>
      <c r="Q262" s="160" t="str">
        <f t="shared" si="139"/>
        <v>1+540.791541294584i</v>
      </c>
      <c r="R262" s="160">
        <f t="shared" si="147"/>
        <v>540.792465864468</v>
      </c>
      <c r="S262" s="160">
        <f t="shared" si="148"/>
        <v>1.5689471875538614</v>
      </c>
      <c r="T262" s="160" t="str">
        <f t="shared" si="140"/>
        <v>1+0.000346106586428534i</v>
      </c>
      <c r="U262" s="160">
        <f t="shared" si="149"/>
        <v>1.0000000598948828</v>
      </c>
      <c r="V262" s="160">
        <f t="shared" si="150"/>
        <v>3.4610657260852559E-4</v>
      </c>
      <c r="W262" s="98" t="str">
        <f t="shared" si="141"/>
        <v>1-0.250318127568573i</v>
      </c>
      <c r="X262" s="160">
        <f t="shared" si="151"/>
        <v>1.0308536098736019</v>
      </c>
      <c r="Y262" s="160">
        <f t="shared" si="152"/>
        <v>-0.24527805488956955</v>
      </c>
      <c r="Z262" s="98" t="str">
        <f t="shared" si="142"/>
        <v>0.986263873697978+0.0198833587588836i</v>
      </c>
      <c r="AA262" s="160">
        <f t="shared" si="153"/>
        <v>0.9864642804061764</v>
      </c>
      <c r="AB262" s="160">
        <f t="shared" si="154"/>
        <v>2.0157552322627798E-2</v>
      </c>
      <c r="AC262" s="171" t="str">
        <f t="shared" si="155"/>
        <v>-0.542473872289977-2.01293322908514i</v>
      </c>
      <c r="AD262" s="190">
        <f t="shared" si="156"/>
        <v>6.3810751778786488</v>
      </c>
      <c r="AE262" s="169">
        <f t="shared" si="157"/>
        <v>-105.08256170563565</v>
      </c>
      <c r="AF262" s="98" t="str">
        <f t="shared" si="143"/>
        <v>-9.95024875621891E-06</v>
      </c>
      <c r="AG262" s="98" t="str">
        <f t="shared" si="144"/>
        <v>0.0173226346507481i</v>
      </c>
      <c r="AH262" s="98">
        <f t="shared" si="158"/>
        <v>1.7322634650748101E-2</v>
      </c>
      <c r="AI262" s="98">
        <f t="shared" si="159"/>
        <v>1.5707963267948966</v>
      </c>
      <c r="AJ262" s="98" t="str">
        <f t="shared" si="145"/>
        <v>1+0.172880412801466i</v>
      </c>
      <c r="AK262" s="98">
        <f t="shared" si="160"/>
        <v>1.0148337977868127</v>
      </c>
      <c r="AL262" s="98">
        <f t="shared" si="161"/>
        <v>0.17118832519533717</v>
      </c>
      <c r="AM262" s="98" t="str">
        <f t="shared" si="146"/>
        <v>1+173.053293214267i</v>
      </c>
      <c r="AN262" s="98">
        <f t="shared" si="162"/>
        <v>173.05618247350503</v>
      </c>
      <c r="AO262" s="98">
        <f t="shared" si="163"/>
        <v>1.5650178243981017</v>
      </c>
      <c r="AP262" s="168" t="str">
        <f t="shared" si="164"/>
        <v>-0.0964219562570014+0.0172438749561153i</v>
      </c>
      <c r="AQ262" s="98">
        <f t="shared" si="165"/>
        <v>-20.179756216890855</v>
      </c>
      <c r="AR262" s="169">
        <f t="shared" si="166"/>
        <v>169.86054766515159</v>
      </c>
      <c r="AS262" s="168" t="str">
        <f t="shared" si="167"/>
        <v>0.0870171608818639+0.184736608142384i</v>
      </c>
      <c r="AT262" s="190">
        <f t="shared" si="168"/>
        <v>-13.798681039012202</v>
      </c>
      <c r="AU262" s="169">
        <f t="shared" si="169"/>
        <v>64.777985959515931</v>
      </c>
      <c r="AV262" s="225"/>
      <c r="AX262">
        <f t="shared" si="170"/>
        <v>0</v>
      </c>
      <c r="AY262">
        <f t="shared" si="171"/>
        <v>0</v>
      </c>
    </row>
    <row r="263" spans="14:51" x14ac:dyDescent="0.55000000000000004">
      <c r="N263" s="170">
        <v>45</v>
      </c>
      <c r="O263" s="199">
        <f t="shared" si="172"/>
        <v>2818.3829312644561</v>
      </c>
      <c r="P263" s="189" t="str">
        <f t="shared" si="138"/>
        <v>1078.86904761905</v>
      </c>
      <c r="Q263" s="160" t="str">
        <f t="shared" si="139"/>
        <v>1+553.388194491456i</v>
      </c>
      <c r="R263" s="160">
        <f t="shared" si="147"/>
        <v>553.38909801559475</v>
      </c>
      <c r="S263" s="160">
        <f t="shared" si="148"/>
        <v>1.5689892790091287</v>
      </c>
      <c r="T263" s="160" t="str">
        <f t="shared" si="140"/>
        <v>1+0.000354168444474532i</v>
      </c>
      <c r="U263" s="160">
        <f t="shared" si="149"/>
        <v>1.0000000627176415</v>
      </c>
      <c r="V263" s="160">
        <f t="shared" si="150"/>
        <v>3.5416842966612633E-4</v>
      </c>
      <c r="W263" s="98" t="str">
        <f t="shared" si="141"/>
        <v>1-0.256148785781761i</v>
      </c>
      <c r="X263" s="160">
        <f t="shared" si="151"/>
        <v>1.0322849415047526</v>
      </c>
      <c r="Y263" s="160">
        <f t="shared" si="152"/>
        <v>-0.25075733079000112</v>
      </c>
      <c r="Z263" s="98" t="str">
        <f t="shared" si="142"/>
        <v>0.985616510009519+0.0203465016809697i</v>
      </c>
      <c r="AA263" s="160">
        <f t="shared" si="153"/>
        <v>0.98582649839309855</v>
      </c>
      <c r="AB263" s="160">
        <f t="shared" si="154"/>
        <v>2.0640494538693203E-2</v>
      </c>
      <c r="AC263" s="171" t="str">
        <f t="shared" si="155"/>
        <v>-0.543014916803861-1.96789849176802i</v>
      </c>
      <c r="AD263" s="190">
        <f t="shared" si="156"/>
        <v>6.1987453240445225</v>
      </c>
      <c r="AE263" s="169">
        <f t="shared" si="157"/>
        <v>-105.42612139260336</v>
      </c>
      <c r="AF263" s="98" t="str">
        <f t="shared" si="143"/>
        <v>-9.95024875621891E-06</v>
      </c>
      <c r="AG263" s="98" t="str">
        <f t="shared" si="144"/>
        <v>0.0177261306459503i</v>
      </c>
      <c r="AH263" s="98">
        <f t="shared" si="158"/>
        <v>1.77261306459503E-2</v>
      </c>
      <c r="AI263" s="98">
        <f t="shared" si="159"/>
        <v>1.5707963267948966</v>
      </c>
      <c r="AJ263" s="98" t="str">
        <f t="shared" si="145"/>
        <v>1+0.176907314922344i</v>
      </c>
      <c r="AK263" s="98">
        <f t="shared" si="160"/>
        <v>1.0155275466835123</v>
      </c>
      <c r="AL263" s="98">
        <f t="shared" si="161"/>
        <v>0.17509570428425572</v>
      </c>
      <c r="AM263" s="98" t="str">
        <f t="shared" si="146"/>
        <v>1+177.084222237266i</v>
      </c>
      <c r="AN263" s="98">
        <f t="shared" si="162"/>
        <v>177.0870457299952</v>
      </c>
      <c r="AO263" s="98">
        <f t="shared" si="163"/>
        <v>1.5651493563425405</v>
      </c>
      <c r="AP263" s="168" t="str">
        <f t="shared" si="164"/>
        <v>-0.0962902615975533+0.0175957838799637i</v>
      </c>
      <c r="AQ263" s="98">
        <f t="shared" si="165"/>
        <v>-20.185698461995372</v>
      </c>
      <c r="AR263" s="169">
        <f t="shared" si="166"/>
        <v>169.64420755968632</v>
      </c>
      <c r="AS263" s="168" t="str">
        <f t="shared" si="167"/>
        <v>0.086913764949274+0.179934687450096i</v>
      </c>
      <c r="AT263" s="190">
        <f t="shared" si="168"/>
        <v>-13.98695313795085</v>
      </c>
      <c r="AU263" s="169">
        <f t="shared" si="169"/>
        <v>64.218086167082973</v>
      </c>
      <c r="AV263" s="225"/>
      <c r="AX263">
        <f t="shared" si="170"/>
        <v>0</v>
      </c>
      <c r="AY263">
        <f t="shared" si="171"/>
        <v>0</v>
      </c>
    </row>
    <row r="264" spans="14:51" x14ac:dyDescent="0.55000000000000004">
      <c r="N264" s="170">
        <v>46</v>
      </c>
      <c r="O264" s="199">
        <f t="shared" si="172"/>
        <v>2884.0315031266077</v>
      </c>
      <c r="P264" s="189" t="str">
        <f t="shared" si="138"/>
        <v>1078.86904761905</v>
      </c>
      <c r="Q264" s="160" t="str">
        <f t="shared" si="139"/>
        <v>1+566.278261434006i</v>
      </c>
      <c r="R264" s="160">
        <f t="shared" si="147"/>
        <v>566.27914439145684</v>
      </c>
      <c r="S264" s="160">
        <f t="shared" si="148"/>
        <v>1.5690304123520875</v>
      </c>
      <c r="T264" s="160" t="str">
        <f t="shared" si="140"/>
        <v>1+0.000362418087317764i</v>
      </c>
      <c r="U264" s="160">
        <f t="shared" si="149"/>
        <v>1.0000000656734329</v>
      </c>
      <c r="V264" s="160">
        <f t="shared" si="150"/>
        <v>3.6241807145027147E-4</v>
      </c>
      <c r="W264" s="98" t="str">
        <f t="shared" si="141"/>
        <v>1-0.2621152574717i</v>
      </c>
      <c r="X264" s="160">
        <f t="shared" si="151"/>
        <v>1.0337816056592686</v>
      </c>
      <c r="Y264" s="160">
        <f t="shared" si="152"/>
        <v>-0.25634835605091466</v>
      </c>
      <c r="Z264" s="98" t="str">
        <f t="shared" si="142"/>
        <v>0.984938637010363+0.0208204325875649i</v>
      </c>
      <c r="AA264" s="160">
        <f t="shared" si="153"/>
        <v>0.98515867203662422</v>
      </c>
      <c r="AB264" s="160">
        <f t="shared" si="154"/>
        <v>2.1135664129184072E-2</v>
      </c>
      <c r="AC264" s="171" t="str">
        <f t="shared" si="155"/>
        <v>-0.543566690329994-1.92390747240985i</v>
      </c>
      <c r="AD264" s="190">
        <f t="shared" si="156"/>
        <v>6.0172162114801377</v>
      </c>
      <c r="AE264" s="169">
        <f t="shared" si="157"/>
        <v>-105.77671876817504</v>
      </c>
      <c r="AF264" s="98" t="str">
        <f t="shared" si="143"/>
        <v>-9.95024875621891E-06</v>
      </c>
      <c r="AG264" s="98" t="str">
        <f t="shared" si="144"/>
        <v>0.0181390252702541i</v>
      </c>
      <c r="AH264" s="98">
        <f t="shared" si="158"/>
        <v>1.81390252702541E-2</v>
      </c>
      <c r="AI264" s="98">
        <f t="shared" si="159"/>
        <v>1.5707963267948966</v>
      </c>
      <c r="AJ264" s="98" t="str">
        <f t="shared" si="145"/>
        <v>1+0.181028015643239i</v>
      </c>
      <c r="AK264" s="98">
        <f t="shared" si="160"/>
        <v>1.0162534833631465</v>
      </c>
      <c r="AL264" s="98">
        <f t="shared" si="161"/>
        <v>0.17908851269815873</v>
      </c>
      <c r="AM264" s="98" t="str">
        <f t="shared" si="146"/>
        <v>1+181.209043658882i</v>
      </c>
      <c r="AN264" s="98">
        <f t="shared" si="162"/>
        <v>181.21180288206008</v>
      </c>
      <c r="AO264" s="98">
        <f t="shared" si="163"/>
        <v>1.5652778944431982</v>
      </c>
      <c r="AP264" s="168" t="str">
        <f t="shared" si="164"/>
        <v>-0.0961527453813808+0.0179548954606897i</v>
      </c>
      <c r="AQ264" s="98">
        <f t="shared" si="165"/>
        <v>-20.191911472230736</v>
      </c>
      <c r="AR264" s="169">
        <f t="shared" si="166"/>
        <v>169.42280117983964</v>
      </c>
      <c r="AS264" s="168" t="str">
        <f t="shared" si="167"/>
        <v>0.0868089871162584+0.175229302231172i</v>
      </c>
      <c r="AT264" s="190">
        <f t="shared" si="168"/>
        <v>-14.174695260750603</v>
      </c>
      <c r="AU264" s="169">
        <f t="shared" si="169"/>
        <v>63.646082411664572</v>
      </c>
      <c r="AV264" s="225"/>
      <c r="AX264">
        <f t="shared" si="170"/>
        <v>0</v>
      </c>
      <c r="AY264">
        <f t="shared" si="171"/>
        <v>0</v>
      </c>
    </row>
    <row r="265" spans="14:51" x14ac:dyDescent="0.55000000000000004">
      <c r="N265" s="170">
        <v>47</v>
      </c>
      <c r="O265" s="199">
        <f t="shared" si="172"/>
        <v>2951.2092266663876</v>
      </c>
      <c r="P265" s="189" t="str">
        <f t="shared" si="138"/>
        <v>1078.86904761905</v>
      </c>
      <c r="Q265" s="160" t="str">
        <f t="shared" si="139"/>
        <v>1+579.468576606347i</v>
      </c>
      <c r="R265" s="160">
        <f t="shared" si="147"/>
        <v>579.46943946526289</v>
      </c>
      <c r="S265" s="160">
        <f t="shared" si="148"/>
        <v>1.5690706093916233</v>
      </c>
      <c r="T265" s="160" t="str">
        <f t="shared" si="140"/>
        <v>1+0.000370859889028062i</v>
      </c>
      <c r="U265" s="160">
        <f t="shared" si="149"/>
        <v>1.0000000687685262</v>
      </c>
      <c r="V265" s="160">
        <f t="shared" si="150"/>
        <v>3.708598720257375E-4</v>
      </c>
      <c r="W265" s="98" t="str">
        <f t="shared" si="141"/>
        <v>1-0.268220706140656i</v>
      </c>
      <c r="X265" s="160">
        <f t="shared" si="151"/>
        <v>1.0353464865457322</v>
      </c>
      <c r="Y265" s="160">
        <f t="shared" si="152"/>
        <v>-0.2620526963392783</v>
      </c>
      <c r="Z265" s="98" t="str">
        <f t="shared" si="142"/>
        <v>0.984228816840994+0.021305402763109i</v>
      </c>
      <c r="AA265" s="160">
        <f t="shared" si="153"/>
        <v>0.98445938671289079</v>
      </c>
      <c r="AB265" s="160">
        <f t="shared" si="154"/>
        <v>2.1643418221937275E-2</v>
      </c>
      <c r="AC265" s="171" t="str">
        <f t="shared" si="155"/>
        <v>-0.544130440194965-1.88093687153587i</v>
      </c>
      <c r="AD265" s="190">
        <f t="shared" si="156"/>
        <v>5.8365227286367478</v>
      </c>
      <c r="AE265" s="169">
        <f t="shared" si="157"/>
        <v>-106.13446499931993</v>
      </c>
      <c r="AF265" s="98" t="str">
        <f t="shared" si="143"/>
        <v>-9.95024875621891E-06</v>
      </c>
      <c r="AG265" s="98" t="str">
        <f t="shared" si="144"/>
        <v>0.0185615374458545i</v>
      </c>
      <c r="AH265" s="98">
        <f t="shared" si="158"/>
        <v>1.8561537445854499E-2</v>
      </c>
      <c r="AI265" s="98">
        <f t="shared" si="159"/>
        <v>1.5707963267948966</v>
      </c>
      <c r="AJ265" s="98" t="str">
        <f t="shared" si="145"/>
        <v>1+0.185244699814217i</v>
      </c>
      <c r="AK265" s="98">
        <f t="shared" si="160"/>
        <v>1.0170130770099564</v>
      </c>
      <c r="AL265" s="98">
        <f t="shared" si="161"/>
        <v>0.18316835798159137</v>
      </c>
      <c r="AM265" s="98" t="str">
        <f t="shared" si="146"/>
        <v>1+185.429944514031i</v>
      </c>
      <c r="AN265" s="98">
        <f t="shared" si="162"/>
        <v>185.43264093054549</v>
      </c>
      <c r="AO265" s="98">
        <f t="shared" si="163"/>
        <v>1.5654035068356775</v>
      </c>
      <c r="AP265" s="168" t="str">
        <f t="shared" si="164"/>
        <v>-0.0960091685858131+0.018321257748816i</v>
      </c>
      <c r="AQ265" s="98">
        <f t="shared" si="165"/>
        <v>-20.198407224907413</v>
      </c>
      <c r="AR265" s="169">
        <f t="shared" si="166"/>
        <v>169.19624032397627</v>
      </c>
      <c r="AS265" s="168" t="str">
        <f t="shared" si="167"/>
        <v>0.0867026403980114+0.170618031154771i</v>
      </c>
      <c r="AT265" s="190">
        <f t="shared" si="168"/>
        <v>-14.361884496270644</v>
      </c>
      <c r="AU265" s="169">
        <f t="shared" si="169"/>
        <v>63.061775324656395</v>
      </c>
      <c r="AV265" s="225"/>
      <c r="AX265">
        <f t="shared" si="170"/>
        <v>0</v>
      </c>
      <c r="AY265">
        <f t="shared" si="171"/>
        <v>0</v>
      </c>
    </row>
    <row r="266" spans="14:51" x14ac:dyDescent="0.55000000000000004">
      <c r="N266" s="170">
        <v>48</v>
      </c>
      <c r="O266" s="199">
        <f t="shared" si="172"/>
        <v>3019.9517204020176</v>
      </c>
      <c r="P266" s="189" t="str">
        <f t="shared" si="138"/>
        <v>1078.86904761905</v>
      </c>
      <c r="Q266" s="160" t="str">
        <f t="shared" si="139"/>
        <v>1+592.966133688178i</v>
      </c>
      <c r="R266" s="160">
        <f t="shared" si="147"/>
        <v>592.96697690605515</v>
      </c>
      <c r="S266" s="160">
        <f t="shared" si="148"/>
        <v>1.5691098914402186</v>
      </c>
      <c r="T266" s="160" t="str">
        <f t="shared" si="140"/>
        <v>1+0.000379498325560434i</v>
      </c>
      <c r="U266" s="160">
        <f t="shared" si="149"/>
        <v>1.000000072009487</v>
      </c>
      <c r="V266" s="160">
        <f t="shared" si="150"/>
        <v>3.7949830734211511E-4</v>
      </c>
      <c r="W266" s="98" t="str">
        <f t="shared" si="141"/>
        <v>1-0.274468368978328i</v>
      </c>
      <c r="X266" s="160">
        <f t="shared" si="151"/>
        <v>1.0369825869172653</v>
      </c>
      <c r="Y266" s="160">
        <f t="shared" si="152"/>
        <v>-0.26787189062953876</v>
      </c>
      <c r="Z266" s="98" t="str">
        <f t="shared" si="142"/>
        <v>0.983485543877666+0.0218016693452084i</v>
      </c>
      <c r="AA266" s="160">
        <f t="shared" si="153"/>
        <v>0.98372716126098003</v>
      </c>
      <c r="AB266" s="160">
        <f t="shared" si="154"/>
        <v>2.216412773030094E-2</v>
      </c>
      <c r="AC266" s="171" t="str">
        <f t="shared" si="155"/>
        <v>-0.544707446787435-1.83896393214016i</v>
      </c>
      <c r="AD266" s="190">
        <f t="shared" si="156"/>
        <v>5.6567011649802215</v>
      </c>
      <c r="AE266" s="169">
        <f t="shared" si="157"/>
        <v>-106.49947047920985</v>
      </c>
      <c r="AF266" s="98" t="str">
        <f t="shared" si="143"/>
        <v>-9.95024875621891E-06</v>
      </c>
      <c r="AG266" s="98" t="str">
        <f t="shared" si="144"/>
        <v>0.0189938911942997i</v>
      </c>
      <c r="AH266" s="98">
        <f t="shared" si="158"/>
        <v>1.89938911942997E-2</v>
      </c>
      <c r="AI266" s="98">
        <f t="shared" si="159"/>
        <v>1.5707963267948966</v>
      </c>
      <c r="AJ266" s="98" t="str">
        <f t="shared" si="145"/>
        <v>1+0.18955960317704i</v>
      </c>
      <c r="AK266" s="98">
        <f t="shared" si="160"/>
        <v>1.0178078616107447</v>
      </c>
      <c r="AL266" s="98">
        <f t="shared" si="161"/>
        <v>0.18733685977897838</v>
      </c>
      <c r="AM266" s="98" t="str">
        <f t="shared" si="146"/>
        <v>1+189.749162780217i</v>
      </c>
      <c r="AN266" s="98">
        <f t="shared" si="162"/>
        <v>189.75179781966042</v>
      </c>
      <c r="AO266" s="98">
        <f t="shared" si="163"/>
        <v>1.5655262601054667</v>
      </c>
      <c r="AP266" s="168" t="str">
        <f t="shared" si="164"/>
        <v>-0.0958592840771623+0.0186949135847232i</v>
      </c>
      <c r="AQ266" s="98">
        <f t="shared" si="165"/>
        <v>-20.205198186285607</v>
      </c>
      <c r="AR266" s="169">
        <f t="shared" si="166"/>
        <v>168.96443600837361</v>
      </c>
      <c r="AS266" s="168" t="str">
        <f t="shared" si="167"/>
        <v>0.0865945376773256+0.166098507332033i</v>
      </c>
      <c r="AT266" s="190">
        <f t="shared" si="168"/>
        <v>-14.548497021305371</v>
      </c>
      <c r="AU266" s="169">
        <f t="shared" si="169"/>
        <v>62.464965529163813</v>
      </c>
      <c r="AV266" s="225"/>
      <c r="AX266">
        <f t="shared" si="170"/>
        <v>0</v>
      </c>
      <c r="AY266">
        <f t="shared" si="171"/>
        <v>0</v>
      </c>
    </row>
    <row r="267" spans="14:51" x14ac:dyDescent="0.55000000000000004">
      <c r="N267" s="170">
        <v>49</v>
      </c>
      <c r="O267" s="199">
        <f t="shared" si="172"/>
        <v>3090.295432513592</v>
      </c>
      <c r="P267" s="189" t="str">
        <f t="shared" si="138"/>
        <v>1078.86904761905</v>
      </c>
      <c r="Q267" s="160" t="str">
        <f t="shared" si="139"/>
        <v>1+606.778089262925i</v>
      </c>
      <c r="R267" s="160">
        <f t="shared" si="147"/>
        <v>606.77891328684632</v>
      </c>
      <c r="S267" s="160">
        <f t="shared" si="148"/>
        <v>1.5691482793252507</v>
      </c>
      <c r="T267" s="160" t="str">
        <f t="shared" si="140"/>
        <v>1+0.000388337977128272i</v>
      </c>
      <c r="U267" s="160">
        <f t="shared" si="149"/>
        <v>1.0000000754031895</v>
      </c>
      <c r="V267" s="160">
        <f t="shared" si="150"/>
        <v>3.8833795760699169E-4</v>
      </c>
      <c r="W267" s="98" t="str">
        <f t="shared" si="141"/>
        <v>1-0.280861558578252i</v>
      </c>
      <c r="X267" s="160">
        <f t="shared" si="151"/>
        <v>1.0386930321740899</v>
      </c>
      <c r="Y267" s="160">
        <f t="shared" si="152"/>
        <v>-0.27380744725293904</v>
      </c>
      <c r="Z267" s="98" t="str">
        <f t="shared" si="142"/>
        <v>0.98270724153877+0.0223094954609739i</v>
      </c>
      <c r="AA267" s="160">
        <f t="shared" si="153"/>
        <v>0.98296044486055578</v>
      </c>
      <c r="AB267" s="160">
        <f t="shared" si="154"/>
        <v>2.2698178102583393E-2</v>
      </c>
      <c r="AC267" s="171" t="str">
        <f t="shared" si="155"/>
        <v>-0.545299027048462-1.79796642772219i</v>
      </c>
      <c r="AD267" s="190">
        <f t="shared" si="156"/>
        <v>5.4777892578893788</v>
      </c>
      <c r="AE267" s="169">
        <f t="shared" si="157"/>
        <v>-106.87184464431506</v>
      </c>
      <c r="AF267" s="98" t="str">
        <f t="shared" si="143"/>
        <v>-9.95024875621891E-06</v>
      </c>
      <c r="AG267" s="98" t="str">
        <f t="shared" si="144"/>
        <v>0.01943631575527i</v>
      </c>
      <c r="AH267" s="98">
        <f t="shared" si="158"/>
        <v>1.9436315755269998E-2</v>
      </c>
      <c r="AI267" s="98">
        <f t="shared" si="159"/>
        <v>1.5707963267948966</v>
      </c>
      <c r="AJ267" s="98" t="str">
        <f t="shared" si="145"/>
        <v>1+0.193975013550585i</v>
      </c>
      <c r="AK267" s="98">
        <f t="shared" si="160"/>
        <v>1.018639438605216</v>
      </c>
      <c r="AL267" s="98">
        <f t="shared" si="161"/>
        <v>0.1915956485339525</v>
      </c>
      <c r="AM267" s="98" t="str">
        <f t="shared" si="146"/>
        <v>1+194.168988564136i</v>
      </c>
      <c r="AN267" s="98">
        <f t="shared" si="162"/>
        <v>194.17156362356349</v>
      </c>
      <c r="AO267" s="98">
        <f t="shared" si="163"/>
        <v>1.5656462193231686</v>
      </c>
      <c r="AP267" s="168" t="str">
        <f t="shared" si="164"/>
        <v>-0.0957028364972005+0.0190759001006382i</v>
      </c>
      <c r="AQ267" s="98">
        <f t="shared" si="165"/>
        <v>-20.212297328054433</v>
      </c>
      <c r="AR267" s="169">
        <f t="shared" si="166"/>
        <v>168.72729854376379</v>
      </c>
      <c r="AS267" s="168" t="str">
        <f t="shared" si="167"/>
        <v>0.0864844915872313+0.161668417294801i</v>
      </c>
      <c r="AT267" s="190">
        <f t="shared" si="168"/>
        <v>-14.734508070165045</v>
      </c>
      <c r="AU267" s="169">
        <f t="shared" si="169"/>
        <v>61.855453899448797</v>
      </c>
      <c r="AV267" s="225"/>
      <c r="AX267">
        <f t="shared" si="170"/>
        <v>0</v>
      </c>
      <c r="AY267">
        <f t="shared" si="171"/>
        <v>0</v>
      </c>
    </row>
    <row r="268" spans="14:51" x14ac:dyDescent="0.55000000000000004">
      <c r="N268" s="170">
        <v>50</v>
      </c>
      <c r="O268" s="199">
        <f t="shared" si="172"/>
        <v>3162.2776601683804</v>
      </c>
      <c r="P268" s="189" t="str">
        <f t="shared" si="138"/>
        <v>1078.86904761905</v>
      </c>
      <c r="Q268" s="160" t="str">
        <f t="shared" si="139"/>
        <v>1+620.911766612256i</v>
      </c>
      <c r="R268" s="160">
        <f t="shared" si="147"/>
        <v>620.91257187912743</v>
      </c>
      <c r="S268" s="160">
        <f t="shared" si="148"/>
        <v>1.5691857934000313</v>
      </c>
      <c r="T268" s="160" t="str">
        <f t="shared" si="140"/>
        <v>1+0.000397383530631844i</v>
      </c>
      <c r="U268" s="160">
        <f t="shared" si="149"/>
        <v>1.000000078956832</v>
      </c>
      <c r="V268" s="160">
        <f t="shared" si="150"/>
        <v>3.9738350971441533E-4</v>
      </c>
      <c r="W268" s="98" t="str">
        <f t="shared" si="141"/>
        <v>1-0.287403664694175i</v>
      </c>
      <c r="X268" s="160">
        <f t="shared" si="151"/>
        <v>1.0404810745417918</v>
      </c>
      <c r="Y268" s="160">
        <f t="shared" si="152"/>
        <v>-0.27986083973717385</v>
      </c>
      <c r="Z268" s="98" t="str">
        <f t="shared" si="142"/>
        <v>0.981892258940697+0.0228291503665338i</v>
      </c>
      <c r="AA268" s="160">
        <f t="shared" si="153"/>
        <v>0.98215761376375954</v>
      </c>
      <c r="AB268" s="160">
        <f t="shared" si="154"/>
        <v>2.3245970124396147E-2</v>
      </c>
      <c r="AC268" s="171" t="str">
        <f t="shared" si="155"/>
        <v>-0.545906538119523-1.75792265060902i</v>
      </c>
      <c r="AD268" s="190">
        <f t="shared" si="156"/>
        <v>5.2998262404807921</v>
      </c>
      <c r="AE268" s="169">
        <f t="shared" si="157"/>
        <v>-107.25169578249681</v>
      </c>
      <c r="AF268" s="98" t="str">
        <f t="shared" si="143"/>
        <v>-9.95024875621891E-06</v>
      </c>
      <c r="AG268" s="98" t="str">
        <f t="shared" si="144"/>
        <v>0.0198890457081238i</v>
      </c>
      <c r="AH268" s="98">
        <f t="shared" si="158"/>
        <v>1.98890457081238E-2</v>
      </c>
      <c r="AI268" s="98">
        <f t="shared" si="159"/>
        <v>1.5707963267948966</v>
      </c>
      <c r="AJ268" s="98" t="str">
        <f t="shared" si="145"/>
        <v>1+0.198493272043878i</v>
      </c>
      <c r="AK268" s="98">
        <f t="shared" si="160"/>
        <v>1.0195094796257096</v>
      </c>
      <c r="AL268" s="98">
        <f t="shared" si="161"/>
        <v>0.19594636407095145</v>
      </c>
      <c r="AM268" s="98" t="str">
        <f t="shared" si="146"/>
        <v>1+198.691765315922i</v>
      </c>
      <c r="AN268" s="98">
        <f t="shared" si="162"/>
        <v>198.69428176059174</v>
      </c>
      <c r="AO268" s="98">
        <f t="shared" si="163"/>
        <v>1.56576344807893</v>
      </c>
      <c r="AP268" s="168" t="str">
        <f t="shared" si="164"/>
        <v>-0.0955395621653933+0.0194642481961003i</v>
      </c>
      <c r="AQ268" s="98">
        <f t="shared" si="165"/>
        <v>-20.219718144023172</v>
      </c>
      <c r="AR268" s="169">
        <f t="shared" si="166"/>
        <v>168.48473761857451</v>
      </c>
      <c r="AS268" s="168" t="str">
        <f t="shared" si="167"/>
        <v>0.0863723144161653+0.157325500009981i</v>
      </c>
      <c r="AT268" s="190">
        <f t="shared" si="168"/>
        <v>-14.919891903542389</v>
      </c>
      <c r="AU268" s="169">
        <f t="shared" si="169"/>
        <v>61.23304183607766</v>
      </c>
      <c r="AV268" s="225"/>
      <c r="AX268">
        <f t="shared" si="170"/>
        <v>0</v>
      </c>
      <c r="AY268">
        <f t="shared" si="171"/>
        <v>0</v>
      </c>
    </row>
    <row r="269" spans="14:51" x14ac:dyDescent="0.55000000000000004">
      <c r="N269" s="170">
        <v>51</v>
      </c>
      <c r="O269" s="199">
        <f t="shared" si="172"/>
        <v>3235.9365692962833</v>
      </c>
      <c r="P269" s="189" t="str">
        <f t="shared" si="138"/>
        <v>1078.86904761905</v>
      </c>
      <c r="Q269" s="160" t="str">
        <f t="shared" si="139"/>
        <v>1+635.374659598984i</v>
      </c>
      <c r="R269" s="160">
        <f t="shared" si="147"/>
        <v>635.37544653576651</v>
      </c>
      <c r="S269" s="160">
        <f t="shared" si="148"/>
        <v>1.5692224535545967</v>
      </c>
      <c r="T269" s="160" t="str">
        <f t="shared" si="140"/>
        <v>1+0.00040663978214335i</v>
      </c>
      <c r="U269" s="160">
        <f t="shared" si="149"/>
        <v>1.0000000826779529</v>
      </c>
      <c r="V269" s="160">
        <f t="shared" si="150"/>
        <v>4.0663975972992148E-4</v>
      </c>
      <c r="W269" s="98" t="str">
        <f t="shared" si="141"/>
        <v>1-0.294098156037357i</v>
      </c>
      <c r="X269" s="160">
        <f t="shared" si="151"/>
        <v>1.0423500973207485</v>
      </c>
      <c r="Y269" s="160">
        <f t="shared" si="152"/>
        <v>-0.28603350243412112</v>
      </c>
      <c r="Z269" s="98" t="str">
        <f t="shared" si="142"/>
        <v>0.98103886739609+0.0233609095897977i</v>
      </c>
      <c r="AA269" s="160">
        <f t="shared" si="153"/>
        <v>0.98131696787463418</v>
      </c>
      <c r="AB269" s="160">
        <f t="shared" si="154"/>
        <v>2.3807920778290172E-2</v>
      </c>
      <c r="AC269" s="171" t="str">
        <f t="shared" si="155"/>
        <v>-0.546531381164634-1.71881140055632i</v>
      </c>
      <c r="AD269" s="190">
        <f t="shared" si="156"/>
        <v>5.122852890345917</v>
      </c>
      <c r="AE269" s="169">
        <f t="shared" si="157"/>
        <v>-107.63913083222538</v>
      </c>
      <c r="AF269" s="98" t="str">
        <f t="shared" si="143"/>
        <v>-9.95024875621891E-06</v>
      </c>
      <c r="AG269" s="98" t="str">
        <f t="shared" si="144"/>
        <v>0.0203523210962747i</v>
      </c>
      <c r="AH269" s="98">
        <f t="shared" si="158"/>
        <v>2.03523210962747E-2</v>
      </c>
      <c r="AI269" s="98">
        <f t="shared" si="159"/>
        <v>1.5707963267948966</v>
      </c>
      <c r="AJ269" s="98" t="str">
        <f t="shared" si="145"/>
        <v>1+0.203116774297378i</v>
      </c>
      <c r="AK269" s="98">
        <f t="shared" si="160"/>
        <v>1.0204197293275803</v>
      </c>
      <c r="AL269" s="98">
        <f t="shared" si="161"/>
        <v>0.2003906540528414</v>
      </c>
      <c r="AM269" s="98" t="str">
        <f t="shared" si="146"/>
        <v>1+203.319891071675i</v>
      </c>
      <c r="AN269" s="98">
        <f t="shared" si="162"/>
        <v>203.32235023577161</v>
      </c>
      <c r="AO269" s="98">
        <f t="shared" si="163"/>
        <v>1.5658780085160935</v>
      </c>
      <c r="AP269" s="168" t="str">
        <f t="shared" si="164"/>
        <v>-0.0953691889990409+0.0198599819863443i</v>
      </c>
      <c r="AQ269" s="98">
        <f t="shared" si="165"/>
        <v>-20.227474666990677</v>
      </c>
      <c r="AR269" s="169">
        <f t="shared" si="166"/>
        <v>168.23666238922854</v>
      </c>
      <c r="AS269" s="168" t="str">
        <f t="shared" si="167"/>
        <v>0.0862578180371686+0.15306754592846i</v>
      </c>
      <c r="AT269" s="190">
        <f t="shared" si="168"/>
        <v>-15.104621776644775</v>
      </c>
      <c r="AU269" s="169">
        <f t="shared" si="169"/>
        <v>60.597531557003101</v>
      </c>
      <c r="AV269" s="225"/>
      <c r="AX269">
        <f t="shared" si="170"/>
        <v>0</v>
      </c>
      <c r="AY269">
        <f t="shared" si="171"/>
        <v>0</v>
      </c>
    </row>
    <row r="270" spans="14:51" x14ac:dyDescent="0.55000000000000004">
      <c r="N270" s="170">
        <v>52</v>
      </c>
      <c r="O270" s="199">
        <f t="shared" si="172"/>
        <v>3311.3112148259115</v>
      </c>
      <c r="P270" s="189" t="str">
        <f t="shared" si="138"/>
        <v>1078.86904761905</v>
      </c>
      <c r="Q270" s="160" t="str">
        <f t="shared" si="139"/>
        <v>1+650.174436640413i</v>
      </c>
      <c r="R270" s="160">
        <f t="shared" si="147"/>
        <v>650.17520566434894</v>
      </c>
      <c r="S270" s="160">
        <f t="shared" si="148"/>
        <v>1.5692582792262519</v>
      </c>
      <c r="T270" s="160" t="str">
        <f t="shared" si="140"/>
        <v>1+0.000416111639449864i</v>
      </c>
      <c r="U270" s="160">
        <f t="shared" si="149"/>
        <v>1.0000000865744445</v>
      </c>
      <c r="V270" s="160">
        <f t="shared" si="150"/>
        <v>4.1611161543344275E-4</v>
      </c>
      <c r="W270" s="98" t="str">
        <f t="shared" si="141"/>
        <v>1-0.30094858211572i</v>
      </c>
      <c r="X270" s="160">
        <f t="shared" si="151"/>
        <v>1.0443036192015531</v>
      </c>
      <c r="Y270" s="160">
        <f t="shared" si="152"/>
        <v>-0.29232682593428133</v>
      </c>
      <c r="Z270" s="98" t="str">
        <f t="shared" si="142"/>
        <v>0.980145256747068+0.0239050550765443i</v>
      </c>
      <c r="AA270" s="160">
        <f t="shared" si="153"/>
        <v>0.98043672716906538</v>
      </c>
      <c r="AB270" s="160">
        <f t="shared" si="154"/>
        <v>2.4384464165493891E-2</v>
      </c>
      <c r="AC270" s="171" t="str">
        <f>(IMDIV(IMPRODUCT(P270,T270,W270),IMPRODUCT(Q270,Z270)))</f>
        <v>-0.547175005384153-1.68061197362273i</v>
      </c>
      <c r="AD270" s="190">
        <f t="shared" si="156"/>
        <v>4.9469115791935714</v>
      </c>
      <c r="AE270" s="169">
        <f t="shared" si="157"/>
        <v>-108.03425517311608</v>
      </c>
      <c r="AF270" s="98" t="str">
        <f t="shared" si="143"/>
        <v>-9.95024875621891E-06</v>
      </c>
      <c r="AG270" s="98" t="str">
        <f t="shared" si="144"/>
        <v>0.0208263875544657i</v>
      </c>
      <c r="AH270" s="98">
        <f t="shared" si="158"/>
        <v>2.0826387554465701E-2</v>
      </c>
      <c r="AI270" s="98">
        <f t="shared" si="159"/>
        <v>1.5707963267948966</v>
      </c>
      <c r="AJ270" s="98" t="str">
        <f t="shared" si="145"/>
        <v>1+0.207847971753179i</v>
      </c>
      <c r="AK270" s="98">
        <f t="shared" si="160"/>
        <v>1.0213720083113254</v>
      </c>
      <c r="AL270" s="98">
        <f t="shared" si="161"/>
        <v>0.2049301723082228</v>
      </c>
      <c r="AM270" s="98" t="str">
        <f t="shared" si="146"/>
        <v>1+208.055819724932i</v>
      </c>
      <c r="AN270" s="98">
        <f t="shared" si="162"/>
        <v>208.05822291227378</v>
      </c>
      <c r="AO270" s="98">
        <f t="shared" si="163"/>
        <v>1.5659899613640842</v>
      </c>
      <c r="AP270" s="168" t="str">
        <f t="shared" si="164"/>
        <v>-0.0951914364536374+0.020263118223137i</v>
      </c>
      <c r="AQ270" s="98">
        <f t="shared" si="165"/>
        <v>-20.235581485754373</v>
      </c>
      <c r="AR270" s="169">
        <f t="shared" si="166"/>
        <v>167.98298157786698</v>
      </c>
      <c r="AS270" s="168" t="str">
        <f t="shared" si="167"/>
        <v>0.0861408138627813+0.148892396067485i</v>
      </c>
      <c r="AT270" s="190">
        <f t="shared" si="168"/>
        <v>-15.288669906560822</v>
      </c>
      <c r="AU270" s="169">
        <f t="shared" si="169"/>
        <v>59.948726404750801</v>
      </c>
      <c r="AV270" s="225"/>
      <c r="AX270">
        <f t="shared" si="170"/>
        <v>0</v>
      </c>
      <c r="AY270">
        <f t="shared" si="171"/>
        <v>0</v>
      </c>
    </row>
    <row r="271" spans="14:51" x14ac:dyDescent="0.55000000000000004">
      <c r="N271" s="170">
        <v>53</v>
      </c>
      <c r="O271" s="199">
        <f t="shared" si="172"/>
        <v>3388.4415613920314</v>
      </c>
      <c r="P271" s="189" t="str">
        <f t="shared" si="138"/>
        <v>1078.86904761905</v>
      </c>
      <c r="Q271" s="160" t="str">
        <f t="shared" si="139"/>
        <v>1+665.318944774222i</v>
      </c>
      <c r="R271" s="160">
        <f t="shared" si="147"/>
        <v>665.31969629305604</v>
      </c>
      <c r="S271" s="160">
        <f t="shared" si="148"/>
        <v>1.5692932894098741</v>
      </c>
      <c r="T271" s="160" t="str">
        <f t="shared" si="140"/>
        <v>1+0.000425804124655502i</v>
      </c>
      <c r="U271" s="160">
        <f t="shared" si="149"/>
        <v>1.0000000906545721</v>
      </c>
      <c r="V271" s="160">
        <f t="shared" si="150"/>
        <v>4.2580409892144314E-4</v>
      </c>
      <c r="W271" s="98" t="str">
        <f t="shared" si="141"/>
        <v>1-0.307958575115845i</v>
      </c>
      <c r="X271" s="160">
        <f t="shared" si="151"/>
        <v>1.0463452986406454</v>
      </c>
      <c r="Y271" s="160">
        <f t="shared" si="152"/>
        <v>-0.29874215226769157</v>
      </c>
      <c r="Z271" s="98" t="str">
        <f t="shared" si="142"/>
        <v>0.979209531525633+0.0244618753399133i</v>
      </c>
      <c r="AA271" s="160">
        <f t="shared" si="153"/>
        <v>0.97951502794791023</v>
      </c>
      <c r="AB271" s="160">
        <f t="shared" si="154"/>
        <v>2.4976052495025183E-2</v>
      </c>
      <c r="AC271" s="171" t="str">
        <f t="shared" si="155"/>
        <v>-0.54783891223946-1.64330415131117i</v>
      </c>
      <c r="AD271" s="190">
        <f t="shared" si="156"/>
        <v>4.77204632338964</v>
      </c>
      <c r="AE271" s="169">
        <f t="shared" si="157"/>
        <v>-108.43717240807564</v>
      </c>
      <c r="AF271" s="98" t="str">
        <f t="shared" si="143"/>
        <v>-9.95024875621891E-06</v>
      </c>
      <c r="AG271" s="98" t="str">
        <f t="shared" si="144"/>
        <v>0.0213114964390079i</v>
      </c>
      <c r="AH271" s="98">
        <f t="shared" si="158"/>
        <v>2.1311496439007899E-2</v>
      </c>
      <c r="AI271" s="98">
        <f t="shared" si="159"/>
        <v>1.5707963267948966</v>
      </c>
      <c r="AJ271" s="98" t="str">
        <f t="shared" si="145"/>
        <v>1+0.212689372954796i</v>
      </c>
      <c r="AK271" s="98">
        <f t="shared" si="160"/>
        <v>1.0223682161373682</v>
      </c>
      <c r="AL271" s="98">
        <f t="shared" si="161"/>
        <v>0.20956657702196302</v>
      </c>
      <c r="AM271" s="98" t="str">
        <f t="shared" si="146"/>
        <v>1+212.902062327751i</v>
      </c>
      <c r="AN271" s="98">
        <f t="shared" si="162"/>
        <v>212.90441081248076</v>
      </c>
      <c r="AO271" s="98">
        <f t="shared" si="163"/>
        <v>1.5660993659705524</v>
      </c>
      <c r="AP271" s="168" t="str">
        <f t="shared" si="164"/>
        <v>-0.0950060154859144+0.0206736656877135i</v>
      </c>
      <c r="AQ271" s="98">
        <f t="shared" si="165"/>
        <v>-20.244053762216176</v>
      </c>
      <c r="AR271" s="169">
        <f t="shared" si="166"/>
        <v>167.72360357786502</v>
      </c>
      <c r="AS271" s="168" t="str">
        <f t="shared" si="167"/>
        <v>0.0860211128274475+0.144797941125177i</v>
      </c>
      <c r="AT271" s="190">
        <f t="shared" si="168"/>
        <v>-15.472007438826548</v>
      </c>
      <c r="AU271" s="169">
        <f t="shared" si="169"/>
        <v>59.286431169789353</v>
      </c>
      <c r="AV271" s="225"/>
      <c r="AX271">
        <f t="shared" si="170"/>
        <v>0</v>
      </c>
      <c r="AY271">
        <f t="shared" si="171"/>
        <v>0</v>
      </c>
    </row>
    <row r="272" spans="14:51" x14ac:dyDescent="0.55000000000000004">
      <c r="N272" s="170">
        <v>54</v>
      </c>
      <c r="O272" s="199">
        <f t="shared" si="172"/>
        <v>3467.3685045253224</v>
      </c>
      <c r="P272" s="189" t="str">
        <f t="shared" si="138"/>
        <v>1078.86904761905</v>
      </c>
      <c r="Q272" s="160" t="str">
        <f t="shared" si="139"/>
        <v>1+680.816213819087i</v>
      </c>
      <c r="R272" s="160">
        <f t="shared" si="147"/>
        <v>680.81694823128259</v>
      </c>
      <c r="S272" s="160">
        <f t="shared" si="148"/>
        <v>1.5693275026679825</v>
      </c>
      <c r="T272" s="160" t="str">
        <f t="shared" si="140"/>
        <v>1+0.000435722376844216i</v>
      </c>
      <c r="U272" s="160">
        <f t="shared" si="149"/>
        <v>1.0000000949269903</v>
      </c>
      <c r="V272" s="160">
        <f t="shared" si="150"/>
        <v>4.3572234926967523E-4</v>
      </c>
      <c r="W272" s="98" t="str">
        <f t="shared" si="141"/>
        <v>1-0.315131851828811i</v>
      </c>
      <c r="X272" s="160">
        <f t="shared" si="151"/>
        <v>1.0484789382896806</v>
      </c>
      <c r="Y272" s="160">
        <f t="shared" si="152"/>
        <v>-0.30528076989226155</v>
      </c>
      <c r="Z272" s="98" t="str">
        <f t="shared" si="142"/>
        <v>0.978229706933138+0.0250316656133787i</v>
      </c>
      <c r="AA272" s="160">
        <f t="shared" si="153"/>
        <v>0.97854991891567444</v>
      </c>
      <c r="AB272" s="160">
        <f t="shared" si="154"/>
        <v>2.5583157145950965E-2</v>
      </c>
      <c r="AC272" s="171" t="str">
        <f t="shared" si="155"/>
        <v>-0.54852465990928-1.60686818997138i</v>
      </c>
      <c r="AD272" s="190">
        <f t="shared" si="156"/>
        <v>4.5983028353929214</v>
      </c>
      <c r="AE272" s="169">
        <f t="shared" si="157"/>
        <v>-108.84798413744211</v>
      </c>
      <c r="AF272" s="98" t="str">
        <f t="shared" si="143"/>
        <v>-9.95024875621891E-06</v>
      </c>
      <c r="AG272" s="98" t="str">
        <f t="shared" si="144"/>
        <v>0.021807904961053i</v>
      </c>
      <c r="AH272" s="98">
        <f t="shared" si="158"/>
        <v>2.1807904961053001E-2</v>
      </c>
      <c r="AI272" s="98">
        <f t="shared" si="159"/>
        <v>1.5707963267948966</v>
      </c>
      <c r="AJ272" s="98" t="str">
        <f t="shared" si="145"/>
        <v>1+0.217643544877231i</v>
      </c>
      <c r="AK272" s="98">
        <f t="shared" si="160"/>
        <v>1.0234103344342029</v>
      </c>
      <c r="AL272" s="98">
        <f t="shared" si="161"/>
        <v>0.2143015287824474</v>
      </c>
      <c r="AM272" s="98" t="str">
        <f t="shared" si="146"/>
        <v>1+217.861188422108i</v>
      </c>
      <c r="AN272" s="98">
        <f t="shared" si="162"/>
        <v>217.86348344936849</v>
      </c>
      <c r="AO272" s="98">
        <f t="shared" si="163"/>
        <v>1.5662062803327867</v>
      </c>
      <c r="AP272" s="168" t="str">
        <f t="shared" si="164"/>
        <v>-0.0948126285422137+0.0210916245555878i</v>
      </c>
      <c r="AQ272" s="98">
        <f t="shared" si="165"/>
        <v>-20.252907248536513</v>
      </c>
      <c r="AR272" s="169">
        <f t="shared" si="166"/>
        <v>167.45843656751657</v>
      </c>
      <c r="AS272" s="168" t="str">
        <f t="shared" si="167"/>
        <v>0.0858985253994159+0.140782120625768i</v>
      </c>
      <c r="AT272" s="190">
        <f t="shared" si="168"/>
        <v>-15.654604413143582</v>
      </c>
      <c r="AU272" s="169">
        <f t="shared" si="169"/>
        <v>58.610452430074503</v>
      </c>
      <c r="AV272" s="225"/>
      <c r="AX272">
        <f t="shared" si="170"/>
        <v>0</v>
      </c>
      <c r="AY272">
        <f t="shared" si="171"/>
        <v>0</v>
      </c>
    </row>
    <row r="273" spans="14:51" x14ac:dyDescent="0.55000000000000004">
      <c r="N273" s="170">
        <v>55</v>
      </c>
      <c r="O273" s="199">
        <f t="shared" si="172"/>
        <v>3548.1338923357539</v>
      </c>
      <c r="P273" s="189" t="str">
        <f t="shared" si="138"/>
        <v>1078.86904761905</v>
      </c>
      <c r="Q273" s="160" t="str">
        <f t="shared" si="139"/>
        <v>1+696.674460632184i</v>
      </c>
      <c r="R273" s="160">
        <f t="shared" si="147"/>
        <v>696.67517832713452</v>
      </c>
      <c r="S273" s="160">
        <f t="shared" si="148"/>
        <v>1.569360937140579</v>
      </c>
      <c r="T273" s="160" t="str">
        <f t="shared" si="140"/>
        <v>1+0.000445871654804598i</v>
      </c>
      <c r="U273" s="160">
        <f t="shared" si="149"/>
        <v>1.0000000994007614</v>
      </c>
      <c r="V273" s="160">
        <f t="shared" si="150"/>
        <v>4.4587162525794544E-4</v>
      </c>
      <c r="W273" s="98" t="str">
        <f t="shared" si="141"/>
        <v>1-0.322472215620878i</v>
      </c>
      <c r="X273" s="160">
        <f t="shared" si="151"/>
        <v>1.0507084894714793</v>
      </c>
      <c r="Y273" s="160">
        <f t="shared" si="152"/>
        <v>-0.31194390847181391</v>
      </c>
      <c r="Z273" s="98" t="str">
        <f t="shared" si="142"/>
        <v>0.977203704630255+0.0256147280072854i</v>
      </c>
      <c r="AA273" s="160">
        <f t="shared" si="153"/>
        <v>0.97753935707672746</v>
      </c>
      <c r="AB273" s="160">
        <f t="shared" si="154"/>
        <v>2.6206269809134094E-2</v>
      </c>
      <c r="AC273" s="171" t="str">
        <f t="shared" si="155"/>
        <v>-0.549233868000296-1.57128481045784i</v>
      </c>
      <c r="AD273" s="190">
        <f t="shared" si="156"/>
        <v>4.4257285760910205</v>
      </c>
      <c r="AE273" s="169">
        <f t="shared" si="157"/>
        <v>-109.26678972561358</v>
      </c>
      <c r="AF273" s="98" t="str">
        <f t="shared" si="143"/>
        <v>-9.95024875621891E-06</v>
      </c>
      <c r="AG273" s="98" t="str">
        <f t="shared" si="144"/>
        <v>0.0223158763229702i</v>
      </c>
      <c r="AH273" s="98">
        <f t="shared" si="158"/>
        <v>2.2315876322970201E-2</v>
      </c>
      <c r="AI273" s="98">
        <f t="shared" si="159"/>
        <v>1.5707963267948966</v>
      </c>
      <c r="AJ273" s="98" t="str">
        <f t="shared" si="145"/>
        <v>1+0.222713114288011i</v>
      </c>
      <c r="AK273" s="98">
        <f t="shared" si="160"/>
        <v>1.0245004301003806</v>
      </c>
      <c r="AL273" s="98">
        <f t="shared" si="161"/>
        <v>0.21913668847898565</v>
      </c>
      <c r="AM273" s="98" t="str">
        <f t="shared" si="146"/>
        <v>1+222.935827402299i</v>
      </c>
      <c r="AN273" s="98">
        <f t="shared" si="162"/>
        <v>222.93807018889268</v>
      </c>
      <c r="AO273" s="98">
        <f t="shared" si="163"/>
        <v>1.5663107611284144</v>
      </c>
      <c r="AP273" s="168" t="str">
        <f t="shared" si="164"/>
        <v>-0.0946109695749882+0.0215169857331603i</v>
      </c>
      <c r="AQ273" s="98">
        <f t="shared" si="165"/>
        <v>-20.262158304283247</v>
      </c>
      <c r="AR273" s="169">
        <f t="shared" si="166"/>
        <v>167.18738863226284</v>
      </c>
      <c r="AS273" s="168" t="str">
        <f t="shared" si="167"/>
        <v>0.0857728616242819+0.136842922093937i</v>
      </c>
      <c r="AT273" s="190">
        <f t="shared" si="168"/>
        <v>-15.836429728192229</v>
      </c>
      <c r="AU273" s="169">
        <f t="shared" si="169"/>
        <v>57.920598906649268</v>
      </c>
      <c r="AV273" s="225"/>
      <c r="AX273">
        <f t="shared" si="170"/>
        <v>0</v>
      </c>
      <c r="AY273">
        <f t="shared" si="171"/>
        <v>0</v>
      </c>
    </row>
    <row r="274" spans="14:51" x14ac:dyDescent="0.55000000000000004">
      <c r="N274" s="170">
        <v>56</v>
      </c>
      <c r="O274" s="199">
        <f t="shared" si="172"/>
        <v>3630.7805477010188</v>
      </c>
      <c r="P274" s="189" t="str">
        <f t="shared" si="138"/>
        <v>1078.86904761905</v>
      </c>
      <c r="Q274" s="160" t="str">
        <f t="shared" si="139"/>
        <v>1+712.902093465891i</v>
      </c>
      <c r="R274" s="160">
        <f t="shared" si="147"/>
        <v>712.90279482412598</v>
      </c>
      <c r="S274" s="160">
        <f t="shared" si="148"/>
        <v>1.5693936105547643</v>
      </c>
      <c r="T274" s="160" t="str">
        <f t="shared" si="140"/>
        <v>1+0.00045625733981817i</v>
      </c>
      <c r="U274" s="160">
        <f t="shared" si="149"/>
        <v>1.0000001040853748</v>
      </c>
      <c r="V274" s="160">
        <f t="shared" si="150"/>
        <v>4.5625730815836152E-4</v>
      </c>
      <c r="W274" s="98" t="str">
        <f t="shared" si="141"/>
        <v>1-0.329983558450093i</v>
      </c>
      <c r="X274" s="160">
        <f t="shared" si="151"/>
        <v>1.0530380566947171</v>
      </c>
      <c r="Y274" s="160">
        <f t="shared" si="152"/>
        <v>-0.31873273344765074</v>
      </c>
      <c r="Z274" s="98" t="str">
        <f t="shared" si="142"/>
        <v>0.976129348328539+0.0262113716690328i</v>
      </c>
      <c r="AA274" s="160">
        <f t="shared" si="153"/>
        <v>0.97648120344073719</v>
      </c>
      <c r="AB274" s="160">
        <f t="shared" si="154"/>
        <v>2.6845903715429456E-2</v>
      </c>
      <c r="AC274" s="171" t="str">
        <f t="shared" si="155"/>
        <v>-0.549968222536778-1.5365351880371i</v>
      </c>
      <c r="AD274" s="190">
        <f t="shared" si="156"/>
        <v>4.2543728080473926</v>
      </c>
      <c r="AE274" s="169">
        <f t="shared" si="157"/>
        <v>-109.6936860607839</v>
      </c>
      <c r="AF274" s="98" t="str">
        <f t="shared" si="143"/>
        <v>-9.95024875621891E-06</v>
      </c>
      <c r="AG274" s="98" t="str">
        <f t="shared" si="144"/>
        <v>0.0228356798578994i</v>
      </c>
      <c r="AH274" s="98">
        <f t="shared" si="158"/>
        <v>2.2835679857899398E-2</v>
      </c>
      <c r="AI274" s="98">
        <f t="shared" si="159"/>
        <v>1.5707963267948966</v>
      </c>
      <c r="AJ274" s="98" t="str">
        <f t="shared" si="145"/>
        <v>1+0.227900769139945i</v>
      </c>
      <c r="AK274" s="98">
        <f t="shared" si="160"/>
        <v>1.0256406586005542</v>
      </c>
      <c r="AL274" s="98">
        <f t="shared" si="161"/>
        <v>0.22407371504285006</v>
      </c>
      <c r="AM274" s="98" t="str">
        <f t="shared" si="146"/>
        <v>1+228.128669909085i</v>
      </c>
      <c r="AN274" s="98">
        <f t="shared" si="162"/>
        <v>228.13086164411922</v>
      </c>
      <c r="AO274" s="98">
        <f t="shared" si="163"/>
        <v>1.5664128637454069</v>
      </c>
      <c r="AP274" s="168" t="str">
        <f t="shared" si="164"/>
        <v>-0.0944007240904155+0.0219497301662207i</v>
      </c>
      <c r="AQ274" s="98">
        <f t="shared" si="165"/>
        <v>-20.271823913515178</v>
      </c>
      <c r="AR274" s="169">
        <f t="shared" si="166"/>
        <v>166.91036789584032</v>
      </c>
      <c r="AS274" s="168" t="str">
        <f t="shared" si="167"/>
        <v>0.0856439312025081+0.132978380256427i</v>
      </c>
      <c r="AT274" s="190">
        <f t="shared" si="168"/>
        <v>-16.017451105467767</v>
      </c>
      <c r="AU274" s="169">
        <f t="shared" si="169"/>
        <v>57.216681835056491</v>
      </c>
      <c r="AV274" s="225"/>
      <c r="AX274">
        <f t="shared" si="170"/>
        <v>0</v>
      </c>
      <c r="AY274">
        <f t="shared" si="171"/>
        <v>0</v>
      </c>
    </row>
    <row r="275" spans="14:51" x14ac:dyDescent="0.55000000000000004">
      <c r="N275" s="170">
        <v>57</v>
      </c>
      <c r="O275" s="199">
        <f t="shared" si="172"/>
        <v>3715.352290971724</v>
      </c>
      <c r="P275" s="189" t="str">
        <f t="shared" ref="P275:P338" si="173">COMPLEX(Adc,0)</f>
        <v>1078.86904761905</v>
      </c>
      <c r="Q275" s="160" t="str">
        <f t="shared" ref="Q275:Q338" si="174">IMSUM(COMPLEX(1,0),IMDIV(COMPLEX(0,2*PI()*O275),COMPLEX(wp_lf,0)))</f>
        <v>1+729.507716425925i</v>
      </c>
      <c r="R275" s="160">
        <f t="shared" si="147"/>
        <v>729.50840181931267</v>
      </c>
      <c r="S275" s="160">
        <f t="shared" si="148"/>
        <v>1.5694255402341357</v>
      </c>
      <c r="T275" s="160" t="str">
        <f t="shared" ref="T275:T338" si="175">IMSUM(COMPLEX(1,0),IMDIV(COMPLEX(0,2*PI()*O275),COMPLEX(wz_esr,0)))</f>
        <v>1+0.000466884938512592i</v>
      </c>
      <c r="U275" s="160">
        <f t="shared" si="149"/>
        <v>1.0000001089907669</v>
      </c>
      <c r="V275" s="160">
        <f t="shared" si="150"/>
        <v>4.6688490458849622E-4</v>
      </c>
      <c r="W275" s="98" t="str">
        <f t="shared" ref="W275:W338" si="176">IMSUB(COMPLEX(1,0),IMDIV(COMPLEX(0,2*PI()*O275),COMPLEX(wz_rhp,0)))</f>
        <v>1-0.337669862929847i</v>
      </c>
      <c r="X275" s="160">
        <f t="shared" si="151"/>
        <v>1.0554719021987566</v>
      </c>
      <c r="Y275" s="160">
        <f t="shared" si="152"/>
        <v>-0.32564834040903889</v>
      </c>
      <c r="Z275" s="98" t="str">
        <f t="shared" ref="Z275:Z338" si="177">IF(Dc_Mode_Loop="CCM",IMSUM(COMPLEX(1,0),IMDIV(COMPLEX(0,2*PI()*O275),COMPLEX(Q*(wsl/2),0)),IMDIV(IMPOWER(COMPLEX(0,2*PI()*O275),2),IMPOWER(COMPLEX(wsl/2,0),2))),COMPLEX(1,0))</f>
        <v>0.975004359174235+0.0268219129469875i</v>
      </c>
      <c r="AA275" s="160">
        <f t="shared" si="153"/>
        <v>0.9753732185286289</v>
      </c>
      <c r="AB275" s="160">
        <f t="shared" si="154"/>
        <v>2.7502594957981245E-2</v>
      </c>
      <c r="AC275" s="171" t="str">
        <f t="shared" si="155"/>
        <v>-0.550729481256178-1.50260094253895i</v>
      </c>
      <c r="AD275" s="190">
        <f t="shared" si="156"/>
        <v>4.08428664968213</v>
      </c>
      <c r="AE275" s="169">
        <f t="shared" si="157"/>
        <v>-110.12876730853142</v>
      </c>
      <c r="AF275" s="98" t="str">
        <f t="shared" ref="AF275:AF338" si="178">COMPLEX(Adc_ea,0)</f>
        <v>-9.95024875621891E-06</v>
      </c>
      <c r="AG275" s="98" t="str">
        <f t="shared" ref="AG275:AG338" si="179">COMPLEX(0,2*PI()*O275*wp0_ea)</f>
        <v>0.0233675911725552i</v>
      </c>
      <c r="AH275" s="98">
        <f t="shared" si="158"/>
        <v>2.3367591172555199E-2</v>
      </c>
      <c r="AI275" s="98">
        <f t="shared" si="159"/>
        <v>1.5707963267948966</v>
      </c>
      <c r="AJ275" s="98" t="str">
        <f t="shared" ref="AJ275:AJ338" si="180">IMSUM(COMPLEX(1,0),IMDIV(COMPLEX(0,2*PI()*O275),COMPLEX(wp1_ea,0)))</f>
        <v>1+0.2332092599963i</v>
      </c>
      <c r="AK275" s="98">
        <f t="shared" si="160"/>
        <v>1.0268332673555245</v>
      </c>
      <c r="AL275" s="98">
        <f t="shared" si="161"/>
        <v>0.229114263025404</v>
      </c>
      <c r="AM275" s="98" t="str">
        <f t="shared" ref="AM275:AM338" si="181">IMSUM(COMPLEX(1,0),IMDIV(COMPLEX(0,2*PI()*O275),COMPLEX(wz_ea,0)))</f>
        <v>1+233.442469256296i</v>
      </c>
      <c r="AN275" s="98">
        <f t="shared" si="162"/>
        <v>233.444611101813</v>
      </c>
      <c r="AO275" s="98">
        <f t="shared" si="163"/>
        <v>1.5665126423114031</v>
      </c>
      <c r="AP275" s="168" t="str">
        <f t="shared" si="164"/>
        <v>-0.0941815692302559+0.022389828120626i</v>
      </c>
      <c r="AQ275" s="98">
        <f t="shared" si="165"/>
        <v>-20.281921701735573</v>
      </c>
      <c r="AR275" s="169">
        <f t="shared" si="166"/>
        <v>166.62728266072421</v>
      </c>
      <c r="AS275" s="168" t="str">
        <f t="shared" si="167"/>
        <v>0.0855115436034094+0.129186576268893i</v>
      </c>
      <c r="AT275" s="190">
        <f t="shared" si="168"/>
        <v>-16.197635052053421</v>
      </c>
      <c r="AU275" s="169">
        <f t="shared" si="169"/>
        <v>56.498515352192882</v>
      </c>
      <c r="AV275" s="225"/>
      <c r="AX275">
        <f t="shared" si="170"/>
        <v>0</v>
      </c>
      <c r="AY275">
        <f t="shared" si="171"/>
        <v>0</v>
      </c>
    </row>
    <row r="276" spans="14:51" x14ac:dyDescent="0.55000000000000004">
      <c r="N276" s="170">
        <v>58</v>
      </c>
      <c r="O276" s="199">
        <f t="shared" si="172"/>
        <v>3801.8939632056172</v>
      </c>
      <c r="P276" s="189" t="str">
        <f t="shared" si="173"/>
        <v>1078.86904761905</v>
      </c>
      <c r="Q276" s="160" t="str">
        <f t="shared" si="174"/>
        <v>1+746.500134033384i</v>
      </c>
      <c r="R276" s="160">
        <f t="shared" ref="R276:R339" si="182">IMABS(Q276)</f>
        <v>746.50080382532758</v>
      </c>
      <c r="S276" s="160">
        <f t="shared" ref="S276:S339" si="183">IMARGUMENT(Q276)</f>
        <v>1.5694567431079716</v>
      </c>
      <c r="T276" s="160" t="str">
        <f t="shared" si="175"/>
        <v>1+0.000477760085781366i</v>
      </c>
      <c r="U276" s="160">
        <f t="shared" ref="U276:U339" si="184">IMABS(T276)</f>
        <v>1.0000001141273434</v>
      </c>
      <c r="V276" s="160">
        <f t="shared" ref="V276:V339" si="185">IMARGUMENT(T276)</f>
        <v>4.7776004943104268E-4</v>
      </c>
      <c r="W276" s="98" t="str">
        <f t="shared" si="176"/>
        <v>1-0.345535204440515i</v>
      </c>
      <c r="X276" s="160">
        <f t="shared" ref="X276:X339" si="186">IMABS(W276)</f>
        <v>1.0580144505193436</v>
      </c>
      <c r="Y276" s="160">
        <f t="shared" ref="Y276:Y339" si="187">IMARGUMENT(W276)</f>
        <v>-0.33269174926986345</v>
      </c>
      <c r="Z276" s="98" t="str">
        <f t="shared" si="177"/>
        <v>0.973826350914515+0.0274466755582168i</v>
      </c>
      <c r="AA276" s="160">
        <f t="shared" ref="AA276:AA339" si="188">IMABS(Z276)</f>
        <v>0.97421305766997301</v>
      </c>
      <c r="AB276" s="160">
        <f t="shared" ref="AB276:AB339" si="189">IMARGUMENT(Z276)</f>
        <v>2.8176903917052656E-2</v>
      </c>
      <c r="AC276" s="171" t="str">
        <f t="shared" ref="AC276:AC339" si="190">(IMDIV(IMPRODUCT(P276,T276,W276),IMPRODUCT(Q276,Z276)))</f>
        <v>-0.551519479240283-1.46946412874512i</v>
      </c>
      <c r="AD276" s="190">
        <f t="shared" ref="AD276:AD339" si="191">20*LOG(IMABS(AC276))</f>
        <v>3.915523130417804</v>
      </c>
      <c r="AE276" s="169">
        <f t="shared" ref="AE276:AE339" si="192">(180/PI())*IMARGUMENT(AC276)</f>
        <v>-110.57212466016277</v>
      </c>
      <c r="AF276" s="98" t="str">
        <f t="shared" si="178"/>
        <v>-9.95024875621891E-06</v>
      </c>
      <c r="AG276" s="98" t="str">
        <f t="shared" si="179"/>
        <v>0.0239118922933574i</v>
      </c>
      <c r="AH276" s="98">
        <f t="shared" ref="AH276:AH339" si="193">IMABS(AG276)</f>
        <v>2.3911892293357401E-2</v>
      </c>
      <c r="AI276" s="98">
        <f t="shared" ref="AI276:AI339" si="194">IMARGUMENT(AG276)</f>
        <v>1.5707963267948966</v>
      </c>
      <c r="AJ276" s="98" t="str">
        <f t="shared" si="180"/>
        <v>1+0.238641401489194i</v>
      </c>
      <c r="AK276" s="98">
        <f t="shared" ref="AK276:AK339" si="195">IMABS(AJ276)</f>
        <v>1.0280805992259201</v>
      </c>
      <c r="AL276" s="98">
        <f t="shared" ref="AL276:AL339" si="196">IMARGUMENT(AJ276)</f>
        <v>0.23425998000695009</v>
      </c>
      <c r="AM276" s="98" t="str">
        <f t="shared" si="181"/>
        <v>1+238.880042890683i</v>
      </c>
      <c r="AN276" s="98">
        <f t="shared" ref="AN276:AN339" si="197">IMABS(AM276)</f>
        <v>238.88213598227588</v>
      </c>
      <c r="AO276" s="98">
        <f t="shared" ref="AO276:AO339" si="198">IMARGUMENT(AM276)</f>
        <v>1.5666101497223679</v>
      </c>
      <c r="AP276" s="168" t="str">
        <f t="shared" ref="AP276:AP339" si="199">IMPRODUCT(AF276,IMDIV(AM276,IMPRODUCT(AG276,AJ276)))</f>
        <v>-0.0939531738912801+0.0228372384356695i</v>
      </c>
      <c r="AQ276" s="98">
        <f t="shared" ref="AQ276:AQ339" si="200">20*LOG(IMABS(AP276))</f>
        <v>-20.292469952641969</v>
      </c>
      <c r="AR276" s="169">
        <f t="shared" ref="AR276:AR339" si="201">(180/PI())*IMARGUMENT(AP276)</f>
        <v>166.33804155823239</v>
      </c>
      <c r="AS276" s="168" t="str">
        <f t="shared" ref="AS276:AS339" si="202">IMPRODUCT(AC276,AP276)</f>
        <v>0.0853755082183062+0.125465636965662i</v>
      </c>
      <c r="AT276" s="190">
        <f t="shared" ref="AT276:AT339" si="203">20*LOG(IMABS(AS276))</f>
        <v>-16.376946822224166</v>
      </c>
      <c r="AU276" s="169">
        <f t="shared" ref="AU276:AU339" si="204">(180/PI())*IMARGUMENT(AS276)</f>
        <v>55.765916898069591</v>
      </c>
      <c r="AV276" s="225"/>
      <c r="AX276">
        <f t="shared" ref="AX276:AX339" si="205">SUM((AT277&lt;0)*(AT276&gt;0))*O276</f>
        <v>0</v>
      </c>
      <c r="AY276">
        <f t="shared" ref="AY276:AY339" si="206">IF(AX276&gt;0,AU276,0)</f>
        <v>0</v>
      </c>
    </row>
    <row r="277" spans="14:51" x14ac:dyDescent="0.55000000000000004">
      <c r="N277" s="170">
        <v>59</v>
      </c>
      <c r="O277" s="199">
        <f t="shared" si="172"/>
        <v>3890.451449942811</v>
      </c>
      <c r="P277" s="189" t="str">
        <f t="shared" si="173"/>
        <v>1078.86904761905</v>
      </c>
      <c r="Q277" s="160" t="str">
        <f t="shared" si="174"/>
        <v>1+763.888355893006i</v>
      </c>
      <c r="R277" s="160">
        <f t="shared" si="182"/>
        <v>763.88901043863677</v>
      </c>
      <c r="S277" s="160">
        <f t="shared" si="183"/>
        <v>1.5694872357202054</v>
      </c>
      <c r="T277" s="160" t="str">
        <f t="shared" si="175"/>
        <v>1+0.000488888547771524i</v>
      </c>
      <c r="U277" s="160">
        <f t="shared" si="184"/>
        <v>1.0000001195059989</v>
      </c>
      <c r="V277" s="160">
        <f t="shared" si="185"/>
        <v>4.8888850882145116E-4</v>
      </c>
      <c r="W277" s="98" t="str">
        <f t="shared" si="176"/>
        <v>1-0.353583753290277i</v>
      </c>
      <c r="X277" s="160">
        <f t="shared" si="186"/>
        <v>1.0606702930651162</v>
      </c>
      <c r="Y277" s="160">
        <f t="shared" si="187"/>
        <v>-0.33986389826058905</v>
      </c>
      <c r="Z277" s="98" t="str">
        <f t="shared" si="177"/>
        <v>0.972592824835922+0.0280859907601267i</v>
      </c>
      <c r="AA277" s="160">
        <f t="shared" si="188"/>
        <v>0.97299826608236883</v>
      </c>
      <c r="AB277" s="160">
        <f t="shared" si="189"/>
        <v>2.8869416796666672E-2</v>
      </c>
      <c r="AC277" s="171" t="str">
        <f t="shared" si="190"/>
        <v>-0.552340134914346-1.4371072270101i</v>
      </c>
      <c r="AD277" s="190">
        <f t="shared" si="191"/>
        <v>3.7481372468413077</v>
      </c>
      <c r="AE277" s="169">
        <f t="shared" si="192"/>
        <v>-111.02384607686244</v>
      </c>
      <c r="AF277" s="98" t="str">
        <f t="shared" si="178"/>
        <v>-9.95024875621891E-06</v>
      </c>
      <c r="AG277" s="98" t="str">
        <f t="shared" si="179"/>
        <v>0.0244688718159648i</v>
      </c>
      <c r="AH277" s="98">
        <f t="shared" si="193"/>
        <v>2.4468871815964799E-2</v>
      </c>
      <c r="AI277" s="98">
        <f t="shared" si="194"/>
        <v>1.5707963267948966</v>
      </c>
      <c r="AJ277" s="98" t="str">
        <f t="shared" si="180"/>
        <v>1+0.24420007381195i</v>
      </c>
      <c r="AK277" s="98">
        <f t="shared" si="195"/>
        <v>1.0293850960888067</v>
      </c>
      <c r="AL277" s="98">
        <f t="shared" si="196"/>
        <v>0.23951250383000286</v>
      </c>
      <c r="AM277" s="98" t="str">
        <f t="shared" si="181"/>
        <v>1+244.444273885762i</v>
      </c>
      <c r="AN277" s="98">
        <f t="shared" si="197"/>
        <v>244.44631933317675</v>
      </c>
      <c r="AO277" s="98">
        <f t="shared" si="198"/>
        <v>1.5667054376706</v>
      </c>
      <c r="AP277" s="168" t="str">
        <f t="shared" si="199"/>
        <v>-0.093715198885724+0.0232919077508852i</v>
      </c>
      <c r="AQ277" s="98">
        <f t="shared" si="200"/>
        <v>-20.303487624594307</v>
      </c>
      <c r="AR277" s="169">
        <f t="shared" si="201"/>
        <v>166.04255370865167</v>
      </c>
      <c r="AS277" s="168" t="str">
        <f t="shared" si="202"/>
        <v>0.0852356345557152+0.121813734129826i</v>
      </c>
      <c r="AT277" s="190">
        <f t="shared" si="203"/>
        <v>-16.555350377753019</v>
      </c>
      <c r="AU277" s="169">
        <f t="shared" si="204"/>
        <v>55.018707631789155</v>
      </c>
      <c r="AV277" s="225"/>
      <c r="AX277">
        <f t="shared" si="205"/>
        <v>0</v>
      </c>
      <c r="AY277">
        <f t="shared" si="206"/>
        <v>0</v>
      </c>
    </row>
    <row r="278" spans="14:51" x14ac:dyDescent="0.55000000000000004">
      <c r="N278" s="170">
        <v>60</v>
      </c>
      <c r="O278" s="199">
        <f t="shared" si="172"/>
        <v>3981.0717055349769</v>
      </c>
      <c r="P278" s="189" t="str">
        <f t="shared" si="173"/>
        <v>1078.86904761905</v>
      </c>
      <c r="Q278" s="160" t="str">
        <f t="shared" si="174"/>
        <v>1+781.681601470178i</v>
      </c>
      <c r="R278" s="160">
        <f t="shared" si="182"/>
        <v>781.68224111654354</v>
      </c>
      <c r="S278" s="160">
        <f t="shared" si="183"/>
        <v>1.5695170342381966</v>
      </c>
      <c r="T278" s="160" t="str">
        <f t="shared" si="175"/>
        <v>1+0.000500276224940914i</v>
      </c>
      <c r="U278" s="160">
        <f t="shared" si="184"/>
        <v>1.0000001251381427</v>
      </c>
      <c r="V278" s="160">
        <f t="shared" si="185"/>
        <v>5.0027618320515918E-4</v>
      </c>
      <c r="W278" s="98" t="str">
        <f t="shared" si="176"/>
        <v>1-0.361819776926267i</v>
      </c>
      <c r="X278" s="160">
        <f t="shared" si="186"/>
        <v>1.0634441926941789</v>
      </c>
      <c r="Y278" s="160">
        <f t="shared" si="187"/>
        <v>-0.34716563774677117</v>
      </c>
      <c r="Z278" s="98" t="str">
        <f t="shared" si="177"/>
        <v>0.971301164464262+0.0287401975260996i</v>
      </c>
      <c r="AA278" s="160">
        <f t="shared" si="188"/>
        <v>0.97172627372294018</v>
      </c>
      <c r="AB278" s="160">
        <f t="shared" si="189"/>
        <v>2.9580747283305713E-2</v>
      </c>
      <c r="AC278" s="171" t="str">
        <f t="shared" si="190"/>
        <v>-0.553193456449839-1.40551313410765i</v>
      </c>
      <c r="AD278" s="190">
        <f t="shared" si="191"/>
        <v>3.5821860199461075</v>
      </c>
      <c r="AE278" s="169">
        <f t="shared" si="192"/>
        <v>-111.48401603088413</v>
      </c>
      <c r="AF278" s="98" t="str">
        <f t="shared" si="178"/>
        <v>-9.95024875621891E-06</v>
      </c>
      <c r="AG278" s="98" t="str">
        <f t="shared" si="179"/>
        <v>0.0250388250582928i</v>
      </c>
      <c r="AH278" s="98">
        <f t="shared" si="193"/>
        <v>2.5038825058292798E-2</v>
      </c>
      <c r="AI278" s="98">
        <f t="shared" si="194"/>
        <v>1.5707963267948966</v>
      </c>
      <c r="AJ278" s="98" t="str">
        <f t="shared" si="180"/>
        <v>1+0.249888224246211i</v>
      </c>
      <c r="AK278" s="98">
        <f t="shared" si="195"/>
        <v>1.0307493025061549</v>
      </c>
      <c r="AL278" s="98">
        <f t="shared" si="196"/>
        <v>0.24487345965093371</v>
      </c>
      <c r="AM278" s="98" t="str">
        <f t="shared" si="181"/>
        <v>1+250.138112470457i</v>
      </c>
      <c r="AN278" s="98">
        <f t="shared" si="197"/>
        <v>250.14011135818058</v>
      </c>
      <c r="AO278" s="98">
        <f t="shared" si="198"/>
        <v>1.5667985566721059</v>
      </c>
      <c r="AP278" s="168" t="str">
        <f t="shared" si="199"/>
        <v>-0.0934672971463975+0.0237537697073125i</v>
      </c>
      <c r="AQ278" s="98">
        <f t="shared" si="200"/>
        <v>-20.314994366714934</v>
      </c>
      <c r="AR278" s="169">
        <f t="shared" si="201"/>
        <v>165.7407288917351</v>
      </c>
      <c r="AS278" s="168" t="str">
        <f t="shared" si="202"/>
        <v>0.085091732481636+0.118229083780703i</v>
      </c>
      <c r="AT278" s="190">
        <f t="shared" si="203"/>
        <v>-16.732808346768802</v>
      </c>
      <c r="AU278" s="169">
        <f t="shared" si="204"/>
        <v>54.256712860851067</v>
      </c>
      <c r="AV278" s="225"/>
      <c r="AX278">
        <f t="shared" si="205"/>
        <v>0</v>
      </c>
      <c r="AY278">
        <f t="shared" si="206"/>
        <v>0</v>
      </c>
    </row>
    <row r="279" spans="14:51" x14ac:dyDescent="0.55000000000000004">
      <c r="N279" s="170">
        <v>61</v>
      </c>
      <c r="O279" s="199">
        <f t="shared" si="172"/>
        <v>4073.8027780411317</v>
      </c>
      <c r="P279" s="189" t="str">
        <f t="shared" si="173"/>
        <v>1078.86904761905</v>
      </c>
      <c r="Q279" s="160" t="str">
        <f t="shared" si="174"/>
        <v>1+799.889304979231i</v>
      </c>
      <c r="R279" s="160">
        <f t="shared" si="182"/>
        <v>799.88993006547912</v>
      </c>
      <c r="S279" s="160">
        <f t="shared" si="183"/>
        <v>1.5695461544613023</v>
      </c>
      <c r="T279" s="160" t="str">
        <f t="shared" si="175"/>
        <v>1+0.000511929155186708i</v>
      </c>
      <c r="U279" s="160">
        <f t="shared" si="184"/>
        <v>1.0000001310357214</v>
      </c>
      <c r="V279" s="160">
        <f t="shared" si="185"/>
        <v>5.1192911046604142E-4</v>
      </c>
      <c r="W279" s="98" t="str">
        <f t="shared" si="176"/>
        <v>1-0.370247642197235i</v>
      </c>
      <c r="X279" s="160">
        <f t="shared" si="186"/>
        <v>1.0663410882792672</v>
      </c>
      <c r="Y279" s="160">
        <f t="shared" si="187"/>
        <v>-0.35459772388761091</v>
      </c>
      <c r="Z279" s="98" t="str">
        <f t="shared" si="177"/>
        <v>0.969948630014711+0.0294096427252224i</v>
      </c>
      <c r="AA279" s="160">
        <f t="shared" si="188"/>
        <v>0.97039438990167293</v>
      </c>
      <c r="AB279" s="160">
        <f t="shared" si="189"/>
        <v>3.0311538337980243E-2</v>
      </c>
      <c r="AC279" s="171" t="str">
        <f t="shared" si="190"/>
        <v>-0.554081548610043-1.37466515429695i</v>
      </c>
      <c r="AD279" s="190">
        <f t="shared" si="191"/>
        <v>3.4177285535432533</v>
      </c>
      <c r="AE279" s="169">
        <f t="shared" si="192"/>
        <v>-111.9527152452022</v>
      </c>
      <c r="AF279" s="98" t="str">
        <f t="shared" si="178"/>
        <v>-9.95024875621891E-06</v>
      </c>
      <c r="AG279" s="98" t="str">
        <f t="shared" si="179"/>
        <v>0.0256220542170948i</v>
      </c>
      <c r="AH279" s="98">
        <f t="shared" si="193"/>
        <v>2.5622054217094799E-2</v>
      </c>
      <c r="AI279" s="98">
        <f t="shared" si="194"/>
        <v>1.5707963267948966</v>
      </c>
      <c r="AJ279" s="98" t="str">
        <f t="shared" si="180"/>
        <v>1+0.255708868724629i</v>
      </c>
      <c r="AK279" s="98">
        <f t="shared" si="195"/>
        <v>1.0321758694836987</v>
      </c>
      <c r="AL279" s="98">
        <f t="shared" si="196"/>
        <v>0.25034445680420275</v>
      </c>
      <c r="AM279" s="98" t="str">
        <f t="shared" si="181"/>
        <v>1+255.964577593354i</v>
      </c>
      <c r="AN279" s="98">
        <f t="shared" si="197"/>
        <v>255.96653098118927</v>
      </c>
      <c r="AO279" s="98">
        <f t="shared" si="198"/>
        <v>1.5668895560933491</v>
      </c>
      <c r="AP279" s="168" t="str">
        <f t="shared" si="199"/>
        <v>-0.0932091139802161+0.0242227441245509i</v>
      </c>
      <c r="AQ279" s="98">
        <f t="shared" si="200"/>
        <v>-20.327010534526305</v>
      </c>
      <c r="AR279" s="169">
        <f t="shared" si="201"/>
        <v>165.43247772789996</v>
      </c>
      <c r="AS279" s="168" t="str">
        <f t="shared" si="202"/>
        <v>0.0849436125081994+0.11470994547538i</v>
      </c>
      <c r="AT279" s="190">
        <f t="shared" si="203"/>
        <v>-16.909281980983046</v>
      </c>
      <c r="AU279" s="169">
        <f t="shared" si="204"/>
        <v>53.479762482697829</v>
      </c>
      <c r="AV279" s="225"/>
      <c r="AX279">
        <f t="shared" si="205"/>
        <v>0</v>
      </c>
      <c r="AY279">
        <f t="shared" si="206"/>
        <v>0</v>
      </c>
    </row>
    <row r="280" spans="14:51" x14ac:dyDescent="0.55000000000000004">
      <c r="N280" s="170">
        <v>62</v>
      </c>
      <c r="O280" s="199">
        <f t="shared" si="172"/>
        <v>4168.6938347033583</v>
      </c>
      <c r="P280" s="189" t="str">
        <f t="shared" si="173"/>
        <v>1078.86904761905</v>
      </c>
      <c r="Q280" s="160" t="str">
        <f t="shared" si="174"/>
        <v>1+818.521120385572i</v>
      </c>
      <c r="R280" s="160">
        <f t="shared" si="182"/>
        <v>818.52173124313072</v>
      </c>
      <c r="S280" s="160">
        <f t="shared" si="183"/>
        <v>1.5695746118292526</v>
      </c>
      <c r="T280" s="160" t="str">
        <f t="shared" si="175"/>
        <v>1+0.000523853517046766i</v>
      </c>
      <c r="U280" s="160">
        <f t="shared" si="184"/>
        <v>1.0000001372112444</v>
      </c>
      <c r="V280" s="160">
        <f t="shared" si="185"/>
        <v>5.238534691277087E-4</v>
      </c>
      <c r="W280" s="98" t="str">
        <f t="shared" si="176"/>
        <v>1-0.378871817668903i</v>
      </c>
      <c r="X280" s="160">
        <f t="shared" si="186"/>
        <v>1.069366099249335</v>
      </c>
      <c r="Y280" s="160">
        <f t="shared" si="187"/>
        <v>-0.36216081215038964</v>
      </c>
      <c r="Z280" s="98" t="str">
        <f t="shared" si="177"/>
        <v>0.968532352580364+0.0300946813062008i</v>
      </c>
      <c r="AA280" s="160">
        <f t="shared" si="188"/>
        <v>0.96899979764589028</v>
      </c>
      <c r="AB280" s="160">
        <f t="shared" si="189"/>
        <v>3.1062464134177192E-2</v>
      </c>
      <c r="AC280" s="171" t="str">
        <f t="shared" si="190"/>
        <v>-0.555006620081773-1.34454699060207i</v>
      </c>
      <c r="AD280" s="190">
        <f t="shared" si="191"/>
        <v>3.2548260939550397</v>
      </c>
      <c r="AE280" s="169">
        <f t="shared" si="192"/>
        <v>-112.43002043324869</v>
      </c>
      <c r="AF280" s="98" t="str">
        <f t="shared" si="178"/>
        <v>-9.95024875621891E-06</v>
      </c>
      <c r="AG280" s="98" t="str">
        <f t="shared" si="179"/>
        <v>0.0262188685281906i</v>
      </c>
      <c r="AH280" s="98">
        <f t="shared" si="193"/>
        <v>2.6218868528190602E-2</v>
      </c>
      <c r="AI280" s="98">
        <f t="shared" si="194"/>
        <v>1.5707963267948966</v>
      </c>
      <c r="AJ280" s="98" t="str">
        <f t="shared" si="180"/>
        <v>1+0.261665093429953i</v>
      </c>
      <c r="AK280" s="98">
        <f t="shared" si="195"/>
        <v>1.033667558318295</v>
      </c>
      <c r="AL280" s="98">
        <f t="shared" si="196"/>
        <v>0.25592708547373061</v>
      </c>
      <c r="AM280" s="98" t="str">
        <f t="shared" si="181"/>
        <v>1+261.926758523383i</v>
      </c>
      <c r="AN280" s="98">
        <f t="shared" si="197"/>
        <v>261.92866744701047</v>
      </c>
      <c r="AO280" s="98">
        <f t="shared" si="198"/>
        <v>1.5669784841773953</v>
      </c>
      <c r="AP280" s="168" t="str">
        <f t="shared" si="199"/>
        <v>-0.0929402873740444+0.0246987361552569i</v>
      </c>
      <c r="AQ280" s="98">
        <f t="shared" si="200"/>
        <v>-20.339557205025585</v>
      </c>
      <c r="AR280" s="169">
        <f t="shared" si="201"/>
        <v>165.11771187044334</v>
      </c>
      <c r="AS280" s="168" t="str">
        <f t="shared" si="202"/>
        <v>0.0847910861341223+0.111254621620642i</v>
      </c>
      <c r="AT280" s="190">
        <f t="shared" si="203"/>
        <v>-17.084731111070568</v>
      </c>
      <c r="AU280" s="169">
        <f t="shared" si="204"/>
        <v>52.68769143719458</v>
      </c>
      <c r="AV280" s="225"/>
      <c r="AX280">
        <f t="shared" si="205"/>
        <v>0</v>
      </c>
      <c r="AY280">
        <f t="shared" si="206"/>
        <v>0</v>
      </c>
    </row>
    <row r="281" spans="14:51" x14ac:dyDescent="0.55000000000000004">
      <c r="N281" s="170">
        <v>63</v>
      </c>
      <c r="O281" s="199">
        <f t="shared" si="172"/>
        <v>4265.7951880159299</v>
      </c>
      <c r="P281" s="189" t="str">
        <f t="shared" si="173"/>
        <v>1078.86904761905</v>
      </c>
      <c r="Q281" s="160" t="str">
        <f t="shared" si="174"/>
        <v>1+837.586926524347i</v>
      </c>
      <c r="R281" s="160">
        <f t="shared" si="182"/>
        <v>837.58752347710015</v>
      </c>
      <c r="S281" s="160">
        <f t="shared" si="183"/>
        <v>1.5696024214303359</v>
      </c>
      <c r="T281" s="160" t="str">
        <f t="shared" si="175"/>
        <v>1+0.000536055632975582i</v>
      </c>
      <c r="U281" s="160">
        <f t="shared" si="184"/>
        <v>1.0000001436778105</v>
      </c>
      <c r="V281" s="160">
        <f t="shared" si="185"/>
        <v>5.3605558162938736E-4</v>
      </c>
      <c r="W281" s="98" t="str">
        <f t="shared" si="176"/>
        <v>1-0.38769687599326i</v>
      </c>
      <c r="X281" s="160">
        <f t="shared" si="186"/>
        <v>1.0725245300947355</v>
      </c>
      <c r="Y281" s="160">
        <f t="shared" si="187"/>
        <v>-0.36985545069916476</v>
      </c>
      <c r="Z281" s="98" t="str">
        <f t="shared" si="177"/>
        <v>0.967049328046899+0.0307956764855579i</v>
      </c>
      <c r="AA281" s="160">
        <f t="shared" si="188"/>
        <v>0.96753954780471996</v>
      </c>
      <c r="AB281" s="160">
        <f t="shared" si="189"/>
        <v>3.1834232155539301E-2</v>
      </c>
      <c r="AC281" s="171" t="str">
        <f t="shared" si="190"/>
        <v>-0.555970991340997-1.31514273629784i</v>
      </c>
      <c r="AD281" s="190">
        <f t="shared" si="191"/>
        <v>3.0935420911330058</v>
      </c>
      <c r="AE281" s="169">
        <f t="shared" si="192"/>
        <v>-112.91600404058389</v>
      </c>
      <c r="AF281" s="98" t="str">
        <f t="shared" si="178"/>
        <v>-9.95024875621891E-06</v>
      </c>
      <c r="AG281" s="98" t="str">
        <f t="shared" si="179"/>
        <v>0.0268295844304279i</v>
      </c>
      <c r="AH281" s="98">
        <f t="shared" si="193"/>
        <v>2.6829584430427902E-2</v>
      </c>
      <c r="AI281" s="98">
        <f t="shared" si="194"/>
        <v>1.5707963267948966</v>
      </c>
      <c r="AJ281" s="98" t="str">
        <f t="shared" si="180"/>
        <v>1+0.26776005643136i</v>
      </c>
      <c r="AK281" s="98">
        <f t="shared" si="195"/>
        <v>1.0352272445314241</v>
      </c>
      <c r="AL281" s="98">
        <f t="shared" si="196"/>
        <v>0.26162291316639114</v>
      </c>
      <c r="AM281" s="98" t="str">
        <f t="shared" si="181"/>
        <v>1+268.027816487791i</v>
      </c>
      <c r="AN281" s="98">
        <f t="shared" si="197"/>
        <v>268.0296819593176</v>
      </c>
      <c r="AO281" s="98">
        <f t="shared" si="198"/>
        <v>1.5670653880694627</v>
      </c>
      <c r="AP281" s="168" t="str">
        <f t="shared" si="199"/>
        <v>-0.092660448356856+0.0251816354191121i</v>
      </c>
      <c r="AQ281" s="98">
        <f t="shared" si="200"/>
        <v>-20.352656191086655</v>
      </c>
      <c r="AR281" s="169">
        <f t="shared" si="201"/>
        <v>164.79634420905887</v>
      </c>
      <c r="AS281" s="168" t="str">
        <f t="shared" si="202"/>
        <v>0.0846339662406082+0.107861456791069i</v>
      </c>
      <c r="AT281" s="190">
        <f t="shared" si="203"/>
        <v>-17.259114099953649</v>
      </c>
      <c r="AU281" s="169">
        <f t="shared" si="204"/>
        <v>51.880340168474973</v>
      </c>
      <c r="AV281" s="225"/>
      <c r="AX281">
        <f t="shared" si="205"/>
        <v>0</v>
      </c>
      <c r="AY281">
        <f t="shared" si="206"/>
        <v>0</v>
      </c>
    </row>
    <row r="282" spans="14:51" x14ac:dyDescent="0.55000000000000004">
      <c r="N282" s="170">
        <v>64</v>
      </c>
      <c r="O282" s="199">
        <f t="shared" si="172"/>
        <v>4365.1583224016631</v>
      </c>
      <c r="P282" s="189" t="str">
        <f t="shared" si="173"/>
        <v>1078.86904761905</v>
      </c>
      <c r="Q282" s="160" t="str">
        <f t="shared" si="174"/>
        <v>1+857.096832338338i</v>
      </c>
      <c r="R282" s="160">
        <f t="shared" si="182"/>
        <v>857.09741570279687</v>
      </c>
      <c r="S282" s="160">
        <f t="shared" si="183"/>
        <v>1.5696295980093991</v>
      </c>
      <c r="T282" s="160" t="str">
        <f t="shared" si="175"/>
        <v>1+0.000548541972696536i</v>
      </c>
      <c r="U282" s="160">
        <f t="shared" si="184"/>
        <v>1.0000001504491367</v>
      </c>
      <c r="V282" s="160">
        <f t="shared" si="185"/>
        <v>5.4854191767809762E-4</v>
      </c>
      <c r="W282" s="98" t="str">
        <f t="shared" si="176"/>
        <v>1-0.396727496333043i</v>
      </c>
      <c r="X282" s="160">
        <f t="shared" si="186"/>
        <v>1.0758218748225399</v>
      </c>
      <c r="Y282" s="160">
        <f t="shared" si="187"/>
        <v>-0.3776820736787091</v>
      </c>
      <c r="Z282" s="98" t="str">
        <f t="shared" si="177"/>
        <v>0.965496410720448+0.0315129999402165i</v>
      </c>
      <c r="AA282" s="160">
        <f t="shared" si="188"/>
        <v>0.96601055288195492</v>
      </c>
      <c r="AB282" s="160">
        <f t="shared" si="189"/>
        <v>3.262758546863001E-2</v>
      </c>
      <c r="AC282" s="171" t="str">
        <f t="shared" si="190"/>
        <v>-0.556977103105252-1.28643686659542i</v>
      </c>
      <c r="AD282" s="190">
        <f t="shared" si="191"/>
        <v>2.9339422613803885</v>
      </c>
      <c r="AE282" s="169">
        <f t="shared" si="192"/>
        <v>-113.4107339905794</v>
      </c>
      <c r="AF282" s="98" t="str">
        <f t="shared" si="178"/>
        <v>-9.95024875621891E-06</v>
      </c>
      <c r="AG282" s="98" t="str">
        <f t="shared" si="179"/>
        <v>0.0274545257334617i</v>
      </c>
      <c r="AH282" s="98">
        <f t="shared" si="193"/>
        <v>2.7454525733461702E-2</v>
      </c>
      <c r="AI282" s="98">
        <f t="shared" si="194"/>
        <v>1.5707963267948966</v>
      </c>
      <c r="AJ282" s="98" t="str">
        <f t="shared" si="180"/>
        <v>1+0.273996989358909i</v>
      </c>
      <c r="AK282" s="98">
        <f t="shared" si="195"/>
        <v>1.0368579218859959</v>
      </c>
      <c r="AL282" s="98">
        <f t="shared" si="196"/>
        <v>0.2674334809831333</v>
      </c>
      <c r="AM282" s="98" t="str">
        <f t="shared" si="181"/>
        <v>1+274.270986348268i</v>
      </c>
      <c r="AN282" s="98">
        <f t="shared" si="197"/>
        <v>274.27280935676401</v>
      </c>
      <c r="AO282" s="98">
        <f t="shared" si="198"/>
        <v>1.5671503138418916</v>
      </c>
      <c r="AP282" s="168" t="str">
        <f t="shared" si="199"/>
        <v>-0.0923692214223099+0.0256713151186767i</v>
      </c>
      <c r="AQ282" s="98">
        <f t="shared" si="200"/>
        <v>-20.366330055071643</v>
      </c>
      <c r="AR282" s="169">
        <f t="shared" si="201"/>
        <v>164.46828908491713</v>
      </c>
      <c r="AS282" s="168" t="str">
        <f t="shared" si="202"/>
        <v>0.0844720675465398+0.104528837048672i</v>
      </c>
      <c r="AT282" s="190">
        <f t="shared" si="203"/>
        <v>-17.432387793691269</v>
      </c>
      <c r="AU282" s="169">
        <f t="shared" si="204"/>
        <v>51.05755509433763</v>
      </c>
      <c r="AV282" s="225"/>
      <c r="AX282">
        <f t="shared" si="205"/>
        <v>0</v>
      </c>
      <c r="AY282">
        <f t="shared" si="206"/>
        <v>0</v>
      </c>
    </row>
    <row r="283" spans="14:51" x14ac:dyDescent="0.55000000000000004">
      <c r="N283" s="170">
        <v>65</v>
      </c>
      <c r="O283" s="199">
        <f t="shared" si="172"/>
        <v>4466.8359215096343</v>
      </c>
      <c r="P283" s="189" t="str">
        <f t="shared" si="173"/>
        <v>1078.86904761905</v>
      </c>
      <c r="Q283" s="160" t="str">
        <f t="shared" si="174"/>
        <v>1+877.061182237853i</v>
      </c>
      <c r="R283" s="160">
        <f t="shared" si="182"/>
        <v>877.06175232332441</v>
      </c>
      <c r="S283" s="160">
        <f t="shared" si="183"/>
        <v>1.569656155975663</v>
      </c>
      <c r="T283" s="160" t="str">
        <f t="shared" si="175"/>
        <v>1+0.000561319156632226i</v>
      </c>
      <c r="U283" s="160">
        <f t="shared" si="184"/>
        <v>1.0000001575395854</v>
      </c>
      <c r="V283" s="160">
        <f t="shared" si="185"/>
        <v>5.6131909767890762E-4</v>
      </c>
      <c r="W283" s="98" t="str">
        <f t="shared" si="176"/>
        <v>1-0.405968466842691i</v>
      </c>
      <c r="X283" s="160">
        <f t="shared" si="186"/>
        <v>1.0792638213479617</v>
      </c>
      <c r="Y283" s="160">
        <f t="shared" si="187"/>
        <v>-0.3856409944174265</v>
      </c>
      <c r="Z283" s="98" t="str">
        <f t="shared" si="177"/>
        <v>0.963870306655158+0.0322470320045674i</v>
      </c>
      <c r="AA283" s="160">
        <f t="shared" si="188"/>
        <v>0.96440958058524684</v>
      </c>
      <c r="AB283" s="160">
        <f t="shared" si="189"/>
        <v>3.3443305187828516E-2</v>
      </c>
      <c r="AC283" s="171" t="str">
        <f t="shared" si="190"/>
        <v>-0.558027525431447-1.25841423051976i</v>
      </c>
      <c r="AD283" s="190">
        <f t="shared" si="191"/>
        <v>2.7760946518958898</v>
      </c>
      <c r="AE283" s="169">
        <f t="shared" si="192"/>
        <v>-113.91427343645411</v>
      </c>
      <c r="AF283" s="98" t="str">
        <f t="shared" si="178"/>
        <v>-9.95024875621891E-06</v>
      </c>
      <c r="AG283" s="98" t="str">
        <f t="shared" si="179"/>
        <v>0.0280940237894429i</v>
      </c>
      <c r="AH283" s="98">
        <f t="shared" si="193"/>
        <v>2.8094023789442899E-2</v>
      </c>
      <c r="AI283" s="98">
        <f t="shared" si="194"/>
        <v>1.5707963267948966</v>
      </c>
      <c r="AJ283" s="98" t="str">
        <f t="shared" si="180"/>
        <v>1+0.280379199116996i</v>
      </c>
      <c r="AK283" s="98">
        <f t="shared" si="195"/>
        <v>1.0385627064830933</v>
      </c>
      <c r="AL283" s="98">
        <f t="shared" si="196"/>
        <v>0.27336029968383324</v>
      </c>
      <c r="AM283" s="98" t="str">
        <f t="shared" si="181"/>
        <v>1+280.659578316113i</v>
      </c>
      <c r="AN283" s="98">
        <f t="shared" si="197"/>
        <v>280.66135982813586</v>
      </c>
      <c r="AO283" s="98">
        <f t="shared" si="198"/>
        <v>1.5672333065185475</v>
      </c>
      <c r="AP283" s="168" t="str">
        <f t="shared" si="199"/>
        <v>-0.0920662250158949+0.0261676311399799i</v>
      </c>
      <c r="AQ283" s="98">
        <f t="shared" si="200"/>
        <v>-20.380602121526699</v>
      </c>
      <c r="AR283" s="169">
        <f t="shared" si="201"/>
        <v>164.13346251753063</v>
      </c>
      <c r="AS283" s="168" t="str">
        <f t="shared" si="202"/>
        <v>0.0843052071269773+0.101255189258791i</v>
      </c>
      <c r="AT283" s="190">
        <f t="shared" si="203"/>
        <v>-17.604507469630789</v>
      </c>
      <c r="AU283" s="169">
        <f t="shared" si="204"/>
        <v>50.219189081076657</v>
      </c>
      <c r="AV283" s="225"/>
      <c r="AX283">
        <f t="shared" si="205"/>
        <v>0</v>
      </c>
      <c r="AY283">
        <f t="shared" si="206"/>
        <v>0</v>
      </c>
    </row>
    <row r="284" spans="14:51" x14ac:dyDescent="0.55000000000000004">
      <c r="N284" s="170">
        <v>66</v>
      </c>
      <c r="O284" s="199">
        <f t="shared" ref="O284:O318" si="207">10^(3+(N284/100))</f>
        <v>4570.8818961487532</v>
      </c>
      <c r="P284" s="189" t="str">
        <f t="shared" si="173"/>
        <v>1078.86904761905</v>
      </c>
      <c r="Q284" s="160" t="str">
        <f t="shared" si="174"/>
        <v>1+897.490561585469i</v>
      </c>
      <c r="R284" s="160">
        <f t="shared" si="182"/>
        <v>897.49111869421881</v>
      </c>
      <c r="S284" s="160">
        <f t="shared" si="183"/>
        <v>1.5696821094103632</v>
      </c>
      <c r="T284" s="160" t="str">
        <f t="shared" si="175"/>
        <v>1+0.0005743939594147i</v>
      </c>
      <c r="U284" s="160">
        <f t="shared" si="184"/>
        <v>1.0000001649641967</v>
      </c>
      <c r="V284" s="160">
        <f t="shared" si="185"/>
        <v>5.7439389624508192E-4</v>
      </c>
      <c r="W284" s="98" t="str">
        <f t="shared" si="176"/>
        <v>1-0.415424687207088i</v>
      </c>
      <c r="X284" s="160">
        <f t="shared" si="186"/>
        <v>1.0828562558073471</v>
      </c>
      <c r="Y284" s="160">
        <f t="shared" si="187"/>
        <v>-0.39373239857579234</v>
      </c>
      <c r="Z284" s="98" t="str">
        <f t="shared" si="177"/>
        <v>0.962167566666292+0.032998161872127i</v>
      </c>
      <c r="AA284" s="160">
        <f t="shared" si="188"/>
        <v>0.96273324707910268</v>
      </c>
      <c r="AB284" s="160">
        <f t="shared" si="189"/>
        <v>3.4282213151299486E-2</v>
      </c>
      <c r="AC284" s="171" t="str">
        <f t="shared" si="190"/>
        <v>-0.559124967524131-1.23106004297121i</v>
      </c>
      <c r="AD284" s="190">
        <f t="shared" si="191"/>
        <v>2.6200697074060173</v>
      </c>
      <c r="AE284" s="169">
        <f t="shared" si="192"/>
        <v>-114.42668052226604</v>
      </c>
      <c r="AF284" s="98" t="str">
        <f t="shared" si="178"/>
        <v>-9.95024875621891E-06</v>
      </c>
      <c r="AG284" s="98" t="str">
        <f t="shared" si="179"/>
        <v>0.0287484176687058i</v>
      </c>
      <c r="AH284" s="98">
        <f t="shared" si="193"/>
        <v>2.8748417668705801E-2</v>
      </c>
      <c r="AI284" s="98">
        <f t="shared" si="194"/>
        <v>1.5707963267948966</v>
      </c>
      <c r="AJ284" s="98" t="str">
        <f t="shared" si="180"/>
        <v>1+0.286910069637712i</v>
      </c>
      <c r="AK284" s="98">
        <f t="shared" si="195"/>
        <v>1.0403448409347338</v>
      </c>
      <c r="AL284" s="98">
        <f t="shared" si="196"/>
        <v>0.27940484554269079</v>
      </c>
      <c r="AM284" s="98" t="str">
        <f t="shared" si="181"/>
        <v>1+287.19697970735i</v>
      </c>
      <c r="AN284" s="98">
        <f t="shared" si="197"/>
        <v>287.198720667457</v>
      </c>
      <c r="AO284" s="98">
        <f t="shared" si="198"/>
        <v>1.5673144100986705</v>
      </c>
      <c r="AP284" s="168" t="str">
        <f t="shared" si="199"/>
        <v>-0.091751072090836+0.0266704211411521i</v>
      </c>
      <c r="AQ284" s="98">
        <f t="shared" si="200"/>
        <v>-20.395496488827639</v>
      </c>
      <c r="AR284" s="169">
        <f t="shared" si="201"/>
        <v>163.79178244358928</v>
      </c>
      <c r="AS284" s="168" t="str">
        <f t="shared" si="202"/>
        <v>0.0841332049991798+0.0980389803963976i</v>
      </c>
      <c r="AT284" s="190">
        <f t="shared" si="203"/>
        <v>-17.775426781421622</v>
      </c>
      <c r="AU284" s="169">
        <f t="shared" si="204"/>
        <v>49.365101921323252</v>
      </c>
      <c r="AV284" s="225"/>
      <c r="AX284">
        <f t="shared" si="205"/>
        <v>0</v>
      </c>
      <c r="AY284">
        <f t="shared" si="206"/>
        <v>0</v>
      </c>
    </row>
    <row r="285" spans="14:51" x14ac:dyDescent="0.55000000000000004">
      <c r="N285" s="170">
        <v>67</v>
      </c>
      <c r="O285" s="199">
        <f t="shared" si="207"/>
        <v>4677.3514128719844</v>
      </c>
      <c r="P285" s="189" t="str">
        <f t="shared" si="173"/>
        <v>1078.86904761905</v>
      </c>
      <c r="Q285" s="160" t="str">
        <f t="shared" si="174"/>
        <v>1+918.395802308528i</v>
      </c>
      <c r="R285" s="160">
        <f t="shared" si="182"/>
        <v>918.3963467359423</v>
      </c>
      <c r="S285" s="160">
        <f t="shared" si="183"/>
        <v>1.5697074720742143</v>
      </c>
      <c r="T285" s="160" t="str">
        <f t="shared" si="175"/>
        <v>1+0.000587773313477458i</v>
      </c>
      <c r="U285" s="160">
        <f t="shared" si="184"/>
        <v>1.0000001727387191</v>
      </c>
      <c r="V285" s="160">
        <f t="shared" si="185"/>
        <v>5.8777324578999327E-4</v>
      </c>
      <c r="W285" s="98" t="str">
        <f t="shared" si="176"/>
        <v>1-0.425101171239437i</v>
      </c>
      <c r="X285" s="160">
        <f t="shared" si="186"/>
        <v>1.0866052667777482</v>
      </c>
      <c r="Y285" s="160">
        <f t="shared" si="187"/>
        <v>-0.40195633726975644</v>
      </c>
      <c r="Z285" s="98" t="str">
        <f t="shared" si="177"/>
        <v>0.960384579014042+0.0337667878018935i</v>
      </c>
      <c r="AA285" s="160">
        <f t="shared" si="188"/>
        <v>0.96097800992865434</v>
      </c>
      <c r="AB285" s="160">
        <f t="shared" si="189"/>
        <v>3.5145174829128115E-2</v>
      </c>
      <c r="AC285" s="171" t="str">
        <f t="shared" si="190"/>
        <v>-0.560272288326547-1.20435987696222i</v>
      </c>
      <c r="AD285" s="190">
        <f t="shared" si="191"/>
        <v>2.4659403392034172</v>
      </c>
      <c r="AE285" s="169">
        <f t="shared" si="192"/>
        <v>-114.94800815576009</v>
      </c>
      <c r="AF285" s="98" t="str">
        <f t="shared" si="178"/>
        <v>-9.95024875621891E-06</v>
      </c>
      <c r="AG285" s="98" t="str">
        <f t="shared" si="179"/>
        <v>0.0294180543395468i</v>
      </c>
      <c r="AH285" s="98">
        <f t="shared" si="193"/>
        <v>2.9418054339546799E-2</v>
      </c>
      <c r="AI285" s="98">
        <f t="shared" si="194"/>
        <v>1.5707963267948966</v>
      </c>
      <c r="AJ285" s="98" t="str">
        <f t="shared" si="180"/>
        <v>1+0.293593063675054i</v>
      </c>
      <c r="AK285" s="98">
        <f t="shared" si="195"/>
        <v>1.0422076986081537</v>
      </c>
      <c r="AL285" s="98">
        <f t="shared" si="196"/>
        <v>0.285568555991837</v>
      </c>
      <c r="AM285" s="98" t="str">
        <f t="shared" si="181"/>
        <v>1+293.886656738729i</v>
      </c>
      <c r="AN285" s="98">
        <f t="shared" si="197"/>
        <v>293.88835806997787</v>
      </c>
      <c r="AO285" s="98">
        <f t="shared" si="198"/>
        <v>1.5673936675801818</v>
      </c>
      <c r="AP285" s="168" t="str">
        <f t="shared" si="199"/>
        <v>-0.0914233707369581+0.0271795036329101i</v>
      </c>
      <c r="AQ285" s="98">
        <f t="shared" si="200"/>
        <v>-20.411038039632142</v>
      </c>
      <c r="AR285" s="169">
        <f t="shared" si="201"/>
        <v>163.44316896789792</v>
      </c>
      <c r="AS285" s="168" t="str">
        <f t="shared" si="202"/>
        <v>0.0839558847805476+0.094878716836244i</v>
      </c>
      <c r="AT285" s="190">
        <f t="shared" si="203"/>
        <v>-17.945097700428729</v>
      </c>
      <c r="AU285" s="169">
        <f t="shared" si="204"/>
        <v>48.495160812137811</v>
      </c>
      <c r="AV285" s="225"/>
      <c r="AX285">
        <f t="shared" si="205"/>
        <v>0</v>
      </c>
      <c r="AY285">
        <f t="shared" si="206"/>
        <v>0</v>
      </c>
    </row>
    <row r="286" spans="14:51" x14ac:dyDescent="0.55000000000000004">
      <c r="N286" s="170">
        <v>68</v>
      </c>
      <c r="O286" s="199">
        <f t="shared" si="207"/>
        <v>4786.3009232263848</v>
      </c>
      <c r="P286" s="189" t="str">
        <f t="shared" si="173"/>
        <v>1078.86904761905</v>
      </c>
      <c r="Q286" s="160" t="str">
        <f t="shared" si="174"/>
        <v>1+939.787988642378i</v>
      </c>
      <c r="R286" s="160">
        <f t="shared" si="182"/>
        <v>939.7885206771183</v>
      </c>
      <c r="S286" s="160">
        <f t="shared" si="183"/>
        <v>1.5697322574147059</v>
      </c>
      <c r="T286" s="160" t="str">
        <f t="shared" si="175"/>
        <v>1+0.000601464312731122i</v>
      </c>
      <c r="U286" s="160">
        <f t="shared" si="184"/>
        <v>1.0000001808796433</v>
      </c>
      <c r="V286" s="160">
        <f t="shared" si="185"/>
        <v>6.0146424020269759E-4</v>
      </c>
      <c r="W286" s="98" t="str">
        <f t="shared" si="176"/>
        <v>1-0.435003049539657i</v>
      </c>
      <c r="X286" s="160">
        <f t="shared" si="186"/>
        <v>1.0905171493877579</v>
      </c>
      <c r="Y286" s="160">
        <f t="shared" si="187"/>
        <v>-0.4103127202014839</v>
      </c>
      <c r="Z286" s="98" t="str">
        <f t="shared" si="177"/>
        <v>0.958517561742548+0.0345533173295089i</v>
      </c>
      <c r="AA286" s="160">
        <f t="shared" si="188"/>
        <v>0.95914016072071195</v>
      </c>
      <c r="AB286" s="160">
        <f t="shared" si="189"/>
        <v>3.6033102487124581E-2</v>
      </c>
      <c r="AC286" s="171" t="str">
        <f t="shared" si="190"/>
        <v>-0.561472507975042-1.17829965601994i</v>
      </c>
      <c r="AD286" s="190">
        <f t="shared" si="191"/>
        <v>2.313781996974138</v>
      </c>
      <c r="AE286" s="169">
        <f t="shared" si="192"/>
        <v>-115.47830379626625</v>
      </c>
      <c r="AF286" s="98" t="str">
        <f t="shared" si="178"/>
        <v>-9.95024875621891E-06</v>
      </c>
      <c r="AG286" s="98" t="str">
        <f t="shared" si="179"/>
        <v>0.0301032888521927i</v>
      </c>
      <c r="AH286" s="98">
        <f t="shared" si="193"/>
        <v>3.0103288852192701E-2</v>
      </c>
      <c r="AI286" s="98">
        <f t="shared" si="194"/>
        <v>1.5707963267948966</v>
      </c>
      <c r="AJ286" s="98" t="str">
        <f t="shared" si="180"/>
        <v>1+0.30043172464092i</v>
      </c>
      <c r="AK286" s="98">
        <f t="shared" si="195"/>
        <v>1.0441547879365001</v>
      </c>
      <c r="AL286" s="98">
        <f t="shared" si="196"/>
        <v>0.29185282505172233</v>
      </c>
      <c r="AM286" s="98" t="str">
        <f t="shared" si="181"/>
        <v>1+300.732156365561i</v>
      </c>
      <c r="AN286" s="98">
        <f t="shared" si="197"/>
        <v>300.73381896999922</v>
      </c>
      <c r="AO286" s="98">
        <f t="shared" si="198"/>
        <v>1.5674711209824621</v>
      </c>
      <c r="AP286" s="168" t="str">
        <f t="shared" si="199"/>
        <v>-0.0910827248866394+0.0276946770552158i</v>
      </c>
      <c r="AQ286" s="98">
        <f t="shared" si="200"/>
        <v>-20.427252449988732</v>
      </c>
      <c r="AR286" s="169">
        <f t="shared" si="201"/>
        <v>163.08754462650151</v>
      </c>
      <c r="AS286" s="168" t="str">
        <f t="shared" si="202"/>
        <v>0.0837730744230463+0.0917729436195352i</v>
      </c>
      <c r="AT286" s="190">
        <f t="shared" si="203"/>
        <v>-18.113470453014592</v>
      </c>
      <c r="AU286" s="169">
        <f t="shared" si="204"/>
        <v>47.609240830235279</v>
      </c>
      <c r="AV286" s="225"/>
      <c r="AX286">
        <f t="shared" si="205"/>
        <v>0</v>
      </c>
      <c r="AY286">
        <f t="shared" si="206"/>
        <v>0</v>
      </c>
    </row>
    <row r="287" spans="14:51" x14ac:dyDescent="0.55000000000000004">
      <c r="N287" s="170">
        <v>69</v>
      </c>
      <c r="O287" s="199">
        <f t="shared" si="207"/>
        <v>4897.7881936844633</v>
      </c>
      <c r="P287" s="189" t="str">
        <f t="shared" si="173"/>
        <v>1078.86904761905</v>
      </c>
      <c r="Q287" s="160" t="str">
        <f t="shared" si="174"/>
        <v>1+961.678463007372i</v>
      </c>
      <c r="R287" s="160">
        <f t="shared" si="182"/>
        <v>961.6789829315295</v>
      </c>
      <c r="S287" s="160">
        <f t="shared" si="183"/>
        <v>1.5697564785732314</v>
      </c>
      <c r="T287" s="160" t="str">
        <f t="shared" si="175"/>
        <v>1+0.000615474216324718i</v>
      </c>
      <c r="U287" s="160">
        <f t="shared" si="184"/>
        <v>1.0000001894042376</v>
      </c>
      <c r="V287" s="160">
        <f t="shared" si="185"/>
        <v>6.1547413860911179E-4</v>
      </c>
      <c r="W287" s="98" t="str">
        <f t="shared" si="176"/>
        <v>1-0.445135572214689i</v>
      </c>
      <c r="X287" s="160">
        <f t="shared" si="186"/>
        <v>1.0945984093040235</v>
      </c>
      <c r="Y287" s="160">
        <f t="shared" si="187"/>
        <v>-0.41880130883271155</v>
      </c>
      <c r="Z287" s="98" t="str">
        <f t="shared" si="177"/>
        <v>0.956562554657863+0.0353581674833396i</v>
      </c>
      <c r="AA287" s="160">
        <f t="shared" si="188"/>
        <v>0.95721581734808214</v>
      </c>
      <c r="AB287" s="160">
        <f t="shared" si="189"/>
        <v>3.6946958632540036E-2</v>
      </c>
      <c r="AC287" s="171" t="str">
        <f t="shared" si="190"/>
        <v>-0.562728820206746-1.15286564674378i</v>
      </c>
      <c r="AD287" s="190">
        <f t="shared" si="191"/>
        <v>2.1636727438627821</v>
      </c>
      <c r="AE287" s="169">
        <f t="shared" si="192"/>
        <v>-116.01760926118094</v>
      </c>
      <c r="AF287" s="98" t="str">
        <f t="shared" si="178"/>
        <v>-9.95024875621891E-06</v>
      </c>
      <c r="AG287" s="98" t="str">
        <f t="shared" si="179"/>
        <v>0.0308044845270521i</v>
      </c>
      <c r="AH287" s="98">
        <f t="shared" si="193"/>
        <v>3.08044845270521E-2</v>
      </c>
      <c r="AI287" s="98">
        <f t="shared" si="194"/>
        <v>1.5707963267948966</v>
      </c>
      <c r="AJ287" s="98" t="str">
        <f t="shared" si="180"/>
        <v>1+0.307429678483875i</v>
      </c>
      <c r="AK287" s="98">
        <f t="shared" si="195"/>
        <v>1.0461897567901812</v>
      </c>
      <c r="AL287" s="98">
        <f t="shared" si="196"/>
        <v>0.29825899854795512</v>
      </c>
      <c r="AM287" s="98" t="str">
        <f t="shared" si="181"/>
        <v>1+307.737108162359i</v>
      </c>
      <c r="AN287" s="98">
        <f t="shared" si="197"/>
        <v>307.73873292150188</v>
      </c>
      <c r="AO287" s="98">
        <f t="shared" si="198"/>
        <v>1.5675468113686113</v>
      </c>
      <c r="AP287" s="168" t="str">
        <f t="shared" si="199"/>
        <v>-0.090728735101927+0.0282157188550014i</v>
      </c>
      <c r="AQ287" s="98">
        <f t="shared" si="200"/>
        <v>-20.444166196941488</v>
      </c>
      <c r="AR287" s="169">
        <f t="shared" si="201"/>
        <v>162.72483466201479</v>
      </c>
      <c r="AS287" s="168" t="str">
        <f t="shared" si="202"/>
        <v>0.0835846070288696+0.088720243688968i</v>
      </c>
      <c r="AT287" s="190">
        <f t="shared" si="203"/>
        <v>-18.280493453078705</v>
      </c>
      <c r="AU287" s="169">
        <f t="shared" si="204"/>
        <v>46.707225400833863</v>
      </c>
      <c r="AV287" s="225"/>
      <c r="AX287">
        <f t="shared" si="205"/>
        <v>0</v>
      </c>
      <c r="AY287">
        <f t="shared" si="206"/>
        <v>0</v>
      </c>
    </row>
    <row r="288" spans="14:51" x14ac:dyDescent="0.55000000000000004">
      <c r="N288" s="170">
        <v>70</v>
      </c>
      <c r="O288" s="199">
        <f t="shared" si="207"/>
        <v>5011.8723362727324</v>
      </c>
      <c r="P288" s="189" t="str">
        <f t="shared" si="173"/>
        <v>1078.86904761905</v>
      </c>
      <c r="Q288" s="160" t="str">
        <f t="shared" si="174"/>
        <v>1+984.078832022772i</v>
      </c>
      <c r="R288" s="160">
        <f t="shared" si="182"/>
        <v>984.07934011201712</v>
      </c>
      <c r="S288" s="160">
        <f t="shared" si="183"/>
        <v>1.5697801483920564</v>
      </c>
      <c r="T288" s="160" t="str">
        <f t="shared" si="175"/>
        <v>1+0.000629810452494574i</v>
      </c>
      <c r="U288" s="160">
        <f t="shared" si="184"/>
        <v>1.0000001983305833</v>
      </c>
      <c r="V288" s="160">
        <f t="shared" si="185"/>
        <v>6.2981036922080255E-4</v>
      </c>
      <c r="W288" s="98" t="str">
        <f t="shared" si="176"/>
        <v>1-0.455504111662176i</v>
      </c>
      <c r="X288" s="160">
        <f t="shared" si="186"/>
        <v>1.0988557665777379</v>
      </c>
      <c r="Y288" s="160">
        <f t="shared" si="187"/>
        <v>-0.42742170963894138</v>
      </c>
      <c r="Z288" s="98" t="str">
        <f t="shared" si="177"/>
        <v>0.954515410927848+0.0361817650055907i</v>
      </c>
      <c r="AA288" s="160">
        <f t="shared" si="188"/>
        <v>0.95520091594265033</v>
      </c>
      <c r="AB288" s="160">
        <f t="shared" si="189"/>
        <v>3.7887759771032252E-2</v>
      </c>
      <c r="AC288" s="171" t="str">
        <f t="shared" si="190"/>
        <v>-0.564044605820928-1.12804445150621i</v>
      </c>
      <c r="AD288" s="190">
        <f t="shared" si="191"/>
        <v>2.0156933353062456</v>
      </c>
      <c r="AE288" s="169">
        <f t="shared" si="192"/>
        <v>-116.56596055489813</v>
      </c>
      <c r="AF288" s="98" t="str">
        <f t="shared" si="178"/>
        <v>-9.95024875621891E-06</v>
      </c>
      <c r="AG288" s="98" t="str">
        <f t="shared" si="179"/>
        <v>0.0315220131473534i</v>
      </c>
      <c r="AH288" s="98">
        <f t="shared" si="193"/>
        <v>3.1522013147353402E-2</v>
      </c>
      <c r="AI288" s="98">
        <f t="shared" si="194"/>
        <v>1.5707963267948966</v>
      </c>
      <c r="AJ288" s="98" t="str">
        <f t="shared" si="180"/>
        <v>1+0.314590635611675i</v>
      </c>
      <c r="AK288" s="98">
        <f t="shared" si="195"/>
        <v>1.0483163969024607</v>
      </c>
      <c r="AL288" s="98">
        <f t="shared" si="196"/>
        <v>0.30478836911543816</v>
      </c>
      <c r="AM288" s="98" t="str">
        <f t="shared" si="181"/>
        <v>1+314.905226247287i</v>
      </c>
      <c r="AN288" s="98">
        <f t="shared" si="197"/>
        <v>314.90681402258508</v>
      </c>
      <c r="AO288" s="98">
        <f t="shared" si="198"/>
        <v>1.5676207788672027</v>
      </c>
      <c r="AP288" s="168" t="str">
        <f t="shared" si="199"/>
        <v>-0.0903609994467087+0.0287423845704171i</v>
      </c>
      <c r="AQ288" s="98">
        <f t="shared" si="200"/>
        <v>-20.461806564464865</v>
      </c>
      <c r="AR288" s="169">
        <f t="shared" si="201"/>
        <v>162.35496731111155</v>
      </c>
      <c r="AS288" s="168" t="str">
        <f t="shared" si="202"/>
        <v>0.0833903217522206+0.085719237083041i</v>
      </c>
      <c r="AT288" s="190">
        <f t="shared" si="203"/>
        <v>-18.446113229158627</v>
      </c>
      <c r="AU288" s="169">
        <f t="shared" si="204"/>
        <v>45.789006756213446</v>
      </c>
      <c r="AV288" s="225"/>
      <c r="AX288">
        <f t="shared" si="205"/>
        <v>0</v>
      </c>
      <c r="AY288">
        <f t="shared" si="206"/>
        <v>0</v>
      </c>
    </row>
    <row r="289" spans="14:51" x14ac:dyDescent="0.55000000000000004">
      <c r="N289" s="170">
        <v>71</v>
      </c>
      <c r="O289" s="199">
        <f t="shared" si="207"/>
        <v>5128.6138399136489</v>
      </c>
      <c r="P289" s="189" t="str">
        <f t="shared" si="173"/>
        <v>1078.86904761905</v>
      </c>
      <c r="Q289" s="160" t="str">
        <f t="shared" si="174"/>
        <v>1+1007.00097266073i</v>
      </c>
      <c r="R289" s="160">
        <f t="shared" si="182"/>
        <v>1007.0014691844576</v>
      </c>
      <c r="S289" s="160">
        <f t="shared" si="183"/>
        <v>1.5698032794211256</v>
      </c>
      <c r="T289" s="160" t="str">
        <f t="shared" si="175"/>
        <v>1+0.000644480622502866i</v>
      </c>
      <c r="U289" s="160">
        <f t="shared" si="184"/>
        <v>1.0000002076776149</v>
      </c>
      <c r="V289" s="160">
        <f t="shared" si="185"/>
        <v>6.4448053327341328E-4</v>
      </c>
      <c r="W289" s="98" t="str">
        <f t="shared" si="176"/>
        <v>1-0.466114165418973i</v>
      </c>
      <c r="X289" s="160">
        <f t="shared" si="186"/>
        <v>1.1032961593353916</v>
      </c>
      <c r="Y289" s="160">
        <f t="shared" si="187"/>
        <v>-0.43617336748549457</v>
      </c>
      <c r="Z289" s="98" t="str">
        <f t="shared" si="177"/>
        <v>0.952371788286186+0.0370245465785699i</v>
      </c>
      <c r="AA289" s="160">
        <f t="shared" si="188"/>
        <v>0.95309120244223033</v>
      </c>
      <c r="AB289" s="160">
        <f t="shared" si="189"/>
        <v>3.885658050773106E-2</v>
      </c>
      <c r="AC289" s="171" t="str">
        <f t="shared" si="190"/>
        <v>-0.565423447306479-1.1038230012835i</v>
      </c>
      <c r="AD289" s="190">
        <f t="shared" si="191"/>
        <v>1.8699273022564353</v>
      </c>
      <c r="AE289" s="169">
        <f t="shared" si="192"/>
        <v>-117.12338772442224</v>
      </c>
      <c r="AF289" s="98" t="str">
        <f t="shared" si="178"/>
        <v>-9.95024875621891E-06</v>
      </c>
      <c r="AG289" s="98" t="str">
        <f t="shared" si="179"/>
        <v>0.0322562551562685i</v>
      </c>
      <c r="AH289" s="98">
        <f t="shared" si="193"/>
        <v>3.2256255156268503E-2</v>
      </c>
      <c r="AI289" s="98">
        <f t="shared" si="194"/>
        <v>1.5707963267948966</v>
      </c>
      <c r="AJ289" s="98" t="str">
        <f t="shared" si="180"/>
        <v>1+0.321918392858574i</v>
      </c>
      <c r="AK289" s="98">
        <f t="shared" si="195"/>
        <v>1.0505386483421955</v>
      </c>
      <c r="AL289" s="98">
        <f t="shared" si="196"/>
        <v>0.31144217099200305</v>
      </c>
      <c r="AM289" s="98" t="str">
        <f t="shared" si="181"/>
        <v>1+322.240311251433i</v>
      </c>
      <c r="AN289" s="98">
        <f t="shared" si="197"/>
        <v>322.2418628847289</v>
      </c>
      <c r="AO289" s="98">
        <f t="shared" si="198"/>
        <v>1.5676930626935441</v>
      </c>
      <c r="AP289" s="168" t="str">
        <f t="shared" si="199"/>
        <v>-0.0899791144476634+0.0292744069276837i</v>
      </c>
      <c r="AQ289" s="98">
        <f t="shared" si="200"/>
        <v>-20.480201647551979</v>
      </c>
      <c r="AR289" s="169">
        <f t="shared" si="201"/>
        <v>161.97787410404464</v>
      </c>
      <c r="AS289" s="168" t="str">
        <f t="shared" si="202"/>
        <v>0.0831900647922924+0.0827685800795478i</v>
      </c>
      <c r="AT289" s="190">
        <f t="shared" si="203"/>
        <v>-18.610274345295544</v>
      </c>
      <c r="AU289" s="169">
        <f t="shared" si="204"/>
        <v>44.854486379622372</v>
      </c>
      <c r="AV289" s="225"/>
      <c r="AX289">
        <f t="shared" si="205"/>
        <v>0</v>
      </c>
      <c r="AY289">
        <f t="shared" si="206"/>
        <v>0</v>
      </c>
    </row>
    <row r="290" spans="14:51" x14ac:dyDescent="0.55000000000000004">
      <c r="N290" s="170">
        <v>72</v>
      </c>
      <c r="O290" s="199">
        <f t="shared" si="207"/>
        <v>5248.0746024977261</v>
      </c>
      <c r="P290" s="189" t="str">
        <f t="shared" si="173"/>
        <v>1078.86904761905</v>
      </c>
      <c r="Q290" s="160" t="str">
        <f t="shared" si="174"/>
        <v>1+1030.45703854363i</v>
      </c>
      <c r="R290" s="160">
        <f t="shared" si="182"/>
        <v>1030.4575237651031</v>
      </c>
      <c r="S290" s="160">
        <f t="shared" si="183"/>
        <v>1.5698258839247179</v>
      </c>
      <c r="T290" s="160" t="str">
        <f t="shared" si="175"/>
        <v>1+0.000659492504667922i</v>
      </c>
      <c r="U290" s="160">
        <f t="shared" si="184"/>
        <v>1.0000002174651583</v>
      </c>
      <c r="V290" s="160">
        <f t="shared" si="185"/>
        <v>6.5949240905684191E-4</v>
      </c>
      <c r="W290" s="98" t="str">
        <f t="shared" si="176"/>
        <v>1-0.476971359076028i</v>
      </c>
      <c r="X290" s="160">
        <f t="shared" si="186"/>
        <v>1.1079267472982288</v>
      </c>
      <c r="Y290" s="160">
        <f t="shared" si="187"/>
        <v>-0.44505555916921768</v>
      </c>
      <c r="Z290" s="98" t="str">
        <f t="shared" si="177"/>
        <v>0.950127139821853+0.037886959056223i</v>
      </c>
      <c r="AA290" s="160">
        <f t="shared" si="188"/>
        <v>0.95088222377568032</v>
      </c>
      <c r="AB290" s="160">
        <f t="shared" si="189"/>
        <v>3.9854558029250697E-2</v>
      </c>
      <c r="AC290" s="171" t="str">
        <f t="shared" si="190"/>
        <v>-0.566869144761618-1.08018854860101i</v>
      </c>
      <c r="AD290" s="190">
        <f t="shared" si="191"/>
        <v>1.726461039511862</v>
      </c>
      <c r="AE290" s="169">
        <f t="shared" si="192"/>
        <v>-117.68991474628665</v>
      </c>
      <c r="AF290" s="98" t="str">
        <f t="shared" si="178"/>
        <v>-9.95024875621891E-06</v>
      </c>
      <c r="AG290" s="98" t="str">
        <f t="shared" si="179"/>
        <v>0.0330075998586295i</v>
      </c>
      <c r="AH290" s="98">
        <f t="shared" si="193"/>
        <v>3.3007599858629499E-2</v>
      </c>
      <c r="AI290" s="98">
        <f t="shared" si="194"/>
        <v>1.5707963267948966</v>
      </c>
      <c r="AJ290" s="98" t="str">
        <f t="shared" si="180"/>
        <v>1+0.329416835498463i</v>
      </c>
      <c r="AK290" s="98">
        <f t="shared" si="195"/>
        <v>1.0528606040259183</v>
      </c>
      <c r="AL290" s="98">
        <f t="shared" si="196"/>
        <v>0.31822157460522216</v>
      </c>
      <c r="AM290" s="98" t="str">
        <f t="shared" si="181"/>
        <v>1+329.746252333961i</v>
      </c>
      <c r="AN290" s="98">
        <f t="shared" si="197"/>
        <v>329.7477686479354</v>
      </c>
      <c r="AO290" s="98">
        <f t="shared" si="198"/>
        <v>1.5677637011704535</v>
      </c>
      <c r="AP290" s="168" t="str">
        <f t="shared" si="199"/>
        <v>-0.0895826761474191+0.0298114949572396i</v>
      </c>
      <c r="AQ290" s="98">
        <f t="shared" si="200"/>
        <v>-20.499380354275178</v>
      </c>
      <c r="AR290" s="169">
        <f t="shared" si="201"/>
        <v>161.59349017598959</v>
      </c>
      <c r="AS290" s="168" t="str">
        <f t="shared" si="202"/>
        <v>0.0829836904826314+0.0798669642769993i</v>
      </c>
      <c r="AT290" s="190">
        <f t="shared" si="203"/>
        <v>-18.772919314763318</v>
      </c>
      <c r="AU290" s="169">
        <f t="shared" si="204"/>
        <v>43.903575429702947</v>
      </c>
      <c r="AV290" s="225"/>
      <c r="AX290">
        <f t="shared" si="205"/>
        <v>0</v>
      </c>
      <c r="AY290">
        <f t="shared" si="206"/>
        <v>0</v>
      </c>
    </row>
    <row r="291" spans="14:51" x14ac:dyDescent="0.55000000000000004">
      <c r="N291" s="170">
        <v>73</v>
      </c>
      <c r="O291" s="199">
        <f t="shared" si="207"/>
        <v>5370.3179637025269</v>
      </c>
      <c r="P291" s="189" t="str">
        <f t="shared" si="173"/>
        <v>1078.86904761905</v>
      </c>
      <c r="Q291" s="160" t="str">
        <f t="shared" si="174"/>
        <v>1+1054.45946638807i</v>
      </c>
      <c r="R291" s="160">
        <f t="shared" si="182"/>
        <v>1054.4599405645592</v>
      </c>
      <c r="S291" s="160">
        <f t="shared" si="183"/>
        <v>1.5698479738879478</v>
      </c>
      <c r="T291" s="160" t="str">
        <f t="shared" si="175"/>
        <v>1+0.000674854058488366i</v>
      </c>
      <c r="U291" s="160">
        <f t="shared" si="184"/>
        <v>1.0000002277139741</v>
      </c>
      <c r="V291" s="160">
        <f t="shared" si="185"/>
        <v>6.7485395603924918E-4</v>
      </c>
      <c r="W291" s="98" t="str">
        <f t="shared" si="176"/>
        <v>1-0.488081449261126i</v>
      </c>
      <c r="X291" s="160">
        <f t="shared" si="186"/>
        <v>1.1127549151151124</v>
      </c>
      <c r="Y291" s="160">
        <f t="shared" si="187"/>
        <v>-0.45406738717213319</v>
      </c>
      <c r="Z291" s="98" t="str">
        <f t="shared" si="177"/>
        <v>0.947776704334511+0.0387694597010608i</v>
      </c>
      <c r="AA291" s="160">
        <f t="shared" si="188"/>
        <v>0.94856931865030247</v>
      </c>
      <c r="AB291" s="160">
        <f t="shared" si="189"/>
        <v>4.0882897008038731E-2</v>
      </c>
      <c r="AC291" s="171" t="str">
        <f t="shared" si="190"/>
        <v>-0.568385733247372-1.05712866057573i</v>
      </c>
      <c r="AD291" s="190">
        <f t="shared" si="191"/>
        <v>1.5853838999933423</v>
      </c>
      <c r="AE291" s="169">
        <f t="shared" si="192"/>
        <v>-118.26555944979872</v>
      </c>
      <c r="AF291" s="98" t="str">
        <f t="shared" si="178"/>
        <v>-9.95024875621891E-06</v>
      </c>
      <c r="AG291" s="98" t="str">
        <f t="shared" si="179"/>
        <v>0.0337764456273427i</v>
      </c>
      <c r="AH291" s="98">
        <f t="shared" si="193"/>
        <v>3.3776445627342701E-2</v>
      </c>
      <c r="AI291" s="98">
        <f t="shared" si="194"/>
        <v>1.5707963267948966</v>
      </c>
      <c r="AJ291" s="98" t="str">
        <f t="shared" si="180"/>
        <v>1+0.337089939304878i</v>
      </c>
      <c r="AK291" s="98">
        <f t="shared" si="195"/>
        <v>1.0552865142607322</v>
      </c>
      <c r="AL291" s="98">
        <f t="shared" si="196"/>
        <v>0.32512768095767181</v>
      </c>
      <c r="AM291" s="98" t="str">
        <f t="shared" si="181"/>
        <v>1+337.427029244183i</v>
      </c>
      <c r="AN291" s="98">
        <f t="shared" si="197"/>
        <v>337.42851104279072</v>
      </c>
      <c r="AO291" s="98">
        <f t="shared" si="198"/>
        <v>1.5678327317485652</v>
      </c>
      <c r="AP291" s="168" t="str">
        <f t="shared" si="199"/>
        <v>-0.0891712812530202+0.0303533331365226i</v>
      </c>
      <c r="AQ291" s="98">
        <f t="shared" si="200"/>
        <v>-20.519372405629571</v>
      </c>
      <c r="AR291" s="169">
        <f t="shared" si="201"/>
        <v>161.20175458990877</v>
      </c>
      <c r="AS291" s="168" t="str">
        <f t="shared" si="202"/>
        <v>0.0827710624822266+0.0770131156015228i</v>
      </c>
      <c r="AT291" s="190">
        <f t="shared" si="203"/>
        <v>-18.933988505636229</v>
      </c>
      <c r="AU291" s="169">
        <f t="shared" si="204"/>
        <v>42.93619514011003</v>
      </c>
      <c r="AV291" s="225"/>
      <c r="AX291">
        <f t="shared" si="205"/>
        <v>0</v>
      </c>
      <c r="AY291">
        <f t="shared" si="206"/>
        <v>0</v>
      </c>
    </row>
    <row r="292" spans="14:51" x14ac:dyDescent="0.55000000000000004">
      <c r="N292" s="170">
        <v>74</v>
      </c>
      <c r="O292" s="199">
        <f t="shared" si="207"/>
        <v>5495.4087385762541</v>
      </c>
      <c r="P292" s="189" t="str">
        <f t="shared" si="173"/>
        <v>1078.86904761905</v>
      </c>
      <c r="Q292" s="160" t="str">
        <f t="shared" si="174"/>
        <v>1+1079.02098259902i</v>
      </c>
      <c r="R292" s="160">
        <f t="shared" si="182"/>
        <v>1079.021445981939</v>
      </c>
      <c r="S292" s="160">
        <f t="shared" si="183"/>
        <v>1.5698695610231199</v>
      </c>
      <c r="T292" s="160" t="str">
        <f t="shared" si="175"/>
        <v>1+0.000690573428863372i</v>
      </c>
      <c r="U292" s="160">
        <f t="shared" si="184"/>
        <v>1.0000002384458018</v>
      </c>
      <c r="V292" s="160">
        <f t="shared" si="185"/>
        <v>6.9057331908716694E-4</v>
      </c>
      <c r="W292" s="98" t="str">
        <f t="shared" si="176"/>
        <v>1-0.499450326691145i</v>
      </c>
      <c r="X292" s="160">
        <f t="shared" si="186"/>
        <v>1.1177882754940183</v>
      </c>
      <c r="Y292" s="160">
        <f t="shared" si="187"/>
        <v>-0.46320777367578325</v>
      </c>
      <c r="Z292" s="98" t="str">
        <f t="shared" si="177"/>
        <v>0.945315496235364+0.0396725164266067i</v>
      </c>
      <c r="AA292" s="160">
        <f t="shared" si="188"/>
        <v>0.94614760792507002</v>
      </c>
      <c r="AB292" s="160">
        <f t="shared" si="189"/>
        <v>4.194287497564668E-2</v>
      </c>
      <c r="AC292" s="171" t="str">
        <f t="shared" si="190"/>
        <v>-0.56997750173421-1.03463121203582i</v>
      </c>
      <c r="AD292" s="190">
        <f t="shared" si="191"/>
        <v>1.4467882959251015</v>
      </c>
      <c r="AE292" s="169">
        <f t="shared" si="192"/>
        <v>-118.8503334820749</v>
      </c>
      <c r="AF292" s="98" t="str">
        <f t="shared" si="178"/>
        <v>-9.95024875621891E-06</v>
      </c>
      <c r="AG292" s="98" t="str">
        <f t="shared" si="179"/>
        <v>0.0345632001146118i</v>
      </c>
      <c r="AH292" s="98">
        <f t="shared" si="193"/>
        <v>3.4563200114611801E-2</v>
      </c>
      <c r="AI292" s="98">
        <f t="shared" si="194"/>
        <v>1.5707963267948966</v>
      </c>
      <c r="AJ292" s="98" t="str">
        <f t="shared" si="180"/>
        <v>1+0.344941772659027i</v>
      </c>
      <c r="AK292" s="98">
        <f t="shared" si="195"/>
        <v>1.0578207913087887</v>
      </c>
      <c r="AL292" s="98">
        <f t="shared" si="196"/>
        <v>0.3321615158177787</v>
      </c>
      <c r="AM292" s="98" t="str">
        <f t="shared" si="181"/>
        <v>1+345.286714431686i</v>
      </c>
      <c r="AN292" s="98">
        <f t="shared" si="197"/>
        <v>345.28816250058253</v>
      </c>
      <c r="AO292" s="98">
        <f t="shared" si="198"/>
        <v>1.5679001910261721</v>
      </c>
      <c r="AP292" s="168" t="str">
        <f t="shared" si="199"/>
        <v>-0.0887445283823803+0.0308995805673756i</v>
      </c>
      <c r="AQ292" s="98">
        <f t="shared" si="200"/>
        <v>-20.540208332964717</v>
      </c>
      <c r="AR292" s="169">
        <f t="shared" si="201"/>
        <v>160.80261067052851</v>
      </c>
      <c r="AS292" s="168" t="str">
        <f t="shared" si="202"/>
        <v>0.0825520550737921+0.0742057932253817i</v>
      </c>
      <c r="AT292" s="190">
        <f t="shared" si="203"/>
        <v>-19.093420037039614</v>
      </c>
      <c r="AU292" s="169">
        <f t="shared" si="204"/>
        <v>41.952277188453657</v>
      </c>
      <c r="AV292" s="225"/>
      <c r="AX292">
        <f t="shared" si="205"/>
        <v>0</v>
      </c>
      <c r="AY292">
        <f t="shared" si="206"/>
        <v>0</v>
      </c>
    </row>
    <row r="293" spans="14:51" x14ac:dyDescent="0.55000000000000004">
      <c r="N293" s="170">
        <v>75</v>
      </c>
      <c r="O293" s="199">
        <f t="shared" si="207"/>
        <v>5623.4132519034993</v>
      </c>
      <c r="P293" s="189" t="str">
        <f t="shared" si="173"/>
        <v>1078.86904761905</v>
      </c>
      <c r="Q293" s="160" t="str">
        <f t="shared" si="174"/>
        <v>1+1104.15461001747i</v>
      </c>
      <c r="R293" s="160">
        <f t="shared" si="182"/>
        <v>1104.1550628525104</v>
      </c>
      <c r="S293" s="160">
        <f t="shared" si="183"/>
        <v>1.5698906567759385</v>
      </c>
      <c r="T293" s="160" t="str">
        <f t="shared" si="175"/>
        <v>1+0.00070665895041118i</v>
      </c>
      <c r="U293" s="160">
        <f t="shared" si="184"/>
        <v>1.0000002496834051</v>
      </c>
      <c r="V293" s="160">
        <f t="shared" si="185"/>
        <v>7.0665883278385867E-4</v>
      </c>
      <c r="W293" s="98" t="str">
        <f t="shared" si="176"/>
        <v>1-0.511084019295382i</v>
      </c>
      <c r="X293" s="160">
        <f t="shared" si="186"/>
        <v>1.1230346721179727</v>
      </c>
      <c r="Y293" s="160">
        <f t="shared" si="187"/>
        <v>-0.47247545488700887</v>
      </c>
      <c r="Z293" s="98" t="str">
        <f t="shared" si="177"/>
        <v>0.942738294972052+0.0405966080454897i</v>
      </c>
      <c r="AA293" s="160">
        <f t="shared" si="188"/>
        <v>0.94361198455276674</v>
      </c>
      <c r="AB293" s="160">
        <f t="shared" si="189"/>
        <v>4.3035848217430825E-2</v>
      </c>
      <c r="AC293" s="171" t="str">
        <f t="shared" si="190"/>
        <v>-0.57164901382148-1.012684378694i</v>
      </c>
      <c r="AD293" s="190">
        <f t="shared" si="191"/>
        <v>1.3107698080274424</v>
      </c>
      <c r="AE293" s="169">
        <f t="shared" si="192"/>
        <v>-119.44424232078167</v>
      </c>
      <c r="AF293" s="98" t="str">
        <f t="shared" si="178"/>
        <v>-9.95024875621891E-06</v>
      </c>
      <c r="AG293" s="98" t="str">
        <f t="shared" si="179"/>
        <v>0.0353682804680796i</v>
      </c>
      <c r="AH293" s="98">
        <f t="shared" si="193"/>
        <v>3.5368280468079598E-2</v>
      </c>
      <c r="AI293" s="98">
        <f t="shared" si="194"/>
        <v>1.5707963267948966</v>
      </c>
      <c r="AJ293" s="98" t="str">
        <f t="shared" si="180"/>
        <v>1+0.352976498706883i</v>
      </c>
      <c r="AK293" s="98">
        <f t="shared" si="195"/>
        <v>1.0604680139633491</v>
      </c>
      <c r="AL293" s="98">
        <f t="shared" si="196"/>
        <v>0.33932402372519044</v>
      </c>
      <c r="AM293" s="98" t="str">
        <f t="shared" si="181"/>
        <v>1+353.32947520559i</v>
      </c>
      <c r="AN293" s="98">
        <f t="shared" si="197"/>
        <v>353.33089031254769</v>
      </c>
      <c r="AO293" s="98">
        <f t="shared" si="198"/>
        <v>1.567966114768619</v>
      </c>
      <c r="AP293" s="168" t="str">
        <f t="shared" si="199"/>
        <v>-0.0883020194108909+0.0314498701967092i</v>
      </c>
      <c r="AQ293" s="98">
        <f t="shared" si="200"/>
        <v>-20.561919472805087</v>
      </c>
      <c r="AR293" s="169">
        <f t="shared" si="201"/>
        <v>160.39600634891664</v>
      </c>
      <c r="AS293" s="168" t="str">
        <f t="shared" si="202"/>
        <v>0.0823265545748424+0.0714437883817812i</v>
      </c>
      <c r="AT293" s="190">
        <f t="shared" si="203"/>
        <v>-19.251149664777646</v>
      </c>
      <c r="AU293" s="169">
        <f t="shared" si="204"/>
        <v>40.951764028134974</v>
      </c>
      <c r="AV293" s="225"/>
      <c r="AX293">
        <f t="shared" si="205"/>
        <v>0</v>
      </c>
      <c r="AY293">
        <f t="shared" si="206"/>
        <v>0</v>
      </c>
    </row>
    <row r="294" spans="14:51" x14ac:dyDescent="0.55000000000000004">
      <c r="N294" s="170">
        <v>76</v>
      </c>
      <c r="O294" s="199">
        <f t="shared" si="207"/>
        <v>5754.399373371567</v>
      </c>
      <c r="P294" s="189" t="str">
        <f t="shared" si="173"/>
        <v>1078.86904761905</v>
      </c>
      <c r="Q294" s="160" t="str">
        <f t="shared" si="174"/>
        <v>1+1129.87367482536i</v>
      </c>
      <c r="R294" s="160">
        <f t="shared" si="182"/>
        <v>1129.8741173526205</v>
      </c>
      <c r="S294" s="160">
        <f t="shared" si="183"/>
        <v>1.5699112723315758</v>
      </c>
      <c r="T294" s="160" t="str">
        <f t="shared" si="175"/>
        <v>1+0.000723119151888232i</v>
      </c>
      <c r="U294" s="160">
        <f t="shared" si="184"/>
        <v>1.0000002614506198</v>
      </c>
      <c r="V294" s="160">
        <f t="shared" si="185"/>
        <v>7.2311902584828807E-4</v>
      </c>
      <c r="W294" s="98" t="str">
        <f t="shared" si="176"/>
        <v>1-0.522988695411645i</v>
      </c>
      <c r="X294" s="160">
        <f t="shared" si="186"/>
        <v>1.1285021823321275</v>
      </c>
      <c r="Y294" s="160">
        <f t="shared" si="187"/>
        <v>-0.48186897572776194</v>
      </c>
      <c r="Z294" s="98" t="str">
        <f t="shared" si="177"/>
        <v>0.940039633955167+0.041542224523318i</v>
      </c>
      <c r="AA294" s="160">
        <f t="shared" si="188"/>
        <v>0.94095710307373215</v>
      </c>
      <c r="AB294" s="160">
        <f t="shared" si="189"/>
        <v>4.416325824799245E-2</v>
      </c>
      <c r="AC294" s="171" t="str">
        <f t="shared" si="190"/>
        <v>-0.573405130432397-0.991276630347212i</v>
      </c>
      <c r="AD294" s="190">
        <f t="shared" si="191"/>
        <v>1.1774273039828569</v>
      </c>
      <c r="AE294" s="169">
        <f t="shared" si="192"/>
        <v>-120.04728534099472</v>
      </c>
      <c r="AF294" s="98" t="str">
        <f t="shared" si="178"/>
        <v>-9.95024875621891E-06</v>
      </c>
      <c r="AG294" s="98" t="str">
        <f t="shared" si="179"/>
        <v>0.0361921135520061i</v>
      </c>
      <c r="AH294" s="98">
        <f t="shared" si="193"/>
        <v>3.6192113552006099E-2</v>
      </c>
      <c r="AI294" s="98">
        <f t="shared" si="194"/>
        <v>1.5707963267948966</v>
      </c>
      <c r="AJ294" s="98" t="str">
        <f t="shared" si="180"/>
        <v>1+0.361198377566549i</v>
      </c>
      <c r="AK294" s="98">
        <f t="shared" si="195"/>
        <v>1.0632329321257443</v>
      </c>
      <c r="AL294" s="98">
        <f t="shared" si="196"/>
        <v>0.34661606182181037</v>
      </c>
      <c r="AM294" s="98" t="str">
        <f t="shared" si="181"/>
        <v>1+361.559575944116i</v>
      </c>
      <c r="AN294" s="98">
        <f t="shared" si="197"/>
        <v>361.56095883943135</v>
      </c>
      <c r="AO294" s="98">
        <f t="shared" si="198"/>
        <v>1.5680305379272534</v>
      </c>
      <c r="AP294" s="168" t="str">
        <f t="shared" si="199"/>
        <v>-0.0878433609197607+0.0320038080896988i</v>
      </c>
      <c r="AQ294" s="98">
        <f t="shared" si="200"/>
        <v>-20.584537958855922</v>
      </c>
      <c r="AR294" s="169">
        <f t="shared" si="201"/>
        <v>159.98189451702447</v>
      </c>
      <c r="AS294" s="168" t="str">
        <f t="shared" si="202"/>
        <v>0.082094460867251+0.0687259230589072i</v>
      </c>
      <c r="AT294" s="190">
        <f t="shared" si="203"/>
        <v>-19.407110654873062</v>
      </c>
      <c r="AU294" s="169">
        <f t="shared" si="204"/>
        <v>39.934609176029738</v>
      </c>
      <c r="AV294" s="225"/>
      <c r="AX294">
        <f t="shared" si="205"/>
        <v>0</v>
      </c>
      <c r="AY294">
        <f t="shared" si="206"/>
        <v>0</v>
      </c>
    </row>
    <row r="295" spans="14:51" x14ac:dyDescent="0.55000000000000004">
      <c r="N295" s="170">
        <v>77</v>
      </c>
      <c r="O295" s="199">
        <f t="shared" si="207"/>
        <v>5888.4365535558973</v>
      </c>
      <c r="P295" s="189" t="str">
        <f t="shared" si="173"/>
        <v>1078.86904761905</v>
      </c>
      <c r="Q295" s="160" t="str">
        <f t="shared" si="174"/>
        <v>1+1156.1918136113i</v>
      </c>
      <c r="R295" s="160">
        <f t="shared" si="182"/>
        <v>1156.1922460654141</v>
      </c>
      <c r="S295" s="160">
        <f t="shared" si="183"/>
        <v>1.5699314186206024</v>
      </c>
      <c r="T295" s="160" t="str">
        <f t="shared" si="175"/>
        <v>1+0.000739962760711232i</v>
      </c>
      <c r="U295" s="160">
        <f t="shared" si="184"/>
        <v>1.0000002737724061</v>
      </c>
      <c r="V295" s="160">
        <f t="shared" si="185"/>
        <v>7.3996262565700097E-4</v>
      </c>
      <c r="W295" s="98" t="str">
        <f t="shared" si="176"/>
        <v>1-0.535170667056792i</v>
      </c>
      <c r="X295" s="160">
        <f t="shared" si="186"/>
        <v>1.1341991195896828</v>
      </c>
      <c r="Y295" s="160">
        <f t="shared" si="187"/>
        <v>-0.49138668494290771</v>
      </c>
      <c r="Z295" s="98" t="str">
        <f t="shared" si="177"/>
        <v>0.937213788962873+0.0425098672384651i</v>
      </c>
      <c r="AA295" s="160">
        <f t="shared" si="188"/>
        <v>0.93817736864346524</v>
      </c>
      <c r="AB295" s="160">
        <f t="shared" si="189"/>
        <v>4.5326638934460574E-2</v>
      </c>
      <c r="AC295" s="171" t="str">
        <f t="shared" si="190"/>
        <v>-0.575251034714171-0.970396724070868i</v>
      </c>
      <c r="AD295" s="190">
        <f t="shared" si="191"/>
        <v>1.0468630676199293</v>
      </c>
      <c r="AE295" s="169">
        <f t="shared" si="192"/>
        <v>-120.65945594311017</v>
      </c>
      <c r="AF295" s="98" t="str">
        <f t="shared" si="178"/>
        <v>-9.95024875621891E-06</v>
      </c>
      <c r="AG295" s="98" t="str">
        <f t="shared" si="179"/>
        <v>0.0370351361735972i</v>
      </c>
      <c r="AH295" s="98">
        <f t="shared" si="193"/>
        <v>3.7035136173597202E-2</v>
      </c>
      <c r="AI295" s="98">
        <f t="shared" si="194"/>
        <v>1.5707963267948966</v>
      </c>
      <c r="AJ295" s="98" t="str">
        <f t="shared" si="180"/>
        <v>1+0.369611768587029i</v>
      </c>
      <c r="AK295" s="98">
        <f t="shared" si="195"/>
        <v>1.0661204713718011</v>
      </c>
      <c r="AL295" s="98">
        <f t="shared" si="196"/>
        <v>0.35403839352177158</v>
      </c>
      <c r="AM295" s="98" t="str">
        <f t="shared" si="181"/>
        <v>1+369.981380355616i</v>
      </c>
      <c r="AN295" s="98">
        <f t="shared" si="197"/>
        <v>369.98273177250718</v>
      </c>
      <c r="AO295" s="98">
        <f t="shared" si="198"/>
        <v>1.5680934946579466</v>
      </c>
      <c r="AP295" s="168" t="str">
        <f t="shared" si="199"/>
        <v>-0.0873681657469701+0.0325609727654206i</v>
      </c>
      <c r="AQ295" s="98">
        <f t="shared" si="200"/>
        <v>-20.608096710988274</v>
      </c>
      <c r="AR295" s="169">
        <f t="shared" si="201"/>
        <v>159.56023339143115</v>
      </c>
      <c r="AS295" s="168" t="str">
        <f t="shared" si="202"/>
        <v>0.0818556890511487+0.0660510485543323i</v>
      </c>
      <c r="AT295" s="190">
        <f t="shared" si="203"/>
        <v>-19.56123364336834</v>
      </c>
      <c r="AU295" s="169">
        <f t="shared" si="204"/>
        <v>38.900777448320994</v>
      </c>
      <c r="AV295" s="225"/>
      <c r="AX295">
        <f t="shared" si="205"/>
        <v>0</v>
      </c>
      <c r="AY295">
        <f t="shared" si="206"/>
        <v>0</v>
      </c>
    </row>
    <row r="296" spans="14:51" x14ac:dyDescent="0.55000000000000004">
      <c r="N296" s="170">
        <v>78</v>
      </c>
      <c r="O296" s="199">
        <f t="shared" si="207"/>
        <v>6025.595860743585</v>
      </c>
      <c r="P296" s="189" t="str">
        <f t="shared" si="173"/>
        <v>1078.86904761905</v>
      </c>
      <c r="Q296" s="160" t="str">
        <f t="shared" si="174"/>
        <v>1+1183.12298060082i</v>
      </c>
      <c r="R296" s="160">
        <f t="shared" si="182"/>
        <v>1183.1234032110804</v>
      </c>
      <c r="S296" s="160">
        <f t="shared" si="183"/>
        <v>1.5699511063247815</v>
      </c>
      <c r="T296" s="160" t="str">
        <f t="shared" si="175"/>
        <v>1+0.000757198707584524i</v>
      </c>
      <c r="U296" s="160">
        <f t="shared" si="184"/>
        <v>1.0000002866749003</v>
      </c>
      <c r="V296" s="160">
        <f t="shared" si="185"/>
        <v>7.5719856287131038E-4</v>
      </c>
      <c r="W296" s="98" t="str">
        <f t="shared" si="176"/>
        <v>1-0.547636393273431i</v>
      </c>
      <c r="X296" s="160">
        <f t="shared" si="186"/>
        <v>1.1401340356456042</v>
      </c>
      <c r="Y296" s="160">
        <f t="shared" si="187"/>
        <v>-0.50102673068092995</v>
      </c>
      <c r="Z296" s="98" t="str">
        <f t="shared" si="177"/>
        <v>0.934254765999076+0.0435000492479065i</v>
      </c>
      <c r="AA296" s="160">
        <f t="shared" si="188"/>
        <v>0.93526692557609359</v>
      </c>
      <c r="AB296" s="160">
        <f t="shared" si="189"/>
        <v>4.6527624343689997E-2</v>
      </c>
      <c r="AC296" s="171" t="str">
        <f t="shared" si="190"/>
        <v>-0.577192259403484-0.950033697369881i</v>
      </c>
      <c r="AD296" s="190">
        <f t="shared" si="191"/>
        <v>0.91918294045531879</v>
      </c>
      <c r="AE296" s="169">
        <f t="shared" si="192"/>
        <v>-121.2807417493171</v>
      </c>
      <c r="AF296" s="98" t="str">
        <f t="shared" si="178"/>
        <v>-9.95024875621891E-06</v>
      </c>
      <c r="AG296" s="98" t="str">
        <f t="shared" si="179"/>
        <v>0.0378977953146055i</v>
      </c>
      <c r="AH296" s="98">
        <f t="shared" si="193"/>
        <v>3.7897795314605499E-2</v>
      </c>
      <c r="AI296" s="98">
        <f t="shared" si="194"/>
        <v>1.5707963267948966</v>
      </c>
      <c r="AJ296" s="98" t="str">
        <f t="shared" si="180"/>
        <v>1+0.378221132659602i</v>
      </c>
      <c r="AK296" s="98">
        <f t="shared" si="195"/>
        <v>1.0691357374956241</v>
      </c>
      <c r="AL296" s="98">
        <f t="shared" si="196"/>
        <v>0.36159168203602265</v>
      </c>
      <c r="AM296" s="98" t="str">
        <f t="shared" si="181"/>
        <v>1+378.599353792262i</v>
      </c>
      <c r="AN296" s="98">
        <f t="shared" si="197"/>
        <v>378.60067444725763</v>
      </c>
      <c r="AO296" s="98">
        <f t="shared" si="198"/>
        <v>1.5681550183391928</v>
      </c>
      <c r="AP296" s="168" t="str">
        <f t="shared" si="199"/>
        <v>-0.0868760546409289+0.0331209146054159i</v>
      </c>
      <c r="AQ296" s="98">
        <f t="shared" si="200"/>
        <v>-20.632629420996903</v>
      </c>
      <c r="AR296" s="169">
        <f t="shared" si="201"/>
        <v>159.13098688539552</v>
      </c>
      <c r="AS296" s="168" t="str">
        <f t="shared" si="202"/>
        <v>0.0816101712291136+0.0634180438688196i</v>
      </c>
      <c r="AT296" s="190">
        <f t="shared" si="203"/>
        <v>-19.713446480541588</v>
      </c>
      <c r="AU296" s="169">
        <f t="shared" si="204"/>
        <v>37.850245136078392</v>
      </c>
      <c r="AV296" s="225"/>
      <c r="AX296">
        <f t="shared" si="205"/>
        <v>0</v>
      </c>
      <c r="AY296">
        <f t="shared" si="206"/>
        <v>0</v>
      </c>
    </row>
    <row r="297" spans="14:51" x14ac:dyDescent="0.55000000000000004">
      <c r="N297" s="170">
        <v>79</v>
      </c>
      <c r="O297" s="199">
        <f t="shared" si="207"/>
        <v>6165.9500186148289</v>
      </c>
      <c r="P297" s="189" t="str">
        <f t="shared" si="173"/>
        <v>1078.86904761905</v>
      </c>
      <c r="Q297" s="160" t="str">
        <f t="shared" si="174"/>
        <v>1+1210.68145505514i</v>
      </c>
      <c r="R297" s="160">
        <f t="shared" si="182"/>
        <v>1210.6818680456197</v>
      </c>
      <c r="S297" s="160">
        <f t="shared" si="183"/>
        <v>1.5699703458827337</v>
      </c>
      <c r="T297" s="160" t="str">
        <f t="shared" si="175"/>
        <v>1+0.000774836131235288i</v>
      </c>
      <c r="U297" s="160">
        <f t="shared" si="184"/>
        <v>1.00000030018547</v>
      </c>
      <c r="V297" s="160">
        <f t="shared" si="185"/>
        <v>7.7483597617228838E-4</v>
      </c>
      <c r="W297" s="98" t="str">
        <f t="shared" si="176"/>
        <v>1-0.56039248355461i</v>
      </c>
      <c r="X297" s="160">
        <f t="shared" si="186"/>
        <v>1.1463157224885752</v>
      </c>
      <c r="Y297" s="160">
        <f t="shared" si="187"/>
        <v>-0.51078705660298296</v>
      </c>
      <c r="Z297" s="98" t="str">
        <f t="shared" si="177"/>
        <v>0.931156288579346+0.0445132955592505i</v>
      </c>
      <c r="AA297" s="160">
        <f t="shared" si="188"/>
        <v>0.93221964538536062</v>
      </c>
      <c r="AB297" s="160">
        <f t="shared" si="189"/>
        <v>4.7767957399795072E-2</v>
      </c>
      <c r="AC297" s="171" t="str">
        <f t="shared" si="190"/>
        <v>-0.579234716952759-0.930176861241842i</v>
      </c>
      <c r="AD297" s="190">
        <f t="shared" si="191"/>
        <v>0.79449647745548468</v>
      </c>
      <c r="AE297" s="169">
        <f t="shared" si="192"/>
        <v>-121.91112487675493</v>
      </c>
      <c r="AF297" s="98" t="str">
        <f t="shared" si="178"/>
        <v>-9.95024875621891E-06</v>
      </c>
      <c r="AG297" s="98" t="str">
        <f t="shared" si="179"/>
        <v>0.0387805483683262i</v>
      </c>
      <c r="AH297" s="98">
        <f t="shared" si="193"/>
        <v>3.8780548368326201E-2</v>
      </c>
      <c r="AI297" s="98">
        <f t="shared" si="194"/>
        <v>1.5707963267948966</v>
      </c>
      <c r="AJ297" s="98" t="str">
        <f t="shared" si="180"/>
        <v>1+0.387031034583061i</v>
      </c>
      <c r="AK297" s="98">
        <f t="shared" si="195"/>
        <v>1.0722840210179552</v>
      </c>
      <c r="AL297" s="98">
        <f t="shared" si="196"/>
        <v>0.36927648376972955</v>
      </c>
      <c r="AM297" s="98" t="str">
        <f t="shared" si="181"/>
        <v>1+387.418065617644i</v>
      </c>
      <c r="AN297" s="98">
        <f t="shared" si="197"/>
        <v>387.41935621096314</v>
      </c>
      <c r="AO297" s="98">
        <f t="shared" si="198"/>
        <v>1.5682151415897985</v>
      </c>
      <c r="AP297" s="168" t="str">
        <f t="shared" si="199"/>
        <v>-0.0863666580160336+0.0336831553462413i</v>
      </c>
      <c r="AQ297" s="98">
        <f t="shared" si="200"/>
        <v>-20.658170534924167</v>
      </c>
      <c r="AR297" s="169">
        <f t="shared" si="201"/>
        <v>158.69412498816953</v>
      </c>
      <c r="AS297" s="168" t="str">
        <f t="shared" si="202"/>
        <v>0.081357858426761+0.0608258139162458i</v>
      </c>
      <c r="AT297" s="190">
        <f t="shared" si="203"/>
        <v>-19.863674057468685</v>
      </c>
      <c r="AU297" s="169">
        <f t="shared" si="204"/>
        <v>36.783000111414637</v>
      </c>
      <c r="AV297" s="225"/>
      <c r="AX297">
        <f t="shared" si="205"/>
        <v>0</v>
      </c>
      <c r="AY297">
        <f t="shared" si="206"/>
        <v>0</v>
      </c>
    </row>
    <row r="298" spans="14:51" x14ac:dyDescent="0.55000000000000004">
      <c r="N298" s="170">
        <v>80</v>
      </c>
      <c r="O298" s="199">
        <f t="shared" si="207"/>
        <v>6309.5734448019384</v>
      </c>
      <c r="P298" s="189" t="str">
        <f t="shared" si="173"/>
        <v>1078.86904761905</v>
      </c>
      <c r="Q298" s="160" t="str">
        <f t="shared" si="174"/>
        <v>1+1238.88184884219i</v>
      </c>
      <c r="R298" s="160">
        <f t="shared" si="182"/>
        <v>1238.8822524318616</v>
      </c>
      <c r="S298" s="160">
        <f t="shared" si="183"/>
        <v>1.5699891474954701</v>
      </c>
      <c r="T298" s="160" t="str">
        <f t="shared" si="175"/>
        <v>1+0.000792884383259i</v>
      </c>
      <c r="U298" s="160">
        <f t="shared" si="184"/>
        <v>1.0000003143327734</v>
      </c>
      <c r="V298" s="160">
        <f t="shared" si="185"/>
        <v>7.9288421710600526E-4</v>
      </c>
      <c r="W298" s="98" t="str">
        <f t="shared" si="176"/>
        <v>1-0.573445701348239i</v>
      </c>
      <c r="X298" s="160">
        <f t="shared" si="186"/>
        <v>1.1527532140032288</v>
      </c>
      <c r="Y298" s="160">
        <f t="shared" si="187"/>
        <v>-0.52066539857555882</v>
      </c>
      <c r="Z298" s="98" t="str">
        <f t="shared" si="177"/>
        <v>0.927911784417655+0.045550143409103i</v>
      </c>
      <c r="AA298" s="160">
        <f t="shared" si="188"/>
        <v>0.92902911430468449</v>
      </c>
      <c r="AB298" s="160">
        <f t="shared" si="189"/>
        <v>4.90494994503776E-2</v>
      </c>
      <c r="AC298" s="171" t="str">
        <f t="shared" si="190"/>
        <v>-0.581384732753656-0.910815793099456i</v>
      </c>
      <c r="AD298" s="190">
        <f t="shared" si="191"/>
        <v>0.67291711912805274</v>
      </c>
      <c r="AE298" s="169">
        <f t="shared" si="192"/>
        <v>-122.55058229616208</v>
      </c>
      <c r="AF298" s="98" t="str">
        <f t="shared" si="178"/>
        <v>-9.95024875621891E-06</v>
      </c>
      <c r="AG298" s="98" t="str">
        <f t="shared" si="179"/>
        <v>0.039683863382113i</v>
      </c>
      <c r="AH298" s="98">
        <f t="shared" si="193"/>
        <v>3.9683863382113001E-2</v>
      </c>
      <c r="AI298" s="98">
        <f t="shared" si="194"/>
        <v>1.5707963267948966</v>
      </c>
      <c r="AJ298" s="98" t="str">
        <f t="shared" si="180"/>
        <v>1+0.396046145484016i</v>
      </c>
      <c r="AK298" s="98">
        <f t="shared" si="195"/>
        <v>1.0755708016456873</v>
      </c>
      <c r="AL298" s="98">
        <f t="shared" si="196"/>
        <v>0.37709324161323837</v>
      </c>
      <c r="AM298" s="98" t="str">
        <f t="shared" si="181"/>
        <v>1+396.4421916295i</v>
      </c>
      <c r="AN298" s="98">
        <f t="shared" si="197"/>
        <v>396.44345284542305</v>
      </c>
      <c r="AO298" s="98">
        <f t="shared" si="198"/>
        <v>1.5682738962861671</v>
      </c>
      <c r="AP298" s="168" t="str">
        <f t="shared" si="199"/>
        <v>-0.0858396178083148+0.034247187667539i</v>
      </c>
      <c r="AQ298" s="98">
        <f t="shared" si="200"/>
        <v>-20.68475523174698</v>
      </c>
      <c r="AR298" s="169">
        <f t="shared" si="201"/>
        <v>158.24962415038925</v>
      </c>
      <c r="AS298" s="168" t="str">
        <f t="shared" si="202"/>
        <v>0.0810987226559985+0.058273287523778i</v>
      </c>
      <c r="AT298" s="190">
        <f t="shared" si="203"/>
        <v>-20.011838112618925</v>
      </c>
      <c r="AU298" s="169">
        <f t="shared" si="204"/>
        <v>35.69904185422719</v>
      </c>
      <c r="AV298" s="225"/>
      <c r="AX298">
        <f t="shared" si="205"/>
        <v>0</v>
      </c>
      <c r="AY298">
        <f t="shared" si="206"/>
        <v>0</v>
      </c>
    </row>
    <row r="299" spans="14:51" x14ac:dyDescent="0.55000000000000004">
      <c r="N299" s="170">
        <v>81</v>
      </c>
      <c r="O299" s="199">
        <f t="shared" si="207"/>
        <v>6456.5422903465615</v>
      </c>
      <c r="P299" s="189" t="str">
        <f t="shared" si="173"/>
        <v>1078.86904761905</v>
      </c>
      <c r="Q299" s="160" t="str">
        <f t="shared" si="174"/>
        <v>1+1267.73911418404i</v>
      </c>
      <c r="R299" s="160">
        <f t="shared" si="182"/>
        <v>1267.739508586892</v>
      </c>
      <c r="S299" s="160">
        <f t="shared" si="183"/>
        <v>1.5700075211318019</v>
      </c>
      <c r="T299" s="160" t="str">
        <f t="shared" si="175"/>
        <v>1+0.000811353033077784i</v>
      </c>
      <c r="U299" s="160">
        <f t="shared" si="184"/>
        <v>1.000000329146818</v>
      </c>
      <c r="V299" s="160">
        <f t="shared" si="185"/>
        <v>8.1135285504164566E-4</v>
      </c>
      <c r="W299" s="98" t="str">
        <f t="shared" si="176"/>
        <v>1-0.586802967643177i</v>
      </c>
      <c r="X299" s="160">
        <f t="shared" si="186"/>
        <v>1.1594557873566544</v>
      </c>
      <c r="Y299" s="160">
        <f t="shared" si="187"/>
        <v>-0.53065928200147128</v>
      </c>
      <c r="Z299" s="98" t="str">
        <f t="shared" si="177"/>
        <v>0.924514371485679+0.0466111425479186i</v>
      </c>
      <c r="AA299" s="160">
        <f t="shared" si="188"/>
        <v>0.92568862026773469</v>
      </c>
      <c r="AB299" s="160">
        <f t="shared" si="189"/>
        <v>5.0374240853657118E-2</v>
      </c>
      <c r="AC299" s="171" t="str">
        <f t="shared" si="190"/>
        <v>-0.583649081841461-0.891940329489232i</v>
      </c>
      <c r="AD299" s="190">
        <f t="shared" si="191"/>
        <v>0.55456238232835731</v>
      </c>
      <c r="AE299" s="169">
        <f t="shared" si="192"/>
        <v>-123.19908628557576</v>
      </c>
      <c r="AF299" s="98" t="str">
        <f t="shared" si="178"/>
        <v>-9.95024875621891E-06</v>
      </c>
      <c r="AG299" s="98" t="str">
        <f t="shared" si="179"/>
        <v>0.0406082193055431i</v>
      </c>
      <c r="AH299" s="98">
        <f t="shared" si="193"/>
        <v>4.0608219305543099E-2</v>
      </c>
      <c r="AI299" s="98">
        <f t="shared" si="194"/>
        <v>1.5707963267948966</v>
      </c>
      <c r="AJ299" s="98" t="str">
        <f t="shared" si="180"/>
        <v>1+0.405271245293598i</v>
      </c>
      <c r="AK299" s="98">
        <f t="shared" si="195"/>
        <v>1.0790017526685596</v>
      </c>
      <c r="AL299" s="98">
        <f t="shared" si="196"/>
        <v>0.38504227815016606</v>
      </c>
      <c r="AM299" s="98" t="str">
        <f t="shared" si="181"/>
        <v>1+405.676516538892i</v>
      </c>
      <c r="AN299" s="98">
        <f t="shared" si="197"/>
        <v>405.67774904612389</v>
      </c>
      <c r="AO299" s="98">
        <f t="shared" si="198"/>
        <v>1.5683313135791925</v>
      </c>
      <c r="AP299" s="168" t="str">
        <f t="shared" si="199"/>
        <v>-0.0852945894282583+0.034812474887608i</v>
      </c>
      <c r="AQ299" s="98">
        <f t="shared" si="200"/>
        <v>-20.712419398227574</v>
      </c>
      <c r="AR299" s="169">
        <f t="shared" si="201"/>
        <v>157.79746767418928</v>
      </c>
      <c r="AS299" s="168" t="str">
        <f t="shared" si="202"/>
        <v>0.080832759127436+0.0557594151935081i</v>
      </c>
      <c r="AT299" s="190">
        <f t="shared" si="203"/>
        <v>-20.157857015899225</v>
      </c>
      <c r="AU299" s="169">
        <f t="shared" si="204"/>
        <v>34.598381388613518</v>
      </c>
      <c r="AV299" s="225"/>
      <c r="AX299">
        <f t="shared" si="205"/>
        <v>0</v>
      </c>
      <c r="AY299">
        <f t="shared" si="206"/>
        <v>0</v>
      </c>
    </row>
    <row r="300" spans="14:51" x14ac:dyDescent="0.55000000000000004">
      <c r="N300" s="170">
        <v>82</v>
      </c>
      <c r="O300" s="199">
        <f t="shared" si="207"/>
        <v>6606.9344800759654</v>
      </c>
      <c r="P300" s="189" t="str">
        <f t="shared" si="173"/>
        <v>1078.86904761905</v>
      </c>
      <c r="Q300" s="160" t="str">
        <f t="shared" si="174"/>
        <v>1+1297.26855158473i</v>
      </c>
      <c r="R300" s="160">
        <f t="shared" si="182"/>
        <v>1297.2689370098797</v>
      </c>
      <c r="S300" s="160">
        <f t="shared" si="183"/>
        <v>1.5700254765336239</v>
      </c>
      <c r="T300" s="160" t="str">
        <f t="shared" si="175"/>
        <v>1+0.00083025187301423i</v>
      </c>
      <c r="U300" s="160">
        <f t="shared" si="184"/>
        <v>1.0000003446590269</v>
      </c>
      <c r="V300" s="160">
        <f t="shared" si="185"/>
        <v>8.3025168224507419E-4</v>
      </c>
      <c r="W300" s="98" t="str">
        <f t="shared" si="176"/>
        <v>1-0.600471364638812i</v>
      </c>
      <c r="X300" s="160">
        <f t="shared" si="186"/>
        <v>1.1664329641051805</v>
      </c>
      <c r="Y300" s="160">
        <f t="shared" si="187"/>
        <v>-0.54076601984242378</v>
      </c>
      <c r="Z300" s="98" t="str">
        <f t="shared" si="177"/>
        <v>0.92095684341509+0.0476968555314843i</v>
      </c>
      <c r="AA300" s="160">
        <f t="shared" si="188"/>
        <v>0.92219113933103791</v>
      </c>
      <c r="AB300" s="160">
        <f t="shared" si="189"/>
        <v>5.1744312714768058E-2</v>
      </c>
      <c r="AC300" s="171" t="str">
        <f t="shared" si="190"/>
        <v>-0.586035029518865-0.873540558531016i</v>
      </c>
      <c r="AD300" s="190">
        <f t="shared" si="191"/>
        <v>0.43955407247370781</v>
      </c>
      <c r="AE300" s="169">
        <f t="shared" si="192"/>
        <v>-123.85660498948617</v>
      </c>
      <c r="AF300" s="98" t="str">
        <f t="shared" si="178"/>
        <v>-9.95024875621891E-06</v>
      </c>
      <c r="AG300" s="98" t="str">
        <f t="shared" si="179"/>
        <v>0.0415541062443622i</v>
      </c>
      <c r="AH300" s="98">
        <f t="shared" si="193"/>
        <v>4.1554106244362198E-2</v>
      </c>
      <c r="AI300" s="98">
        <f t="shared" si="194"/>
        <v>1.5707963267948966</v>
      </c>
      <c r="AJ300" s="98" t="str">
        <f t="shared" si="180"/>
        <v>1+0.414711225281833i</v>
      </c>
      <c r="AK300" s="98">
        <f t="shared" si="195"/>
        <v>1.0825827452785117</v>
      </c>
      <c r="AL300" s="98">
        <f t="shared" si="196"/>
        <v>0.39312378880892013</v>
      </c>
      <c r="AM300" s="98" t="str">
        <f t="shared" si="181"/>
        <v>1+415.125936507115i</v>
      </c>
      <c r="AN300" s="98">
        <f t="shared" si="197"/>
        <v>415.12714095913947</v>
      </c>
      <c r="AO300" s="98">
        <f t="shared" si="198"/>
        <v>1.5683874239107689</v>
      </c>
      <c r="AP300" s="168" t="str">
        <f t="shared" si="199"/>
        <v>-0.0847312438066725+0.0353784507787752i</v>
      </c>
      <c r="AQ300" s="98">
        <f t="shared" si="200"/>
        <v>-20.741199599736468</v>
      </c>
      <c r="AR300" s="169">
        <f t="shared" si="201"/>
        <v>157.33764610653921</v>
      </c>
      <c r="AS300" s="168" t="str">
        <f t="shared" si="202"/>
        <v>0.0805599886186668+0.0532831665934371i</v>
      </c>
      <c r="AT300" s="190">
        <f t="shared" si="203"/>
        <v>-20.301645527262764</v>
      </c>
      <c r="AU300" s="169">
        <f t="shared" si="204"/>
        <v>33.481041117053046</v>
      </c>
      <c r="AV300" s="225"/>
      <c r="AX300">
        <f t="shared" si="205"/>
        <v>0</v>
      </c>
      <c r="AY300">
        <f t="shared" si="206"/>
        <v>0</v>
      </c>
    </row>
    <row r="301" spans="14:51" x14ac:dyDescent="0.55000000000000004">
      <c r="N301" s="170">
        <v>83</v>
      </c>
      <c r="O301" s="199">
        <f t="shared" si="207"/>
        <v>6760.8297539198229</v>
      </c>
      <c r="P301" s="189" t="str">
        <f t="shared" si="173"/>
        <v>1078.86904761905</v>
      </c>
      <c r="Q301" s="160" t="str">
        <f t="shared" si="174"/>
        <v>1+1327.48581794286i</v>
      </c>
      <c r="R301" s="160">
        <f t="shared" si="182"/>
        <v>1327.4861945946648</v>
      </c>
      <c r="S301" s="160">
        <f t="shared" si="183"/>
        <v>1.570043023221082</v>
      </c>
      <c r="T301" s="160" t="str">
        <f t="shared" si="175"/>
        <v>1+0.000849590923483432i</v>
      </c>
      <c r="U301" s="160">
        <f t="shared" si="184"/>
        <v>1.0000003609023036</v>
      </c>
      <c r="V301" s="160">
        <f t="shared" si="185"/>
        <v>8.4959071907060276E-4</v>
      </c>
      <c r="W301" s="98" t="str">
        <f t="shared" si="176"/>
        <v>1-0.614458139500158i</v>
      </c>
      <c r="X301" s="160">
        <f t="shared" si="186"/>
        <v>1.1736945110197949</v>
      </c>
      <c r="Y301" s="160">
        <f t="shared" si="187"/>
        <v>-0.55098271138452237</v>
      </c>
      <c r="Z301" s="98" t="str">
        <f t="shared" si="177"/>
        <v>0.917231654211883+0.0488078580191954i</v>
      </c>
      <c r="AA301" s="160">
        <f t="shared" si="188"/>
        <v>0.91852932152037992</v>
      </c>
      <c r="AB301" s="160">
        <f t="shared" si="189"/>
        <v>5.3161999918196645E-2</v>
      </c>
      <c r="AC301" s="171" t="str">
        <f t="shared" si="190"/>
        <v>-0.588550376401431-0.85560681198793i</v>
      </c>
      <c r="AD301" s="190">
        <f t="shared" si="191"/>
        <v>0.32801852020189504</v>
      </c>
      <c r="AE301" s="169">
        <f t="shared" si="192"/>
        <v>-124.5231030948074</v>
      </c>
      <c r="AF301" s="98" t="str">
        <f t="shared" si="178"/>
        <v>-9.95024875621891E-06</v>
      </c>
      <c r="AG301" s="98" t="str">
        <f t="shared" si="179"/>
        <v>0.0425220257203458i</v>
      </c>
      <c r="AH301" s="98">
        <f t="shared" si="193"/>
        <v>4.2522025720345802E-2</v>
      </c>
      <c r="AI301" s="98">
        <f t="shared" si="194"/>
        <v>1.5707963267948966</v>
      </c>
      <c r="AJ301" s="98" t="str">
        <f t="shared" si="180"/>
        <v>1+0.424371090651065i</v>
      </c>
      <c r="AK301" s="98">
        <f t="shared" si="195"/>
        <v>1.0863198527967599</v>
      </c>
      <c r="AL301" s="98">
        <f t="shared" si="196"/>
        <v>0.40133783498689746</v>
      </c>
      <c r="AM301" s="98" t="str">
        <f t="shared" si="181"/>
        <v>1+424.795461741716i</v>
      </c>
      <c r="AN301" s="98">
        <f t="shared" si="197"/>
        <v>424.79663877714199</v>
      </c>
      <c r="AO301" s="98">
        <f t="shared" si="198"/>
        <v>1.5684422570299223</v>
      </c>
      <c r="AP301" s="168" t="str">
        <f t="shared" si="199"/>
        <v>-0.0841492695281518+0.0359445195151189i</v>
      </c>
      <c r="AQ301" s="98">
        <f t="shared" si="200"/>
        <v>-20.771133046865636</v>
      </c>
      <c r="AR301" s="169">
        <f t="shared" si="201"/>
        <v>156.87015763412055</v>
      </c>
      <c r="AS301" s="168" t="str">
        <f t="shared" si="202"/>
        <v>0.080280460005468+0.0508435277419032i</v>
      </c>
      <c r="AT301" s="190">
        <f t="shared" si="203"/>
        <v>-20.443114526663742</v>
      </c>
      <c r="AU301" s="169">
        <f t="shared" si="204"/>
        <v>32.347054539313127</v>
      </c>
      <c r="AV301" s="225"/>
      <c r="AX301">
        <f t="shared" si="205"/>
        <v>0</v>
      </c>
      <c r="AY301">
        <f t="shared" si="206"/>
        <v>0</v>
      </c>
    </row>
    <row r="302" spans="14:51" x14ac:dyDescent="0.55000000000000004">
      <c r="N302" s="170">
        <v>84</v>
      </c>
      <c r="O302" s="199">
        <f t="shared" si="207"/>
        <v>6918.3097091893687</v>
      </c>
      <c r="P302" s="189" t="str">
        <f t="shared" si="173"/>
        <v>1078.86904761905</v>
      </c>
      <c r="Q302" s="160" t="str">
        <f t="shared" si="174"/>
        <v>1+1358.40693485302i</v>
      </c>
      <c r="R302" s="160">
        <f t="shared" si="182"/>
        <v>1358.4073029311851</v>
      </c>
      <c r="S302" s="160">
        <f t="shared" si="183"/>
        <v>1.5700601704976187</v>
      </c>
      <c r="T302" s="160" t="str">
        <f t="shared" si="175"/>
        <v>1+0.00086938043830593i</v>
      </c>
      <c r="U302" s="160">
        <f t="shared" si="184"/>
        <v>1.0000003779111017</v>
      </c>
      <c r="V302" s="160">
        <f t="shared" si="185"/>
        <v>8.6938021927364167E-4</v>
      </c>
      <c r="W302" s="98" t="str">
        <f t="shared" si="176"/>
        <v>1-0.628770708200381i</v>
      </c>
      <c r="X302" s="160">
        <f t="shared" si="186"/>
        <v>1.1812504406309479</v>
      </c>
      <c r="Y302" s="160">
        <f t="shared" si="187"/>
        <v>-0.56130624179524979</v>
      </c>
      <c r="Z302" s="98" t="str">
        <f t="shared" si="177"/>
        <v>0.913330902250314+0.0499447390792766i</v>
      </c>
      <c r="AA302" s="160">
        <f t="shared" si="188"/>
        <v>0.91469547608319868</v>
      </c>
      <c r="AB302" s="160">
        <f t="shared" si="189"/>
        <v>5.4629755625139748E-2</v>
      </c>
      <c r="AC302" s="171" t="str">
        <f t="shared" si="190"/>
        <v>-0.591203508461562-0.838129656858294i</v>
      </c>
      <c r="AD302" s="190">
        <f t="shared" si="191"/>
        <v>0.22008684589858049</v>
      </c>
      <c r="AE302" s="169">
        <f t="shared" si="192"/>
        <v>-125.19854263611657</v>
      </c>
      <c r="AF302" s="98" t="str">
        <f t="shared" si="178"/>
        <v>-9.95024875621891E-06</v>
      </c>
      <c r="AG302" s="98" t="str">
        <f t="shared" si="179"/>
        <v>0.0435124909372118i</v>
      </c>
      <c r="AH302" s="98">
        <f t="shared" si="193"/>
        <v>4.3512490937211802E-2</v>
      </c>
      <c r="AI302" s="98">
        <f t="shared" si="194"/>
        <v>1.5707963267948966</v>
      </c>
      <c r="AJ302" s="98" t="str">
        <f t="shared" si="180"/>
        <v>1+0.434255963189775i</v>
      </c>
      <c r="AK302" s="98">
        <f t="shared" si="195"/>
        <v>1.0902193547932817</v>
      </c>
      <c r="AL302" s="98">
        <f t="shared" si="196"/>
        <v>0.40968433717948483</v>
      </c>
      <c r="AM302" s="98" t="str">
        <f t="shared" si="181"/>
        <v>1+434.690219152965i</v>
      </c>
      <c r="AN302" s="98">
        <f t="shared" si="197"/>
        <v>434.69136939586548</v>
      </c>
      <c r="AO302" s="98">
        <f t="shared" si="198"/>
        <v>1.5684958420085786</v>
      </c>
      <c r="AP302" s="168" t="str">
        <f t="shared" si="199"/>
        <v>-0.0835483750452874+0.0365100557651876i</v>
      </c>
      <c r="AQ302" s="98">
        <f t="shared" si="200"/>
        <v>-20.802257557661758</v>
      </c>
      <c r="AR302" s="169">
        <f t="shared" si="201"/>
        <v>156.39500847791084</v>
      </c>
      <c r="AS302" s="168" t="str">
        <f t="shared" si="202"/>
        <v>0.0799942529633902+0.0484394978452686i</v>
      </c>
      <c r="AT302" s="190">
        <f t="shared" si="203"/>
        <v>-20.582170711763176</v>
      </c>
      <c r="AU302" s="169">
        <f t="shared" si="204"/>
        <v>31.196465841794243</v>
      </c>
      <c r="AV302" s="225"/>
      <c r="AX302">
        <f t="shared" si="205"/>
        <v>0</v>
      </c>
      <c r="AY302">
        <f t="shared" si="206"/>
        <v>0</v>
      </c>
    </row>
    <row r="303" spans="14:51" x14ac:dyDescent="0.55000000000000004">
      <c r="N303" s="170">
        <v>85</v>
      </c>
      <c r="O303" s="199">
        <f t="shared" si="207"/>
        <v>7079.4578438413828</v>
      </c>
      <c r="P303" s="189" t="str">
        <f t="shared" si="173"/>
        <v>1078.86904761905</v>
      </c>
      <c r="Q303" s="160" t="str">
        <f t="shared" si="174"/>
        <v>1+1390.04829710067i</v>
      </c>
      <c r="R303" s="160">
        <f t="shared" si="182"/>
        <v>1390.0486568003555</v>
      </c>
      <c r="S303" s="160">
        <f t="shared" si="183"/>
        <v>1.5700769274549069</v>
      </c>
      <c r="T303" s="160" t="str">
        <f t="shared" si="175"/>
        <v>1+0.000889630910144428i</v>
      </c>
      <c r="U303" s="160">
        <f t="shared" si="184"/>
        <v>1.0000003957214998</v>
      </c>
      <c r="V303" s="160">
        <f t="shared" si="185"/>
        <v>8.8963067544710762E-4</v>
      </c>
      <c r="W303" s="98" t="str">
        <f t="shared" si="176"/>
        <v>1-0.643416659452857i</v>
      </c>
      <c r="X303" s="160">
        <f t="shared" si="186"/>
        <v>1.1891110114961823</v>
      </c>
      <c r="Y303" s="160">
        <f t="shared" si="187"/>
        <v>-0.57173328251703415</v>
      </c>
      <c r="Z303" s="98" t="str">
        <f t="shared" si="177"/>
        <v>0.90924631351249+0.0511081015011145i</v>
      </c>
      <c r="AA303" s="160">
        <f t="shared" si="188"/>
        <v>0.9106815561298589</v>
      </c>
      <c r="AB303" s="160">
        <f t="shared" si="189"/>
        <v>5.6150217430107112E-2</v>
      </c>
      <c r="AC303" s="171" t="str">
        <f t="shared" si="190"/>
        <v>-0.5940034527346-0.821099886358416i</v>
      </c>
      <c r="AD303" s="190">
        <f t="shared" si="191"/>
        <v>0.11589525594851645</v>
      </c>
      <c r="AE303" s="169">
        <f t="shared" si="192"/>
        <v>-125.88288394387941</v>
      </c>
      <c r="AF303" s="98" t="str">
        <f t="shared" si="178"/>
        <v>-9.95024875621891E-06</v>
      </c>
      <c r="AG303" s="98" t="str">
        <f t="shared" si="179"/>
        <v>0.0445260270527287i</v>
      </c>
      <c r="AH303" s="98">
        <f t="shared" si="193"/>
        <v>4.4526027052728699E-2</v>
      </c>
      <c r="AI303" s="98">
        <f t="shared" si="194"/>
        <v>1.5707963267948966</v>
      </c>
      <c r="AJ303" s="98" t="str">
        <f t="shared" si="180"/>
        <v>1+0.444371083988226i</v>
      </c>
      <c r="AK303" s="98">
        <f t="shared" si="195"/>
        <v>1.0942877410831535</v>
      </c>
      <c r="AL303" s="98">
        <f t="shared" si="196"/>
        <v>0.41816306814895843</v>
      </c>
      <c r="AM303" s="98" t="str">
        <f t="shared" si="181"/>
        <v>1+444.815455072214i</v>
      </c>
      <c r="AN303" s="98">
        <f t="shared" si="197"/>
        <v>444.81657913245635</v>
      </c>
      <c r="AO303" s="98">
        <f t="shared" si="198"/>
        <v>1.5685482072569714</v>
      </c>
      <c r="AP303" s="168" t="str">
        <f t="shared" si="199"/>
        <v>-0.0829282909652627+0.0370744049423455i</v>
      </c>
      <c r="AQ303" s="98">
        <f t="shared" si="200"/>
        <v>-20.834611515325644</v>
      </c>
      <c r="AR303" s="169">
        <f t="shared" si="201"/>
        <v>155.91221328545925</v>
      </c>
      <c r="AS303" s="168" t="str">
        <f t="shared" si="202"/>
        <v>0.0797014808477114+0.0460700857436409i</v>
      </c>
      <c r="AT303" s="190">
        <f t="shared" si="203"/>
        <v>-20.718716259377125</v>
      </c>
      <c r="AU303" s="169">
        <f t="shared" si="204"/>
        <v>30.029329341579825</v>
      </c>
      <c r="AV303" s="225"/>
      <c r="AX303">
        <f t="shared" si="205"/>
        <v>0</v>
      </c>
      <c r="AY303">
        <f t="shared" si="206"/>
        <v>0</v>
      </c>
    </row>
    <row r="304" spans="14:51" x14ac:dyDescent="0.55000000000000004">
      <c r="N304" s="170">
        <v>86</v>
      </c>
      <c r="O304" s="199">
        <f t="shared" si="207"/>
        <v>7244.3596007499036</v>
      </c>
      <c r="P304" s="189" t="str">
        <f t="shared" si="173"/>
        <v>1078.86904761905</v>
      </c>
      <c r="Q304" s="160" t="str">
        <f t="shared" si="174"/>
        <v>1+1422.42668135491i</v>
      </c>
      <c r="R304" s="160">
        <f t="shared" si="182"/>
        <v>1422.4270328668329</v>
      </c>
      <c r="S304" s="160">
        <f t="shared" si="183"/>
        <v>1.5700933029776691</v>
      </c>
      <c r="T304" s="160" t="str">
        <f t="shared" si="175"/>
        <v>1+0.000910353076067144i</v>
      </c>
      <c r="U304" s="160">
        <f t="shared" si="184"/>
        <v>1.0000004143712757</v>
      </c>
      <c r="V304" s="160">
        <f t="shared" si="185"/>
        <v>9.1035282458444002E-4</v>
      </c>
      <c r="W304" s="98" t="str">
        <f t="shared" si="176"/>
        <v>1-0.658403758734802i</v>
      </c>
      <c r="X304" s="160">
        <f t="shared" si="186"/>
        <v>1.1972867281967654</v>
      </c>
      <c r="Y304" s="160">
        <f t="shared" si="187"/>
        <v>-0.58226029253823219</v>
      </c>
      <c r="Z304" s="98" t="str">
        <f t="shared" si="177"/>
        <v>0.904969224038067+0.052298562114864i</v>
      </c>
      <c r="AA304" s="160">
        <f t="shared" si="188"/>
        <v>0.90647914264771901</v>
      </c>
      <c r="AB304" s="160">
        <f t="shared" si="189"/>
        <v>5.7726225401030597E-2</v>
      </c>
      <c r="AC304" s="171" t="str">
        <f t="shared" si="190"/>
        <v>-0.596959939452711-0.804508510137982i</v>
      </c>
      <c r="AD304" s="190">
        <f t="shared" si="191"/>
        <v>1.558537505512906E-2</v>
      </c>
      <c r="AE304" s="169">
        <f t="shared" si="192"/>
        <v>-126.57608675085255</v>
      </c>
      <c r="AF304" s="98" t="str">
        <f t="shared" si="178"/>
        <v>-9.95024875621891E-06</v>
      </c>
      <c r="AG304" s="98" t="str">
        <f t="shared" si="179"/>
        <v>0.0455631714571605i</v>
      </c>
      <c r="AH304" s="98">
        <f t="shared" si="193"/>
        <v>4.5563171457160503E-2</v>
      </c>
      <c r="AI304" s="98">
        <f t="shared" si="194"/>
        <v>1.5707963267948966</v>
      </c>
      <c r="AJ304" s="98" t="str">
        <f t="shared" si="180"/>
        <v>1+0.454721816217355i</v>
      </c>
      <c r="AK304" s="98">
        <f t="shared" si="195"/>
        <v>1.0985317155840382</v>
      </c>
      <c r="AL304" s="98">
        <f t="shared" si="196"/>
        <v>0.42677364617125468</v>
      </c>
      <c r="AM304" s="98" t="str">
        <f t="shared" si="181"/>
        <v>1+455.176538033572i</v>
      </c>
      <c r="AN304" s="98">
        <f t="shared" si="197"/>
        <v>455.17763650714198</v>
      </c>
      <c r="AO304" s="98">
        <f t="shared" si="198"/>
        <v>1.5685993805386991</v>
      </c>
      <c r="AP304" s="168" t="str">
        <f t="shared" si="199"/>
        <v>-0.0822887723989106+0.0376368836251752i</v>
      </c>
      <c r="AQ304" s="98">
        <f t="shared" si="200"/>
        <v>-20.868233821241127</v>
      </c>
      <c r="AR304" s="169">
        <f t="shared" si="201"/>
        <v>155.42179551868037</v>
      </c>
      <c r="AS304" s="168" t="str">
        <f t="shared" si="202"/>
        <v>0.0794022937604179+0.0437343059136577i</v>
      </c>
      <c r="AT304" s="190">
        <f t="shared" si="203"/>
        <v>-20.852648446185995</v>
      </c>
      <c r="AU304" s="169">
        <f t="shared" si="204"/>
        <v>28.845708767827809</v>
      </c>
      <c r="AV304" s="225"/>
      <c r="AX304">
        <f t="shared" si="205"/>
        <v>0</v>
      </c>
      <c r="AY304">
        <f t="shared" si="206"/>
        <v>0</v>
      </c>
    </row>
    <row r="305" spans="14:51" x14ac:dyDescent="0.55000000000000004">
      <c r="N305" s="170">
        <v>87</v>
      </c>
      <c r="O305" s="199">
        <f t="shared" si="207"/>
        <v>7413.1024130091773</v>
      </c>
      <c r="P305" s="189" t="str">
        <f t="shared" si="173"/>
        <v>1078.86904761905</v>
      </c>
      <c r="Q305" s="160" t="str">
        <f t="shared" si="174"/>
        <v>1+1455.55925506365i</v>
      </c>
      <c r="R305" s="160">
        <f t="shared" si="182"/>
        <v>1455.5595985741868</v>
      </c>
      <c r="S305" s="160">
        <f t="shared" si="183"/>
        <v>1.5701093057483893</v>
      </c>
      <c r="T305" s="160" t="str">
        <f t="shared" si="175"/>
        <v>1+0.000931557923240736i</v>
      </c>
      <c r="U305" s="160">
        <f t="shared" si="184"/>
        <v>1.0000004338999882</v>
      </c>
      <c r="V305" s="160">
        <f t="shared" si="185"/>
        <v>9.3155765377217004E-4</v>
      </c>
      <c r="W305" s="98" t="str">
        <f t="shared" si="176"/>
        <v>1-0.67373995240463i</v>
      </c>
      <c r="X305" s="160">
        <f t="shared" si="186"/>
        <v>1.2057883410724259</v>
      </c>
      <c r="Y305" s="160">
        <f t="shared" si="187"/>
        <v>-0.59288352057740357</v>
      </c>
      <c r="Z305" s="98" t="str">
        <f t="shared" si="177"/>
        <v>0.900490561546831+0.0535167521185i</v>
      </c>
      <c r="AA305" s="160">
        <f t="shared" si="188"/>
        <v>0.90207942787331097</v>
      </c>
      <c r="AB305" s="160">
        <f t="shared" si="189"/>
        <v>5.9360842262389198E-2</v>
      </c>
      <c r="AC305" s="171" t="str">
        <f t="shared" si="190"/>
        <v>-0.60008347149203-0.788346743536276i</v>
      </c>
      <c r="AD305" s="190">
        <f t="shared" si="191"/>
        <v>-8.0695380474698569E-2</v>
      </c>
      <c r="AE305" s="169">
        <f t="shared" si="192"/>
        <v>-127.27811147358389</v>
      </c>
      <c r="AF305" s="98" t="str">
        <f t="shared" si="178"/>
        <v>-9.95024875621891E-06</v>
      </c>
      <c r="AG305" s="98" t="str">
        <f t="shared" si="179"/>
        <v>0.0466244740581988i</v>
      </c>
      <c r="AH305" s="98">
        <f t="shared" si="193"/>
        <v>4.6624474058198799E-2</v>
      </c>
      <c r="AI305" s="98">
        <f t="shared" si="194"/>
        <v>1.5707963267948966</v>
      </c>
      <c r="AJ305" s="98" t="str">
        <f t="shared" si="180"/>
        <v>1+0.465313647972396i</v>
      </c>
      <c r="AK305" s="98">
        <f t="shared" si="195"/>
        <v>1.1029582000191027</v>
      </c>
      <c r="AL305" s="98">
        <f t="shared" si="196"/>
        <v>0.43551552840145152</v>
      </c>
      <c r="AM305" s="98" t="str">
        <f t="shared" si="181"/>
        <v>1+465.778961620368i</v>
      </c>
      <c r="AN305" s="98">
        <f t="shared" si="197"/>
        <v>465.7800350896851</v>
      </c>
      <c r="AO305" s="98">
        <f t="shared" si="198"/>
        <v>1.56864938898544</v>
      </c>
      <c r="AP305" s="168" t="str">
        <f t="shared" si="199"/>
        <v>-0.0816296013606618+0.038196780160001i</v>
      </c>
      <c r="AQ305" s="98">
        <f t="shared" si="200"/>
        <v>-20.90316384321973</v>
      </c>
      <c r="AR305" s="169">
        <f t="shared" si="201"/>
        <v>154.923787834828</v>
      </c>
      <c r="AS305" s="168" t="str">
        <f t="shared" si="202"/>
        <v>0.0790968818137243+0.0414311739706108i</v>
      </c>
      <c r="AT305" s="190">
        <f t="shared" si="203"/>
        <v>-20.983859223694431</v>
      </c>
      <c r="AU305" s="169">
        <f t="shared" si="204"/>
        <v>27.645676361244107</v>
      </c>
      <c r="AV305" s="225"/>
      <c r="AX305">
        <f t="shared" si="205"/>
        <v>0</v>
      </c>
      <c r="AY305">
        <f t="shared" si="206"/>
        <v>0</v>
      </c>
    </row>
    <row r="306" spans="14:51" x14ac:dyDescent="0.55000000000000004">
      <c r="N306" s="170">
        <v>88</v>
      </c>
      <c r="O306" s="199">
        <f t="shared" si="207"/>
        <v>7585.7757502918394</v>
      </c>
      <c r="P306" s="189" t="str">
        <f t="shared" si="173"/>
        <v>1078.86904761905</v>
      </c>
      <c r="Q306" s="160" t="str">
        <f t="shared" si="174"/>
        <v>1+1489.46358555603i</v>
      </c>
      <c r="R306" s="160">
        <f t="shared" si="182"/>
        <v>1489.4639212473141</v>
      </c>
      <c r="S306" s="160">
        <f t="shared" si="183"/>
        <v>1.5701249442519154</v>
      </c>
      <c r="T306" s="160" t="str">
        <f t="shared" si="175"/>
        <v>1+0.000953256694755858i</v>
      </c>
      <c r="U306" s="160">
        <f t="shared" si="184"/>
        <v>1.0000004543490599</v>
      </c>
      <c r="V306" s="160">
        <f t="shared" si="185"/>
        <v>9.5325640601509447E-4</v>
      </c>
      <c r="W306" s="98" t="str">
        <f t="shared" si="176"/>
        <v>1-0.689433371915227i</v>
      </c>
      <c r="X306" s="160">
        <f t="shared" si="186"/>
        <v>1.214626845706285</v>
      </c>
      <c r="Y306" s="160">
        <f t="shared" si="187"/>
        <v>-0.60359900821100143</v>
      </c>
      <c r="Z306" s="98" t="str">
        <f t="shared" si="177"/>
        <v>0.895800826195172+0.0547633174124873i</v>
      </c>
      <c r="AA306" s="160">
        <f t="shared" si="188"/>
        <v>0.89747319800982006</v>
      </c>
      <c r="AB306" s="160">
        <f t="shared" si="189"/>
        <v>6.1057376022441802E-2</v>
      </c>
      <c r="AC306" s="171" t="str">
        <f t="shared" si="190"/>
        <v>-0.603385402159638-0.772605995645801i</v>
      </c>
      <c r="AD306" s="190">
        <f t="shared" si="191"/>
        <v>-0.1727933829611947</v>
      </c>
      <c r="AE306" s="169">
        <f t="shared" si="192"/>
        <v>-127.98892068799182</v>
      </c>
      <c r="AF306" s="98" t="str">
        <f t="shared" si="178"/>
        <v>-9.95024875621891E-06</v>
      </c>
      <c r="AG306" s="98" t="str">
        <f t="shared" si="179"/>
        <v>0.0477104975725307i</v>
      </c>
      <c r="AH306" s="98">
        <f t="shared" si="193"/>
        <v>4.7710497572530701E-2</v>
      </c>
      <c r="AI306" s="98">
        <f t="shared" si="194"/>
        <v>1.5707963267948966</v>
      </c>
      <c r="AJ306" s="98" t="str">
        <f t="shared" si="180"/>
        <v>1+0.476152195182746i</v>
      </c>
      <c r="AK306" s="98">
        <f t="shared" si="195"/>
        <v>1.1075743374497928</v>
      </c>
      <c r="AL306" s="98">
        <f t="shared" si="196"/>
        <v>0.44438800440153342</v>
      </c>
      <c r="AM306" s="98" t="str">
        <f t="shared" si="181"/>
        <v>1+476.628347377929i</v>
      </c>
      <c r="AN306" s="98">
        <f t="shared" si="197"/>
        <v>476.62939641215559</v>
      </c>
      <c r="AO306" s="98">
        <f t="shared" si="198"/>
        <v>1.5686982591113339</v>
      </c>
      <c r="AP306" s="168" t="str">
        <f t="shared" si="199"/>
        <v>-0.0809505892061432+0.0387533554570426i</v>
      </c>
      <c r="AQ306" s="98">
        <f t="shared" si="200"/>
        <v>-20.939441358870965</v>
      </c>
      <c r="AR306" s="169">
        <f t="shared" si="201"/>
        <v>154.4182324581501</v>
      </c>
      <c r="AS306" s="168" t="str">
        <f t="shared" si="202"/>
        <v>0.0787854786007124+0.0391597016042435i</v>
      </c>
      <c r="AT306" s="190">
        <f t="shared" si="203"/>
        <v>-21.112234741832161</v>
      </c>
      <c r="AU306" s="169">
        <f t="shared" si="204"/>
        <v>26.429311770158307</v>
      </c>
      <c r="AV306" s="225"/>
      <c r="AX306">
        <f t="shared" si="205"/>
        <v>0</v>
      </c>
      <c r="AY306">
        <f t="shared" si="206"/>
        <v>0</v>
      </c>
    </row>
    <row r="307" spans="14:51" x14ac:dyDescent="0.55000000000000004">
      <c r="N307" s="170">
        <v>89</v>
      </c>
      <c r="O307" s="199">
        <f t="shared" si="207"/>
        <v>7762.4711662869322</v>
      </c>
      <c r="P307" s="189" t="str">
        <f t="shared" si="173"/>
        <v>1078.86904761905</v>
      </c>
      <c r="Q307" s="160" t="str">
        <f t="shared" si="174"/>
        <v>1+1524.15764935685i</v>
      </c>
      <c r="R307" s="160">
        <f t="shared" si="182"/>
        <v>1524.1579774068691</v>
      </c>
      <c r="S307" s="160">
        <f t="shared" si="183"/>
        <v>1.5701402267799587</v>
      </c>
      <c r="T307" s="160" t="str">
        <f t="shared" si="175"/>
        <v>1+0.000975460895588384i</v>
      </c>
      <c r="U307" s="160">
        <f t="shared" si="184"/>
        <v>1.0000004757618661</v>
      </c>
      <c r="V307" s="160">
        <f t="shared" si="185"/>
        <v>9.7546058619708961E-4</v>
      </c>
      <c r="W307" s="98" t="str">
        <f t="shared" si="176"/>
        <v>1-0.705492338125343i</v>
      </c>
      <c r="X307" s="160">
        <f t="shared" si="186"/>
        <v>1.2238134821751079</v>
      </c>
      <c r="Y307" s="160">
        <f t="shared" si="187"/>
        <v>-0.6144025939681359</v>
      </c>
      <c r="Z307" s="98" t="str">
        <f t="shared" si="177"/>
        <v>0.890890070425648+0.0560389189422449i</v>
      </c>
      <c r="AA307" s="160">
        <f t="shared" si="188"/>
        <v>0.89265081527954226</v>
      </c>
      <c r="AB307" s="160">
        <f t="shared" si="189"/>
        <v>6.2819405394879721E-2</v>
      </c>
      <c r="AC307" s="171" t="str">
        <f t="shared" si="190"/>
        <v>-0.606878022513786-0.75727785589905i</v>
      </c>
      <c r="AD307" s="190">
        <f t="shared" si="191"/>
        <v>-0.26054832086484281</v>
      </c>
      <c r="AE307" s="169">
        <f t="shared" si="192"/>
        <v>-128.70848082044731</v>
      </c>
      <c r="AF307" s="98" t="str">
        <f t="shared" si="178"/>
        <v>-9.95024875621891E-06</v>
      </c>
      <c r="AG307" s="98" t="str">
        <f t="shared" si="179"/>
        <v>0.0488218178241987i</v>
      </c>
      <c r="AH307" s="98">
        <f t="shared" si="193"/>
        <v>4.8821817824198699E-2</v>
      </c>
      <c r="AI307" s="98">
        <f t="shared" si="194"/>
        <v>1.5707963267948966</v>
      </c>
      <c r="AJ307" s="98" t="str">
        <f t="shared" si="180"/>
        <v>1+0.487243204589602i</v>
      </c>
      <c r="AK307" s="98">
        <f t="shared" si="195"/>
        <v>1.1123874956231505</v>
      </c>
      <c r="AL307" s="98">
        <f t="shared" si="196"/>
        <v>0.45339018987657626</v>
      </c>
      <c r="AM307" s="98" t="str">
        <f t="shared" si="181"/>
        <v>1+487.730447794192i</v>
      </c>
      <c r="AN307" s="98">
        <f t="shared" si="197"/>
        <v>487.73147294953509</v>
      </c>
      <c r="AO307" s="98">
        <f t="shared" si="198"/>
        <v>1.5687460168270337</v>
      </c>
      <c r="AP307" s="168" t="str">
        <f t="shared" si="199"/>
        <v>-0.0802515790924758+0.0393058439909214i</v>
      </c>
      <c r="AQ307" s="98">
        <f t="shared" si="200"/>
        <v>-20.977106494037674</v>
      </c>
      <c r="AR307" s="169">
        <f t="shared" si="201"/>
        <v>153.90518153958502</v>
      </c>
      <c r="AS307" s="168" t="str">
        <f t="shared" si="202"/>
        <v>0.0784683648849979+0.0369188908732173i</v>
      </c>
      <c r="AT307" s="190">
        <f t="shared" si="203"/>
        <v>-21.23765481490252</v>
      </c>
      <c r="AU307" s="169">
        <f t="shared" si="204"/>
        <v>25.196700719137691</v>
      </c>
      <c r="AV307" s="225"/>
      <c r="AX307">
        <f t="shared" si="205"/>
        <v>0</v>
      </c>
      <c r="AY307">
        <f t="shared" si="206"/>
        <v>0</v>
      </c>
    </row>
    <row r="308" spans="14:51" x14ac:dyDescent="0.55000000000000004">
      <c r="N308" s="170">
        <v>90</v>
      </c>
      <c r="O308" s="199">
        <f t="shared" si="207"/>
        <v>7943.2823472428154</v>
      </c>
      <c r="P308" s="189" t="str">
        <f t="shared" si="173"/>
        <v>1078.86904761905</v>
      </c>
      <c r="Q308" s="160" t="str">
        <f t="shared" si="174"/>
        <v>1+1559.65984171797i</v>
      </c>
      <c r="R308" s="160">
        <f t="shared" si="182"/>
        <v>1559.6601623006607</v>
      </c>
      <c r="S308" s="160">
        <f t="shared" si="183"/>
        <v>1.5701551614354889</v>
      </c>
      <c r="T308" s="160" t="str">
        <f t="shared" si="175"/>
        <v>1+0.0009981822986995i</v>
      </c>
      <c r="U308" s="160">
        <f t="shared" si="184"/>
        <v>1.0000004981838266</v>
      </c>
      <c r="V308" s="160">
        <f t="shared" si="185"/>
        <v>9.9818196718076419E-4</v>
      </c>
      <c r="W308" s="98" t="str">
        <f t="shared" si="176"/>
        <v>1-0.721925365711427i</v>
      </c>
      <c r="X308" s="160">
        <f t="shared" si="186"/>
        <v>1.2333597340831173</v>
      </c>
      <c r="Y308" s="160">
        <f t="shared" si="187"/>
        <v>-0.62528991840900083</v>
      </c>
      <c r="Z308" s="98" t="str">
        <f t="shared" si="177"/>
        <v>0.885747877866873+0.0573442330485883i</v>
      </c>
      <c r="AA308" s="160">
        <f t="shared" si="188"/>
        <v>0.88760219930417017</v>
      </c>
      <c r="AB308" s="160">
        <f t="shared" si="189"/>
        <v>6.4650808423666661E-2</v>
      </c>
      <c r="AC308" s="171" t="str">
        <f t="shared" si="190"/>
        <v>-0.610574659608587-0.742354078830733i</v>
      </c>
      <c r="AD308" s="190">
        <f t="shared" si="191"/>
        <v>-0.34379266653752399</v>
      </c>
      <c r="AE308" s="169">
        <f t="shared" si="192"/>
        <v>-129.43676407873082</v>
      </c>
      <c r="AF308" s="98" t="str">
        <f t="shared" si="178"/>
        <v>-9.95024875621891E-06</v>
      </c>
      <c r="AG308" s="98" t="str">
        <f t="shared" si="179"/>
        <v>0.04995902404991i</v>
      </c>
      <c r="AH308" s="98">
        <f t="shared" si="193"/>
        <v>4.9959024049909997E-2</v>
      </c>
      <c r="AI308" s="98">
        <f t="shared" si="194"/>
        <v>1.5707963267948966</v>
      </c>
      <c r="AJ308" s="98" t="str">
        <f t="shared" si="180"/>
        <v>1+0.498592556792957i</v>
      </c>
      <c r="AK308" s="98">
        <f t="shared" si="195"/>
        <v>1.1174052701188313</v>
      </c>
      <c r="AL308" s="98">
        <f t="shared" si="196"/>
        <v>0.46252102066788758</v>
      </c>
      <c r="AM308" s="98" t="str">
        <f t="shared" si="181"/>
        <v>1+499.09114934975i</v>
      </c>
      <c r="AN308" s="98">
        <f t="shared" si="197"/>
        <v>499.09215116975594</v>
      </c>
      <c r="AO308" s="98">
        <f t="shared" si="198"/>
        <v>1.568792687453441</v>
      </c>
      <c r="AP308" s="168" t="str">
        <f t="shared" si="199"/>
        <v>-0.0795324484446223+0.0398534550152549i</v>
      </c>
      <c r="AQ308" s="98">
        <f t="shared" si="200"/>
        <v>-21.016199656267137</v>
      </c>
      <c r="AR308" s="169">
        <f t="shared" si="201"/>
        <v>153.38469750171512</v>
      </c>
      <c r="AS308" s="168" t="str">
        <f t="shared" si="202"/>
        <v>0.0781458725229844+0.034707727772095i</v>
      </c>
      <c r="AT308" s="190">
        <f t="shared" si="203"/>
        <v>-21.359992322804654</v>
      </c>
      <c r="AU308" s="169">
        <f t="shared" si="204"/>
        <v>23.947933422984338</v>
      </c>
      <c r="AV308" s="225"/>
      <c r="AX308">
        <f t="shared" si="205"/>
        <v>0</v>
      </c>
      <c r="AY308">
        <f t="shared" si="206"/>
        <v>0</v>
      </c>
    </row>
    <row r="309" spans="14:51" x14ac:dyDescent="0.55000000000000004">
      <c r="N309" s="170">
        <v>91</v>
      </c>
      <c r="O309" s="199">
        <f t="shared" si="207"/>
        <v>8128.3051616410066</v>
      </c>
      <c r="P309" s="189" t="str">
        <f t="shared" si="173"/>
        <v>1078.86904761905</v>
      </c>
      <c r="Q309" s="160" t="str">
        <f t="shared" si="174"/>
        <v>1+1595.98898637171i</v>
      </c>
      <c r="R309" s="160">
        <f t="shared" si="182"/>
        <v>1595.9892996570493</v>
      </c>
      <c r="S309" s="160">
        <f t="shared" si="183"/>
        <v>1.5701697561370316</v>
      </c>
      <c r="T309" s="160" t="str">
        <f t="shared" si="175"/>
        <v>1+0.0010214329512779i</v>
      </c>
      <c r="U309" s="160">
        <f t="shared" si="184"/>
        <v>1.000000521662501</v>
      </c>
      <c r="V309" s="160">
        <f t="shared" si="185"/>
        <v>1.0214325960491845E-3</v>
      </c>
      <c r="W309" s="98" t="str">
        <f t="shared" si="176"/>
        <v>1-0.738741167682226i</v>
      </c>
      <c r="X309" s="160">
        <f t="shared" si="186"/>
        <v>1.2432773274006483</v>
      </c>
      <c r="Y309" s="160">
        <f t="shared" si="187"/>
        <v>-0.63625643019579547</v>
      </c>
      <c r="Z309" s="98" t="str">
        <f t="shared" si="177"/>
        <v>0.880363341239004+0.058679951826335i</v>
      </c>
      <c r="AA309" s="160">
        <f t="shared" si="188"/>
        <v>0.8823168078098953</v>
      </c>
      <c r="AB309" s="160">
        <f t="shared" si="189"/>
        <v>6.655579478945986E-2</v>
      </c>
      <c r="AC309" s="171" t="str">
        <f t="shared" si="190"/>
        <v>-0.61448978728948-0.727826566589094i</v>
      </c>
      <c r="AD309" s="190">
        <f t="shared" si="191"/>
        <v>-0.42235107623488316</v>
      </c>
      <c r="AE309" s="169">
        <f t="shared" si="192"/>
        <v>-130.1737506507809</v>
      </c>
      <c r="AF309" s="98" t="str">
        <f t="shared" si="178"/>
        <v>-9.95024875621891E-06</v>
      </c>
      <c r="AG309" s="98" t="str">
        <f t="shared" si="179"/>
        <v>0.0511227192114587i</v>
      </c>
      <c r="AH309" s="98">
        <f t="shared" si="193"/>
        <v>5.1122719211458702E-2</v>
      </c>
      <c r="AI309" s="98">
        <f t="shared" si="194"/>
        <v>1.5707963267948966</v>
      </c>
      <c r="AJ309" s="98" t="str">
        <f t="shared" si="180"/>
        <v>1+0.510206269369578i</v>
      </c>
      <c r="AK309" s="98">
        <f t="shared" si="195"/>
        <v>1.122635487281612</v>
      </c>
      <c r="AL309" s="98">
        <f t="shared" si="196"/>
        <v>0.47177924705375224</v>
      </c>
      <c r="AM309" s="98" t="str">
        <f t="shared" si="181"/>
        <v>1+510.716475638948i</v>
      </c>
      <c r="AN309" s="98">
        <f t="shared" si="197"/>
        <v>510.71745465479069</v>
      </c>
      <c r="AO309" s="98">
        <f t="shared" si="198"/>
        <v>1.5688382957351257</v>
      </c>
      <c r="AP309" s="168" t="str">
        <f t="shared" si="199"/>
        <v>-0.0787931114094705+0.0403953739998275i</v>
      </c>
      <c r="AQ309" s="98">
        <f t="shared" si="200"/>
        <v>-21.056761463323785</v>
      </c>
      <c r="AR309" s="169">
        <f t="shared" si="201"/>
        <v>152.8568533660798</v>
      </c>
      <c r="AS309" s="168" t="str">
        <f t="shared" si="202"/>
        <v>0.0778183886342586+0.0325251749713939i</v>
      </c>
      <c r="AT309" s="190">
        <f t="shared" si="203"/>
        <v>-21.479112539558667</v>
      </c>
      <c r="AU309" s="169">
        <f t="shared" si="204"/>
        <v>22.683102715298947</v>
      </c>
      <c r="AV309" s="225"/>
      <c r="AX309">
        <f t="shared" si="205"/>
        <v>0</v>
      </c>
      <c r="AY309">
        <f t="shared" si="206"/>
        <v>0</v>
      </c>
    </row>
    <row r="310" spans="14:51" x14ac:dyDescent="0.55000000000000004">
      <c r="N310" s="170">
        <v>92</v>
      </c>
      <c r="O310" s="199">
        <f t="shared" si="207"/>
        <v>8317.6377110267094</v>
      </c>
      <c r="P310" s="189" t="str">
        <f t="shared" si="173"/>
        <v>1078.86904761905</v>
      </c>
      <c r="Q310" s="160" t="str">
        <f t="shared" si="174"/>
        <v>1+1633.16434551143i</v>
      </c>
      <c r="R310" s="160">
        <f t="shared" si="182"/>
        <v>1633.1646516655255</v>
      </c>
      <c r="S310" s="160">
        <f t="shared" si="183"/>
        <v>1.5701840186228657</v>
      </c>
      <c r="T310" s="160" t="str">
        <f t="shared" si="175"/>
        <v>1+0.00104522518112732i</v>
      </c>
      <c r="U310" s="160">
        <f t="shared" si="184"/>
        <v>1.0000005462476904</v>
      </c>
      <c r="V310" s="160">
        <f t="shared" si="185"/>
        <v>1.0452248004929048E-3</v>
      </c>
      <c r="W310" s="98" t="str">
        <f t="shared" si="176"/>
        <v>1-0.755948659998522i</v>
      </c>
      <c r="X310" s="160">
        <f t="shared" si="186"/>
        <v>1.2535782291319362</v>
      </c>
      <c r="Y310" s="160">
        <f t="shared" si="187"/>
        <v>-0.64729739315672519</v>
      </c>
      <c r="Z310" s="98" t="str">
        <f t="shared" si="177"/>
        <v>0.874725039217937+0.0600467834912607i</v>
      </c>
      <c r="AA310" s="160">
        <f t="shared" si="188"/>
        <v>0.87678361665947424</v>
      </c>
      <c r="AB310" s="160">
        <f t="shared" si="189"/>
        <v>6.8538942359248997E-2</v>
      </c>
      <c r="AC310" s="171" t="str">
        <f t="shared" si="190"/>
        <v>-0.618639151446348-0.713687348672086i</v>
      </c>
      <c r="AD310" s="190">
        <f t="shared" si="191"/>
        <v>-0.49603971333636832</v>
      </c>
      <c r="AE310" s="169">
        <f t="shared" si="192"/>
        <v>-130.91943120344678</v>
      </c>
      <c r="AF310" s="98" t="str">
        <f t="shared" si="178"/>
        <v>-9.95024875621891E-06</v>
      </c>
      <c r="AG310" s="98" t="str">
        <f t="shared" si="179"/>
        <v>0.0523135203154222i</v>
      </c>
      <c r="AH310" s="98">
        <f t="shared" si="193"/>
        <v>5.2313520315422198E-2</v>
      </c>
      <c r="AI310" s="98">
        <f t="shared" si="194"/>
        <v>1.5707963267948966</v>
      </c>
      <c r="AJ310" s="98" t="str">
        <f t="shared" si="180"/>
        <v>1+0.522090500063595i</v>
      </c>
      <c r="AK310" s="98">
        <f t="shared" si="195"/>
        <v>1.1280862069259843</v>
      </c>
      <c r="AL310" s="98">
        <f t="shared" si="196"/>
        <v>0.48116342841021031</v>
      </c>
      <c r="AM310" s="98" t="str">
        <f t="shared" si="181"/>
        <v>1+522.612590563659i</v>
      </c>
      <c r="AN310" s="98">
        <f t="shared" si="197"/>
        <v>522.61354729442155</v>
      </c>
      <c r="AO310" s="98">
        <f t="shared" si="198"/>
        <v>1.5688828658534431</v>
      </c>
      <c r="AP310" s="168" t="str">
        <f t="shared" si="199"/>
        <v>-0.0780335212777224+0.040930764297351i</v>
      </c>
      <c r="AQ310" s="98">
        <f t="shared" si="200"/>
        <v>-21.098832666788002</v>
      </c>
      <c r="AR310" s="169">
        <f t="shared" si="201"/>
        <v>152.32173305984139</v>
      </c>
      <c r="AS310" s="168" t="str">
        <f t="shared" si="202"/>
        <v>0.0774863600381192+0.0303701636152808i</v>
      </c>
      <c r="AT310" s="190">
        <f t="shared" si="203"/>
        <v>-21.594872380124372</v>
      </c>
      <c r="AU310" s="169">
        <f t="shared" si="204"/>
        <v>21.402301856394615</v>
      </c>
      <c r="AV310" s="225"/>
      <c r="AX310">
        <f t="shared" si="205"/>
        <v>0</v>
      </c>
      <c r="AY310">
        <f t="shared" si="206"/>
        <v>0</v>
      </c>
    </row>
    <row r="311" spans="14:51" x14ac:dyDescent="0.55000000000000004">
      <c r="N311" s="170">
        <v>93</v>
      </c>
      <c r="O311" s="199">
        <f t="shared" si="207"/>
        <v>8511.3803820237772</v>
      </c>
      <c r="P311" s="189" t="str">
        <f t="shared" si="173"/>
        <v>1078.86904761905</v>
      </c>
      <c r="Q311" s="160" t="str">
        <f t="shared" si="174"/>
        <v>1+1671.20563000464i</v>
      </c>
      <c r="R311" s="160">
        <f t="shared" si="182"/>
        <v>1671.2059291898188</v>
      </c>
      <c r="S311" s="160">
        <f t="shared" si="183"/>
        <v>1.5701979564551269</v>
      </c>
      <c r="T311" s="160" t="str">
        <f t="shared" si="175"/>
        <v>1+0.00106957160320297i</v>
      </c>
      <c r="U311" s="160">
        <f t="shared" si="184"/>
        <v>1.0000005719915437</v>
      </c>
      <c r="V311" s="160">
        <f t="shared" si="185"/>
        <v>1.0695711953458585E-3</v>
      </c>
      <c r="W311" s="98" t="str">
        <f t="shared" si="176"/>
        <v>1-0.773556966300515i</v>
      </c>
      <c r="X311" s="160">
        <f t="shared" si="186"/>
        <v>1.2642746458392875</v>
      </c>
      <c r="Y311" s="160">
        <f t="shared" si="187"/>
        <v>-0.658407894335026</v>
      </c>
      <c r="Z311" s="98" t="str">
        <f t="shared" si="177"/>
        <v>0.868821012209145+0.0614454527556069i</v>
      </c>
      <c r="AA311" s="160">
        <f t="shared" si="188"/>
        <v>0.87099109922000051</v>
      </c>
      <c r="AB311" s="160">
        <f t="shared" si="189"/>
        <v>7.0605238640719339E-2</v>
      </c>
      <c r="AC311" s="171" t="str">
        <f t="shared" si="190"/>
        <v>-0.623039911966612-0.699928558241114i</v>
      </c>
      <c r="AD311" s="190">
        <f t="shared" si="191"/>
        <v>-0.56466548447889153</v>
      </c>
      <c r="AE311" s="169">
        <f t="shared" si="192"/>
        <v>-131.67380971868295</v>
      </c>
      <c r="AF311" s="98" t="str">
        <f t="shared" si="178"/>
        <v>-9.95024875621891E-06</v>
      </c>
      <c r="AG311" s="98" t="str">
        <f t="shared" si="179"/>
        <v>0.0535320587403085i</v>
      </c>
      <c r="AH311" s="98">
        <f t="shared" si="193"/>
        <v>5.3532058740308502E-2</v>
      </c>
      <c r="AI311" s="98">
        <f t="shared" si="194"/>
        <v>1.5707963267948966</v>
      </c>
      <c r="AJ311" s="98" t="str">
        <f t="shared" si="180"/>
        <v>1+0.534251550051433i</v>
      </c>
      <c r="AK311" s="98">
        <f t="shared" si="195"/>
        <v>1.1337657248004804</v>
      </c>
      <c r="AL311" s="98">
        <f t="shared" si="196"/>
        <v>0.49067192828577516</v>
      </c>
      <c r="AM311" s="98" t="str">
        <f t="shared" si="181"/>
        <v>1+534.785801601484i</v>
      </c>
      <c r="AN311" s="98">
        <f t="shared" si="197"/>
        <v>534.78673655443413</v>
      </c>
      <c r="AO311" s="98">
        <f t="shared" si="198"/>
        <v>1.568926421439351</v>
      </c>
      <c r="AP311" s="168" t="str">
        <f t="shared" si="199"/>
        <v>-0.0772536728521483+0.0414587690450889i</v>
      </c>
      <c r="AQ311" s="98">
        <f t="shared" si="200"/>
        <v>-21.142454070827593</v>
      </c>
      <c r="AR311" s="169">
        <f t="shared" si="201"/>
        <v>151.77943169871759</v>
      </c>
      <c r="AS311" s="168" t="str">
        <f t="shared" si="202"/>
        <v>0.0771502979770803+0.0282415840421386i</v>
      </c>
      <c r="AT311" s="190">
        <f t="shared" si="203"/>
        <v>-21.707119555306488</v>
      </c>
      <c r="AU311" s="169">
        <f t="shared" si="204"/>
        <v>20.10562198003468</v>
      </c>
      <c r="AV311" s="225"/>
      <c r="AX311">
        <f t="shared" si="205"/>
        <v>0</v>
      </c>
      <c r="AY311">
        <f t="shared" si="206"/>
        <v>0</v>
      </c>
    </row>
    <row r="312" spans="14:51" x14ac:dyDescent="0.55000000000000004">
      <c r="N312" s="170">
        <v>94</v>
      </c>
      <c r="O312" s="199">
        <f t="shared" si="207"/>
        <v>8709.6358995608189</v>
      </c>
      <c r="P312" s="189" t="str">
        <f t="shared" si="173"/>
        <v>1078.86904761905</v>
      </c>
      <c r="Q312" s="160" t="str">
        <f t="shared" si="174"/>
        <v>1+1710.13300984389i</v>
      </c>
      <c r="R312" s="160">
        <f t="shared" si="182"/>
        <v>1710.1333022187837</v>
      </c>
      <c r="S312" s="160">
        <f t="shared" si="183"/>
        <v>1.5702115770238165</v>
      </c>
      <c r="T312" s="160" t="str">
        <f t="shared" si="175"/>
        <v>1+0.00109448512630009i</v>
      </c>
      <c r="U312" s="160">
        <f t="shared" si="184"/>
        <v>1.0000005989486664</v>
      </c>
      <c r="V312" s="160">
        <f t="shared" si="185"/>
        <v>1.0944846892733354E-3</v>
      </c>
      <c r="W312" s="98" t="str">
        <f t="shared" si="176"/>
        <v>1-0.791575422745276i</v>
      </c>
      <c r="X312" s="160">
        <f t="shared" si="186"/>
        <v>1.2753790220535863</v>
      </c>
      <c r="Y312" s="160">
        <f t="shared" si="187"/>
        <v>-0.66958285300585163</v>
      </c>
      <c r="Z312" s="98" t="str">
        <f t="shared" si="177"/>
        <v>0.862638736979776+0.0628767012123306i</v>
      </c>
      <c r="AA312" s="160">
        <f t="shared" si="188"/>
        <v>0.86492720508341503</v>
      </c>
      <c r="AB312" s="160">
        <f t="shared" si="189"/>
        <v>7.2760127923073528E-2</v>
      </c>
      <c r="AC312" s="171" t="str">
        <f t="shared" si="190"/>
        <v>-0.627710804033965-0.686542404211335i</v>
      </c>
      <c r="AD312" s="190">
        <f t="shared" si="191"/>
        <v>-0.62802517685887493</v>
      </c>
      <c r="AE312" s="169">
        <f t="shared" si="192"/>
        <v>-132.43690671099668</v>
      </c>
      <c r="AF312" s="98" t="str">
        <f t="shared" si="178"/>
        <v>-9.95024875621891E-06</v>
      </c>
      <c r="AG312" s="98" t="str">
        <f t="shared" si="179"/>
        <v>0.0547789805713194i</v>
      </c>
      <c r="AH312" s="98">
        <f t="shared" si="193"/>
        <v>5.4778980571319399E-2</v>
      </c>
      <c r="AI312" s="98">
        <f t="shared" si="194"/>
        <v>1.5707963267948966</v>
      </c>
      <c r="AJ312" s="98" t="str">
        <f t="shared" si="180"/>
        <v>1+0.546695867282761i</v>
      </c>
      <c r="AK312" s="98">
        <f t="shared" si="195"/>
        <v>1.139682574800567</v>
      </c>
      <c r="AL312" s="98">
        <f t="shared" si="196"/>
        <v>0.50030290994492155</v>
      </c>
      <c r="AM312" s="98" t="str">
        <f t="shared" si="181"/>
        <v>1+547.242563150044i</v>
      </c>
      <c r="AN312" s="98">
        <f t="shared" si="197"/>
        <v>547.24347682090286</v>
      </c>
      <c r="AO312" s="98">
        <f t="shared" si="198"/>
        <v>1.5689689855859363</v>
      </c>
      <c r="AP312" s="168" t="str">
        <f t="shared" si="199"/>
        <v>-0.076453604739391+0.0419785133046386i</v>
      </c>
      <c r="AQ312" s="98">
        <f t="shared" si="200"/>
        <v>-21.187666446272036</v>
      </c>
      <c r="AR312" s="169">
        <f t="shared" si="201"/>
        <v>151.23005584303857</v>
      </c>
      <c r="AS312" s="168" t="str">
        <f t="shared" si="202"/>
        <v>0.0768107831516422+0.0261382752697994i</v>
      </c>
      <c r="AT312" s="190">
        <f t="shared" si="203"/>
        <v>-21.815691623130906</v>
      </c>
      <c r="AU312" s="169">
        <f t="shared" si="204"/>
        <v>18.793149132041862</v>
      </c>
      <c r="AV312" s="225"/>
      <c r="AX312">
        <f t="shared" si="205"/>
        <v>0</v>
      </c>
      <c r="AY312">
        <f t="shared" si="206"/>
        <v>0</v>
      </c>
    </row>
    <row r="313" spans="14:51" x14ac:dyDescent="0.55000000000000004">
      <c r="N313" s="170">
        <v>95</v>
      </c>
      <c r="O313" s="199">
        <f t="shared" si="207"/>
        <v>8912.5093813374679</v>
      </c>
      <c r="P313" s="189" t="str">
        <f t="shared" si="173"/>
        <v>1078.86904761905</v>
      </c>
      <c r="Q313" s="160" t="str">
        <f t="shared" si="174"/>
        <v>1+1749.96712484124i</v>
      </c>
      <c r="R313" s="160">
        <f t="shared" si="182"/>
        <v>1749.9674105608699</v>
      </c>
      <c r="S313" s="160">
        <f t="shared" si="183"/>
        <v>1.5702248875507205</v>
      </c>
      <c r="T313" s="160" t="str">
        <f t="shared" si="175"/>
        <v>1+0.0011199789598984i</v>
      </c>
      <c r="U313" s="160">
        <f t="shared" si="184"/>
        <v>1.0000006271762387</v>
      </c>
      <c r="V313" s="160">
        <f t="shared" si="185"/>
        <v>1.1199784916158112E-3</v>
      </c>
      <c r="W313" s="98" t="str">
        <f t="shared" si="176"/>
        <v>1-0.810013582956916i</v>
      </c>
      <c r="X313" s="160">
        <f t="shared" si="186"/>
        <v>1.2869040386037727</v>
      </c>
      <c r="Y313" s="160">
        <f t="shared" si="187"/>
        <v>-0.68081703063473265</v>
      </c>
      <c r="Z313" s="98" t="str">
        <f t="shared" si="177"/>
        <v>0.856165100095195+0.0643412877283087i</v>
      </c>
      <c r="AA313" s="160">
        <f t="shared" si="188"/>
        <v>0.85857933816715637</v>
      </c>
      <c r="AB313" s="160">
        <f t="shared" si="189"/>
        <v>7.5009565031411277E-2</v>
      </c>
      <c r="AC313" s="171" t="str">
        <f t="shared" si="190"/>
        <v>-0.632672321903741-0.673521138122831i</v>
      </c>
      <c r="AD313" s="190">
        <f t="shared" si="191"/>
        <v>-0.68590448327214715</v>
      </c>
      <c r="AE313" s="169">
        <f t="shared" si="192"/>
        <v>-133.20876287775667</v>
      </c>
      <c r="AF313" s="98" t="str">
        <f t="shared" si="178"/>
        <v>-9.95024875621891E-06</v>
      </c>
      <c r="AG313" s="98" t="str">
        <f t="shared" si="179"/>
        <v>0.0560549469429147i</v>
      </c>
      <c r="AH313" s="98">
        <f t="shared" si="193"/>
        <v>5.6054946942914699E-2</v>
      </c>
      <c r="AI313" s="98">
        <f t="shared" si="194"/>
        <v>1.5707963267948966</v>
      </c>
      <c r="AJ313" s="98" t="str">
        <f t="shared" si="180"/>
        <v>1+0.559430049899299i</v>
      </c>
      <c r="AK313" s="98">
        <f t="shared" si="195"/>
        <v>1.1458455309204343</v>
      </c>
      <c r="AL313" s="98">
        <f t="shared" si="196"/>
        <v>0.51005433243578202</v>
      </c>
      <c r="AM313" s="98" t="str">
        <f t="shared" si="181"/>
        <v>1+559.989479949198i</v>
      </c>
      <c r="AN313" s="98">
        <f t="shared" si="197"/>
        <v>559.99037282240238</v>
      </c>
      <c r="AO313" s="98">
        <f t="shared" si="198"/>
        <v>1.5690105808606558</v>
      </c>
      <c r="AP313" s="168" t="str">
        <f t="shared" si="199"/>
        <v>-0.0756334015412822+0.0424891064409356i</v>
      </c>
      <c r="AQ313" s="98">
        <f t="shared" si="200"/>
        <v>-21.234510440168268</v>
      </c>
      <c r="AR313" s="169">
        <f t="shared" si="201"/>
        <v>150.6737237237524</v>
      </c>
      <c r="AS313" s="168" t="str">
        <f t="shared" si="202"/>
        <v>0.0764684710945221+0.0240590130585835i</v>
      </c>
      <c r="AT313" s="190">
        <f t="shared" si="203"/>
        <v>-21.920414923440411</v>
      </c>
      <c r="AU313" s="169">
        <f t="shared" si="204"/>
        <v>17.464960845995712</v>
      </c>
      <c r="AV313" s="225"/>
      <c r="AX313">
        <f t="shared" si="205"/>
        <v>0</v>
      </c>
      <c r="AY313">
        <f t="shared" si="206"/>
        <v>0</v>
      </c>
    </row>
    <row r="314" spans="14:51" x14ac:dyDescent="0.55000000000000004">
      <c r="N314" s="170">
        <v>96</v>
      </c>
      <c r="O314" s="199">
        <f t="shared" si="207"/>
        <v>9120.1083935591087</v>
      </c>
      <c r="P314" s="189" t="str">
        <f t="shared" si="173"/>
        <v>1078.86904761905</v>
      </c>
      <c r="Q314" s="160" t="str">
        <f t="shared" si="174"/>
        <v>1+1790.72909557174i</v>
      </c>
      <c r="R314" s="160">
        <f t="shared" si="182"/>
        <v>1790.7293747875979</v>
      </c>
      <c r="S314" s="160">
        <f t="shared" si="183"/>
        <v>1.5702378950932372</v>
      </c>
      <c r="T314" s="160" t="str">
        <f t="shared" si="175"/>
        <v>1+0.00114606662116592i</v>
      </c>
      <c r="U314" s="160">
        <f t="shared" si="184"/>
        <v>1.0000006567341344</v>
      </c>
      <c r="V314" s="160">
        <f t="shared" si="185"/>
        <v>1.1460661193921037E-3</v>
      </c>
      <c r="W314" s="98" t="str">
        <f t="shared" si="176"/>
        <v>1-0.828881223092038i</v>
      </c>
      <c r="X314" s="160">
        <f t="shared" si="186"/>
        <v>1.2988626109002264</v>
      </c>
      <c r="Y314" s="160">
        <f t="shared" si="187"/>
        <v>-0.69210504174191856</v>
      </c>
      <c r="Z314" s="98" t="str">
        <f t="shared" si="177"/>
        <v>0.849386370103635+0.065839988846698i</v>
      </c>
      <c r="AA314" s="160">
        <f t="shared" si="188"/>
        <v>0.8519343342354283</v>
      </c>
      <c r="AB314" s="160">
        <f t="shared" si="189"/>
        <v>7.7360076798129951E-2</v>
      </c>
      <c r="AC314" s="171" t="str">
        <f t="shared" si="190"/>
        <v>-0.637946928873599-0.660857014551355i</v>
      </c>
      <c r="AD314" s="190">
        <f t="shared" si="191"/>
        <v>-0.73807689947437005</v>
      </c>
      <c r="AE314" s="169">
        <f t="shared" si="192"/>
        <v>-133.98944324354284</v>
      </c>
      <c r="AF314" s="98" t="str">
        <f t="shared" si="178"/>
        <v>-9.95024875621891E-06</v>
      </c>
      <c r="AG314" s="98" t="str">
        <f t="shared" si="179"/>
        <v>0.0573606343893541i</v>
      </c>
      <c r="AH314" s="98">
        <f t="shared" si="193"/>
        <v>5.7360634389354098E-2</v>
      </c>
      <c r="AI314" s="98">
        <f t="shared" si="194"/>
        <v>1.5707963267948966</v>
      </c>
      <c r="AJ314" s="98" t="str">
        <f t="shared" si="180"/>
        <v>1+0.572460849733225i</v>
      </c>
      <c r="AK314" s="98">
        <f t="shared" si="195"/>
        <v>1.1522636089355969</v>
      </c>
      <c r="AL314" s="98">
        <f t="shared" si="196"/>
        <v>0.51992394723734747</v>
      </c>
      <c r="AM314" s="98" t="str">
        <f t="shared" si="181"/>
        <v>1+573.033310582958i</v>
      </c>
      <c r="AN314" s="98">
        <f t="shared" si="197"/>
        <v>573.03418313191833</v>
      </c>
      <c r="AO314" s="98">
        <f t="shared" si="198"/>
        <v>1.5690512293172985</v>
      </c>
      <c r="AP314" s="168" t="str">
        <f t="shared" si="199"/>
        <v>-0.0747931959206496+0.0429896447390776i</v>
      </c>
      <c r="AQ314" s="98">
        <f t="shared" si="200"/>
        <v>-21.283026481044935</v>
      </c>
      <c r="AR314" s="169">
        <f t="shared" si="201"/>
        <v>150.11056543521218</v>
      </c>
      <c r="AS314" s="168" t="str">
        <f t="shared" si="202"/>
        <v>0.07612409791711+0.0220024963302135i</v>
      </c>
      <c r="AT314" s="190">
        <f t="shared" si="203"/>
        <v>-22.021103380519303</v>
      </c>
      <c r="AU314" s="169">
        <f t="shared" si="204"/>
        <v>16.121122191669393</v>
      </c>
      <c r="AV314" s="225"/>
      <c r="AX314">
        <f t="shared" si="205"/>
        <v>0</v>
      </c>
      <c r="AY314">
        <f t="shared" si="206"/>
        <v>0</v>
      </c>
    </row>
    <row r="315" spans="14:51" x14ac:dyDescent="0.55000000000000004">
      <c r="N315" s="170">
        <v>97</v>
      </c>
      <c r="O315" s="199">
        <f t="shared" si="207"/>
        <v>9332.5430079699217</v>
      </c>
      <c r="P315" s="189" t="str">
        <f t="shared" si="173"/>
        <v>1078.86904761905</v>
      </c>
      <c r="Q315" s="160" t="str">
        <f t="shared" si="174"/>
        <v>1+1832.44053457182i</v>
      </c>
      <c r="R315" s="160">
        <f t="shared" si="182"/>
        <v>1832.4408074319501</v>
      </c>
      <c r="S315" s="160">
        <f t="shared" si="183"/>
        <v>1.5702506065481201</v>
      </c>
      <c r="T315" s="160" t="str">
        <f t="shared" si="175"/>
        <v>1+0.00117276194212596i</v>
      </c>
      <c r="U315" s="160">
        <f t="shared" si="184"/>
        <v>1.00000068768505</v>
      </c>
      <c r="V315" s="160">
        <f t="shared" si="185"/>
        <v>1.1727614044656489E-3</v>
      </c>
      <c r="W315" s="98" t="str">
        <f t="shared" si="176"/>
        <v>1-0.848188347023183i</v>
      </c>
      <c r="X315" s="160">
        <f t="shared" si="186"/>
        <v>1.3112678872091392</v>
      </c>
      <c r="Y315" s="160">
        <f t="shared" si="187"/>
        <v>-0.7034413656277041</v>
      </c>
      <c r="Z315" s="98" t="str">
        <f t="shared" si="177"/>
        <v>0.842288168409943+0.0673735991986691i</v>
      </c>
      <c r="AA315" s="160">
        <f t="shared" si="188"/>
        <v>0.84497843789789062</v>
      </c>
      <c r="AB315" s="160">
        <f t="shared" si="189"/>
        <v>7.9818832569773415E-2</v>
      </c>
      <c r="AC315" s="171" t="str">
        <f t="shared" si="190"/>
        <v>-0.643559297881029-0.648542243504198i</v>
      </c>
      <c r="AD315" s="190">
        <f t="shared" si="191"/>
        <v>-0.78430247611266668</v>
      </c>
      <c r="AE315" s="169">
        <f t="shared" si="192"/>
        <v>-134.77904187150912</v>
      </c>
      <c r="AF315" s="98" t="str">
        <f t="shared" si="178"/>
        <v>-9.95024875621891E-06</v>
      </c>
      <c r="AG315" s="98" t="str">
        <f t="shared" si="179"/>
        <v>0.0586967352034045i</v>
      </c>
      <c r="AH315" s="98">
        <f t="shared" si="193"/>
        <v>5.8696735203404501E-2</v>
      </c>
      <c r="AI315" s="98">
        <f t="shared" si="194"/>
        <v>1.5707963267948966</v>
      </c>
      <c r="AJ315" s="98" t="str">
        <f t="shared" si="180"/>
        <v>1+0.585795175887095i</v>
      </c>
      <c r="AK315" s="98">
        <f t="shared" si="195"/>
        <v>1.1589460678101429</v>
      </c>
      <c r="AL315" s="98">
        <f t="shared" si="196"/>
        <v>0.52990929554093391</v>
      </c>
      <c r="AM315" s="98" t="str">
        <f t="shared" si="181"/>
        <v>1+586.380971062982i</v>
      </c>
      <c r="AN315" s="98">
        <f t="shared" si="197"/>
        <v>586.38182375033216</v>
      </c>
      <c r="AO315" s="98">
        <f t="shared" si="198"/>
        <v>1.5690909525076764</v>
      </c>
      <c r="AP315" s="168" t="str">
        <f t="shared" si="199"/>
        <v>-0.0739331705158349+0.0434792142548909i</v>
      </c>
      <c r="AQ315" s="98">
        <f t="shared" si="200"/>
        <v>-21.333254680163822</v>
      </c>
      <c r="AR315" s="169">
        <f t="shared" si="201"/>
        <v>149.540723091606</v>
      </c>
      <c r="AS315" s="168" t="str">
        <f t="shared" si="202"/>
        <v>0.0757784864659558+0.0199673316774216i</v>
      </c>
      <c r="AT315" s="190">
        <f t="shared" si="203"/>
        <v>-22.117557156276479</v>
      </c>
      <c r="AU315" s="169">
        <f t="shared" si="204"/>
        <v>14.761681220096881</v>
      </c>
      <c r="AV315" s="225"/>
      <c r="AX315">
        <f t="shared" si="205"/>
        <v>0</v>
      </c>
      <c r="AY315">
        <f t="shared" si="206"/>
        <v>0</v>
      </c>
    </row>
    <row r="316" spans="14:51" x14ac:dyDescent="0.55000000000000004">
      <c r="N316" s="170">
        <v>98</v>
      </c>
      <c r="O316" s="199">
        <f t="shared" si="207"/>
        <v>9549.9258602143691</v>
      </c>
      <c r="P316" s="189" t="str">
        <f t="shared" si="173"/>
        <v>1078.86904761905</v>
      </c>
      <c r="Q316" s="160" t="str">
        <f t="shared" si="174"/>
        <v>1+1875.12355779854i</v>
      </c>
      <c r="R316" s="160">
        <f t="shared" si="182"/>
        <v>1875.123824447616</v>
      </c>
      <c r="S316" s="160">
        <f t="shared" si="183"/>
        <v>1.5702630286551347</v>
      </c>
      <c r="T316" s="160" t="str">
        <f t="shared" si="175"/>
        <v>1+0.00120007907699107i</v>
      </c>
      <c r="U316" s="160">
        <f t="shared" si="184"/>
        <v>1.0000007200946361</v>
      </c>
      <c r="V316" s="160">
        <f t="shared" si="185"/>
        <v>1.2000785008776894E-3</v>
      </c>
      <c r="W316" s="98" t="str">
        <f t="shared" si="176"/>
        <v>1-0.867945191643019i</v>
      </c>
      <c r="X316" s="160">
        <f t="shared" si="186"/>
        <v>1.3241332469567544</v>
      </c>
      <c r="Y316" s="160">
        <f t="shared" si="187"/>
        <v>-0.7148203589047728</v>
      </c>
      <c r="Z316" s="98" t="str">
        <f t="shared" si="177"/>
        <v>0.834855438776656+0.0689429319247303i</v>
      </c>
      <c r="AA316" s="160">
        <f t="shared" si="188"/>
        <v>0.83769727916314785</v>
      </c>
      <c r="AB316" s="160">
        <f t="shared" si="189"/>
        <v>8.2393725330825118E-2</v>
      </c>
      <c r="AC316" s="171" t="str">
        <f t="shared" si="190"/>
        <v>-0.64953658802825-0.63656893284772i</v>
      </c>
      <c r="AD316" s="190">
        <f t="shared" si="191"/>
        <v>-0.82432640471142937</v>
      </c>
      <c r="AE316" s="169">
        <f t="shared" si="192"/>
        <v>-135.57768722927153</v>
      </c>
      <c r="AF316" s="98" t="str">
        <f t="shared" si="178"/>
        <v>-9.95024875621891E-06</v>
      </c>
      <c r="AG316" s="98" t="str">
        <f t="shared" si="179"/>
        <v>0.0600639578034029i</v>
      </c>
      <c r="AH316" s="98">
        <f t="shared" si="193"/>
        <v>6.0063957803402901E-2</v>
      </c>
      <c r="AI316" s="98">
        <f t="shared" si="194"/>
        <v>1.5707963267948966</v>
      </c>
      <c r="AJ316" s="98" t="str">
        <f t="shared" si="180"/>
        <v>1+0.599440098397136i</v>
      </c>
      <c r="AK316" s="98">
        <f t="shared" si="195"/>
        <v>1.1659024108244944</v>
      </c>
      <c r="AL316" s="98">
        <f t="shared" si="196"/>
        <v>0.54000770621933025</v>
      </c>
      <c r="AM316" s="98" t="str">
        <f t="shared" si="181"/>
        <v>1+600.039538495533i</v>
      </c>
      <c r="AN316" s="98">
        <f t="shared" si="197"/>
        <v>600.04037177337682</v>
      </c>
      <c r="AO316" s="98">
        <f t="shared" si="198"/>
        <v>1.5691297714930494</v>
      </c>
      <c r="AP316" s="168" t="str">
        <f t="shared" si="199"/>
        <v>-0.0730535596776899+0.043956893892281i</v>
      </c>
      <c r="AQ316" s="98">
        <f t="shared" si="200"/>
        <v>-21.385234729089756</v>
      </c>
      <c r="AR316" s="169">
        <f t="shared" si="201"/>
        <v>148.96435094397094</v>
      </c>
      <c r="AS316" s="168" t="str">
        <f t="shared" si="202"/>
        <v>0.0754325529326746+0.0179520156456423i</v>
      </c>
      <c r="AT316" s="190">
        <f t="shared" si="203"/>
        <v>-22.209561133801188</v>
      </c>
      <c r="AU316" s="169">
        <f t="shared" si="204"/>
        <v>13.386663714699411</v>
      </c>
      <c r="AV316" s="225"/>
      <c r="AX316">
        <f t="shared" si="205"/>
        <v>0</v>
      </c>
      <c r="AY316">
        <f t="shared" si="206"/>
        <v>0</v>
      </c>
    </row>
    <row r="317" spans="14:51" x14ac:dyDescent="0.55000000000000004">
      <c r="N317" s="170">
        <v>99</v>
      </c>
      <c r="O317" s="199">
        <f t="shared" si="207"/>
        <v>9772.3722095581161</v>
      </c>
      <c r="P317" s="189" t="str">
        <f t="shared" si="173"/>
        <v>1078.86904761905</v>
      </c>
      <c r="Q317" s="160" t="str">
        <f t="shared" si="174"/>
        <v>1+1918.8007963558i</v>
      </c>
      <c r="R317" s="160">
        <f t="shared" si="182"/>
        <v>1918.801056935203</v>
      </c>
      <c r="S317" s="160">
        <f t="shared" si="183"/>
        <v>1.570275168000631</v>
      </c>
      <c r="T317" s="160" t="str">
        <f t="shared" si="175"/>
        <v>1+0.00122803250966771i</v>
      </c>
      <c r="U317" s="160">
        <f t="shared" si="184"/>
        <v>1.000000754031638</v>
      </c>
      <c r="V317" s="160">
        <f t="shared" si="185"/>
        <v>1.2280318923511258E-3</v>
      </c>
      <c r="W317" s="98" t="str">
        <f t="shared" si="176"/>
        <v>1-0.888162232292078i</v>
      </c>
      <c r="X317" s="160">
        <f t="shared" si="186"/>
        <v>1.3374722991038159</v>
      </c>
      <c r="Y317" s="160">
        <f t="shared" si="187"/>
        <v>-0.72623626877486869</v>
      </c>
      <c r="Z317" s="98" t="str">
        <f t="shared" si="177"/>
        <v>0.827072415387697+0.0705488191058656i</v>
      </c>
      <c r="AA317" s="160">
        <f t="shared" si="188"/>
        <v>0.83007584965018177</v>
      </c>
      <c r="AB317" s="160">
        <f t="shared" si="189"/>
        <v>8.509346534939824E-2</v>
      </c>
      <c r="AC317" s="171" t="str">
        <f t="shared" si="190"/>
        <v>-0.655908763398259-0.624929018299998i</v>
      </c>
      <c r="AD317" s="190">
        <f t="shared" si="191"/>
        <v>-0.85787741391459449</v>
      </c>
      <c r="AE317" s="169">
        <f t="shared" si="192"/>
        <v>-136.38554831488497</v>
      </c>
      <c r="AF317" s="98" t="str">
        <f t="shared" si="178"/>
        <v>-9.95024875621891E-06</v>
      </c>
      <c r="AG317" s="98" t="str">
        <f t="shared" si="179"/>
        <v>0.0614630271088691i</v>
      </c>
      <c r="AH317" s="98">
        <f t="shared" si="193"/>
        <v>6.1463027108869098E-2</v>
      </c>
      <c r="AI317" s="98">
        <f t="shared" si="194"/>
        <v>1.5707963267948966</v>
      </c>
      <c r="AJ317" s="98" t="str">
        <f t="shared" si="180"/>
        <v>1+0.613402851981875i</v>
      </c>
      <c r="AK317" s="98">
        <f t="shared" si="195"/>
        <v>1.1731423864218264</v>
      </c>
      <c r="AL317" s="98">
        <f t="shared" si="196"/>
        <v>0.55021629453512377</v>
      </c>
      <c r="AM317" s="98" t="str">
        <f t="shared" si="181"/>
        <v>1+614.016254833857i</v>
      </c>
      <c r="AN317" s="98">
        <f t="shared" si="197"/>
        <v>614.01706914400677</v>
      </c>
      <c r="AO317" s="98">
        <f t="shared" si="198"/>
        <v>1.5691677068552892</v>
      </c>
      <c r="AP317" s="168" t="str">
        <f t="shared" si="199"/>
        <v>-0.0721546510026892+0.0444217586973778i</v>
      </c>
      <c r="AQ317" s="98">
        <f t="shared" si="200"/>
        <v>-21.439005793962806</v>
      </c>
      <c r="AR317" s="169">
        <f t="shared" si="201"/>
        <v>148.38161545484004</v>
      </c>
      <c r="AS317" s="168" t="str">
        <f t="shared" si="202"/>
        <v>0.0750873139665185+0.0159549144017166i</v>
      </c>
      <c r="AT317" s="190">
        <f t="shared" si="203"/>
        <v>-22.296883207877404</v>
      </c>
      <c r="AU317" s="169">
        <f t="shared" si="204"/>
        <v>11.996067139955048</v>
      </c>
      <c r="AV317" s="225"/>
      <c r="AX317">
        <f t="shared" si="205"/>
        <v>0</v>
      </c>
      <c r="AY317">
        <f t="shared" si="206"/>
        <v>0</v>
      </c>
    </row>
    <row r="318" spans="14:51" x14ac:dyDescent="0.55000000000000004">
      <c r="N318" s="170">
        <v>100</v>
      </c>
      <c r="O318" s="199">
        <f t="shared" si="207"/>
        <v>10000</v>
      </c>
      <c r="P318" s="189" t="str">
        <f t="shared" si="173"/>
        <v>1078.86904761905</v>
      </c>
      <c r="Q318" s="160" t="str">
        <f t="shared" si="174"/>
        <v>1+1963.49540849362i</v>
      </c>
      <c r="R318" s="160">
        <f t="shared" si="182"/>
        <v>1963.4956631415128</v>
      </c>
      <c r="S318" s="160">
        <f t="shared" si="183"/>
        <v>1.5702870310210366</v>
      </c>
      <c r="T318" s="160" t="str">
        <f t="shared" si="175"/>
        <v>1+0.00125663706143592i</v>
      </c>
      <c r="U318" s="160">
        <f t="shared" si="184"/>
        <v>1.0000007895680403</v>
      </c>
      <c r="V318" s="160">
        <f t="shared" si="185"/>
        <v>1.2566363999693109E-3</v>
      </c>
      <c r="W318" s="98" t="str">
        <f t="shared" si="176"/>
        <v>1-0.908850188312914i</v>
      </c>
      <c r="X318" s="160">
        <f t="shared" si="186"/>
        <v>1.3512988806316755</v>
      </c>
      <c r="Y318" s="160">
        <f t="shared" si="187"/>
        <v>-0.73768324697889687</v>
      </c>
      <c r="Z318" s="98" t="str">
        <f t="shared" si="177"/>
        <v>0.81892258940697+0.0721921122047148i</v>
      </c>
      <c r="AA318" s="160">
        <f t="shared" si="188"/>
        <v>0.82209847859340734</v>
      </c>
      <c r="AB318" s="160">
        <f t="shared" si="189"/>
        <v>8.792768864932915E-2</v>
      </c>
      <c r="AC318" s="171" t="str">
        <f t="shared" si="190"/>
        <v>-0.662708961832177-0.613614177861339i</v>
      </c>
      <c r="AD318" s="190">
        <f t="shared" si="191"/>
        <v>-0.88466594826536338</v>
      </c>
      <c r="AE318" s="169">
        <f t="shared" si="192"/>
        <v>-137.20284167087775</v>
      </c>
      <c r="AF318" s="98" t="str">
        <f t="shared" si="178"/>
        <v>-9.95024875621891E-06</v>
      </c>
      <c r="AG318" s="98" t="str">
        <f t="shared" si="179"/>
        <v>0.0628946849248677i</v>
      </c>
      <c r="AH318" s="98">
        <f t="shared" si="193"/>
        <v>6.2894684924867703E-2</v>
      </c>
      <c r="AI318" s="98">
        <f t="shared" si="194"/>
        <v>1.5707963267948966</v>
      </c>
      <c r="AJ318" s="98" t="str">
        <f t="shared" si="180"/>
        <v>1+0.627690839878081i</v>
      </c>
      <c r="AK318" s="98">
        <f t="shared" si="195"/>
        <v>1.1806759887737408</v>
      </c>
      <c r="AL318" s="98">
        <f t="shared" si="196"/>
        <v>0.56053196163699348</v>
      </c>
      <c r="AM318" s="98" t="str">
        <f t="shared" si="181"/>
        <v>1+628.318530717959i</v>
      </c>
      <c r="AN318" s="98">
        <f t="shared" si="197"/>
        <v>628.31932649217049</v>
      </c>
      <c r="AO318" s="98">
        <f t="shared" si="198"/>
        <v>1.5692047787077896</v>
      </c>
      <c r="AP318" s="168" t="str">
        <f t="shared" si="199"/>
        <v>-0.0712367866360324+0.0448728833563189i</v>
      </c>
      <c r="AQ318" s="98">
        <f t="shared" si="200"/>
        <v>-21.494606406910069</v>
      </c>
      <c r="AR318" s="169">
        <f t="shared" si="201"/>
        <v>147.79269532772796</v>
      </c>
      <c r="AS318" s="168" t="str">
        <f t="shared" si="202"/>
        <v>0.0747438943447807+0.0139742403216702i</v>
      </c>
      <c r="AT318" s="190">
        <f t="shared" si="203"/>
        <v>-22.379272355175431</v>
      </c>
      <c r="AU318" s="169">
        <f t="shared" si="204"/>
        <v>10.589853656850233</v>
      </c>
      <c r="AV318" s="225"/>
      <c r="AX318">
        <f t="shared" si="205"/>
        <v>0</v>
      </c>
      <c r="AY318">
        <f t="shared" si="206"/>
        <v>0</v>
      </c>
    </row>
    <row r="319" spans="14:51" x14ac:dyDescent="0.55000000000000004">
      <c r="N319" s="170">
        <v>1</v>
      </c>
      <c r="O319" s="199">
        <f>10^(4+(N319/100))</f>
        <v>10232.929922807549</v>
      </c>
      <c r="P319" s="189" t="str">
        <f t="shared" si="173"/>
        <v>1078.86904761905</v>
      </c>
      <c r="Q319" s="160" t="str">
        <f t="shared" si="174"/>
        <v>1+2009.23109188696i</v>
      </c>
      <c r="R319" s="160">
        <f t="shared" si="182"/>
        <v>2009.2313407383594</v>
      </c>
      <c r="S319" s="160">
        <f t="shared" si="183"/>
        <v>1.5702986240062684</v>
      </c>
      <c r="T319" s="160" t="str">
        <f t="shared" si="175"/>
        <v>1+0.00128590789880765i</v>
      </c>
      <c r="U319" s="160">
        <f t="shared" si="184"/>
        <v>1.0000008267792204</v>
      </c>
      <c r="V319" s="160">
        <f t="shared" si="185"/>
        <v>1.2859071900334401E-3</v>
      </c>
      <c r="W319" s="98" t="str">
        <f t="shared" si="176"/>
        <v>1-0.930020028733648i</v>
      </c>
      <c r="X319" s="160">
        <f t="shared" si="186"/>
        <v>1.3656270551822469</v>
      </c>
      <c r="Y319" s="160">
        <f t="shared" si="187"/>
        <v>-0.74915536434198216</v>
      </c>
      <c r="Z319" s="98" t="str">
        <f t="shared" si="177"/>
        <v>0.810388673960905+0.0738736825170305i</v>
      </c>
      <c r="AA319" s="160">
        <f t="shared" si="188"/>
        <v>0.81374880881801659</v>
      </c>
      <c r="AB319" s="160">
        <f t="shared" si="189"/>
        <v>9.0907083109204409E-2</v>
      </c>
      <c r="AC319" s="171" t="str">
        <f t="shared" si="190"/>
        <v>-0.669973922950054-0.602615726698066i</v>
      </c>
      <c r="AD319" s="190">
        <f t="shared" si="191"/>
        <v>-0.90438209711228568</v>
      </c>
      <c r="AE319" s="169">
        <f t="shared" si="192"/>
        <v>-138.0298394423088</v>
      </c>
      <c r="AF319" s="98" t="str">
        <f t="shared" si="178"/>
        <v>-9.95024875621891E-06</v>
      </c>
      <c r="AG319" s="98" t="str">
        <f t="shared" si="179"/>
        <v>0.0643596903353231i</v>
      </c>
      <c r="AH319" s="98">
        <f t="shared" si="193"/>
        <v>6.43596903353231E-2</v>
      </c>
      <c r="AI319" s="98">
        <f t="shared" si="194"/>
        <v>1.5707963267948966</v>
      </c>
      <c r="AJ319" s="98" t="str">
        <f t="shared" si="180"/>
        <v>1+0.642311637766061i</v>
      </c>
      <c r="AK319" s="98">
        <f t="shared" si="195"/>
        <v>1.1885134580684056</v>
      </c>
      <c r="AL319" s="98">
        <f t="shared" si="196"/>
        <v>0.57095139488935365</v>
      </c>
      <c r="AM319" s="98" t="str">
        <f t="shared" si="181"/>
        <v>1+642.953949403827i</v>
      </c>
      <c r="AN319" s="98">
        <f t="shared" si="197"/>
        <v>642.95472706402813</v>
      </c>
      <c r="AO319" s="98">
        <f t="shared" si="198"/>
        <v>1.56924100670613</v>
      </c>
      <c r="AP319" s="168" t="str">
        <f t="shared" si="199"/>
        <v>-0.0703003643192405+0.0453093458802789i</v>
      </c>
      <c r="AQ319" s="98">
        <f t="shared" si="200"/>
        <v>-21.552074355085754</v>
      </c>
      <c r="AR319" s="169">
        <f t="shared" si="201"/>
        <v>147.19778148885456</v>
      </c>
      <c r="AS319" s="168" t="str">
        <f t="shared" si="202"/>
        <v>0.0744035352616378+0.0120080249256666i</v>
      </c>
      <c r="AT319" s="190">
        <f t="shared" si="203"/>
        <v>-22.456456452198047</v>
      </c>
      <c r="AU319" s="169">
        <f t="shared" si="204"/>
        <v>9.167942046545793</v>
      </c>
      <c r="AV319" s="225"/>
      <c r="AX319">
        <f t="shared" si="205"/>
        <v>0</v>
      </c>
      <c r="AY319">
        <f t="shared" si="206"/>
        <v>0</v>
      </c>
    </row>
    <row r="320" spans="14:51" x14ac:dyDescent="0.55000000000000004">
      <c r="N320" s="170">
        <v>2</v>
      </c>
      <c r="O320" s="199">
        <f t="shared" ref="O320:O383" si="208">10^(4+(N320/100))</f>
        <v>10471.285480509003</v>
      </c>
      <c r="P320" s="189" t="str">
        <f t="shared" si="173"/>
        <v>1078.86904761905</v>
      </c>
      <c r="Q320" s="160" t="str">
        <f t="shared" si="174"/>
        <v>1+2056.03209620053i</v>
      </c>
      <c r="R320" s="160">
        <f t="shared" si="182"/>
        <v>2056.0323393873805</v>
      </c>
      <c r="S320" s="160">
        <f t="shared" si="183"/>
        <v>1.5703099531030682</v>
      </c>
      <c r="T320" s="160" t="str">
        <f t="shared" si="175"/>
        <v>1+0.00131586054156834i</v>
      </c>
      <c r="U320" s="160">
        <f t="shared" si="184"/>
        <v>1.0000008657441077</v>
      </c>
      <c r="V320" s="160">
        <f t="shared" si="185"/>
        <v>1.3158597821031266E-3</v>
      </c>
      <c r="W320" s="98" t="str">
        <f t="shared" si="176"/>
        <v>1-0.951682978083888i</v>
      </c>
      <c r="X320" s="160">
        <f t="shared" si="186"/>
        <v>1.3804711118942758</v>
      </c>
      <c r="Y320" s="160">
        <f t="shared" si="187"/>
        <v>-0.76064662582817821</v>
      </c>
      <c r="Z320" s="98" t="str">
        <f t="shared" si="177"/>
        <v>0.801452567470676+0.0755944216336506i</v>
      </c>
      <c r="AA320" s="160">
        <f t="shared" si="188"/>
        <v>0.80500977291425746</v>
      </c>
      <c r="AB320" s="160">
        <f t="shared" si="189"/>
        <v>9.4043535607803874E-2</v>
      </c>
      <c r="AC320" s="171" t="str">
        <f t="shared" si="190"/>
        <v>-0.67774448669497-0.59192448737744i</v>
      </c>
      <c r="AD320" s="190">
        <f t="shared" si="191"/>
        <v>-0.91669323558966997</v>
      </c>
      <c r="AE320" s="169">
        <f t="shared" si="192"/>
        <v>-138.86687866988316</v>
      </c>
      <c r="AF320" s="98" t="str">
        <f t="shared" si="178"/>
        <v>-9.95024875621891E-06</v>
      </c>
      <c r="AG320" s="98" t="str">
        <f t="shared" si="179"/>
        <v>0.0658588201054955i</v>
      </c>
      <c r="AH320" s="98">
        <f t="shared" si="193"/>
        <v>6.58588201054955E-2</v>
      </c>
      <c r="AI320" s="98">
        <f t="shared" si="194"/>
        <v>1.5707963267948966</v>
      </c>
      <c r="AJ320" s="98" t="str">
        <f t="shared" si="180"/>
        <v>1+0.657272997786385i</v>
      </c>
      <c r="AK320" s="98">
        <f t="shared" si="195"/>
        <v>1.1966652805271412</v>
      </c>
      <c r="AL320" s="98">
        <f t="shared" si="196"/>
        <v>0.58147106907653556</v>
      </c>
      <c r="AM320" s="98" t="str">
        <f t="shared" si="181"/>
        <v>1+657.930270784171i</v>
      </c>
      <c r="AN320" s="98">
        <f t="shared" si="197"/>
        <v>657.93103074268549</v>
      </c>
      <c r="AO320" s="98">
        <f t="shared" si="198"/>
        <v>1.5692764100584937</v>
      </c>
      <c r="AP320" s="168" t="str">
        <f t="shared" si="199"/>
        <v>-0.0693458381577971+0.045730231458075i</v>
      </c>
      <c r="AQ320" s="98">
        <f t="shared" si="200"/>
        <v>-21.611446567879405</v>
      </c>
      <c r="AR320" s="169">
        <f t="shared" si="201"/>
        <v>146.5970770187474</v>
      </c>
      <c r="AS320" s="168" t="str">
        <f t="shared" si="202"/>
        <v>0.0740676033001614+0.0100540874573178i</v>
      </c>
      <c r="AT320" s="190">
        <f t="shared" si="203"/>
        <v>-22.528139803469074</v>
      </c>
      <c r="AU320" s="169">
        <f t="shared" si="204"/>
        <v>7.7301983488642509</v>
      </c>
      <c r="AV320" s="225"/>
      <c r="AX320">
        <f t="shared" si="205"/>
        <v>0</v>
      </c>
      <c r="AY320">
        <f t="shared" si="206"/>
        <v>0</v>
      </c>
    </row>
    <row r="321" spans="14:51" x14ac:dyDescent="0.55000000000000004">
      <c r="N321" s="170">
        <v>3</v>
      </c>
      <c r="O321" s="199">
        <f t="shared" si="208"/>
        <v>10715.193052376071</v>
      </c>
      <c r="P321" s="189" t="str">
        <f t="shared" si="173"/>
        <v>1078.86904761905</v>
      </c>
      <c r="Q321" s="160" t="str">
        <f t="shared" si="174"/>
        <v>1+2103.92323594632i</v>
      </c>
      <c r="R321" s="160">
        <f t="shared" si="182"/>
        <v>2103.9234735975629</v>
      </c>
      <c r="S321" s="160">
        <f t="shared" si="183"/>
        <v>1.5703210243182613</v>
      </c>
      <c r="T321" s="160" t="str">
        <f t="shared" si="175"/>
        <v>1+0.00134651087100564i</v>
      </c>
      <c r="U321" s="160">
        <f t="shared" si="184"/>
        <v>1.0000009065453519</v>
      </c>
      <c r="V321" s="160">
        <f t="shared" si="185"/>
        <v>1.3465100572240421E-3</v>
      </c>
      <c r="W321" s="98" t="str">
        <f t="shared" si="176"/>
        <v>1-0.973850522346121i</v>
      </c>
      <c r="X321" s="160">
        <f t="shared" si="186"/>
        <v>1.3958455644783245</v>
      </c>
      <c r="Y321" s="160">
        <f t="shared" si="187"/>
        <v>-0.77215098601362164</v>
      </c>
      <c r="Z321" s="98" t="str">
        <f t="shared" si="177"/>
        <v>0.792095315256335+0.0773552419132313i</v>
      </c>
      <c r="AA321" s="160">
        <f t="shared" si="188"/>
        <v>0.79586356990534957</v>
      </c>
      <c r="AB321" s="160">
        <f t="shared" si="189"/>
        <v>9.7350304411992314E-2</v>
      </c>
      <c r="AC321" s="171" t="str">
        <f t="shared" si="190"/>
        <v>-0.686066176167928-0.581530628886611i</v>
      </c>
      <c r="AD321" s="190">
        <f t="shared" si="191"/>
        <v>-0.92124133280614429</v>
      </c>
      <c r="AE321" s="169">
        <f t="shared" si="192"/>
        <v>-139.71437205331216</v>
      </c>
      <c r="AF321" s="98" t="str">
        <f t="shared" si="178"/>
        <v>-9.95024875621891E-06</v>
      </c>
      <c r="AG321" s="98" t="str">
        <f t="shared" si="179"/>
        <v>0.0673928690938324i</v>
      </c>
      <c r="AH321" s="98">
        <f t="shared" si="193"/>
        <v>6.7392869093832394E-2</v>
      </c>
      <c r="AI321" s="98">
        <f t="shared" si="194"/>
        <v>1.5707963267948966</v>
      </c>
      <c r="AJ321" s="98" t="str">
        <f t="shared" si="180"/>
        <v>1+0.672582852650171i</v>
      </c>
      <c r="AK321" s="98">
        <f t="shared" si="195"/>
        <v>1.2051421881583275</v>
      </c>
      <c r="AL321" s="98">
        <f t="shared" si="196"/>
        <v>0.59208724851776662</v>
      </c>
      <c r="AM321" s="98" t="str">
        <f t="shared" si="181"/>
        <v>1+673.255435502821i</v>
      </c>
      <c r="AN321" s="98">
        <f t="shared" si="197"/>
        <v>673.25617816258716</v>
      </c>
      <c r="AO321" s="98">
        <f t="shared" si="198"/>
        <v>1.5693110075358521</v>
      </c>
      <c r="AP321" s="168" t="str">
        <f t="shared" si="199"/>
        <v>-0.0683737190858773+0.0461346364534411i</v>
      </c>
      <c r="AQ321" s="98">
        <f t="shared" si="200"/>
        <v>-21.672759002879136</v>
      </c>
      <c r="AR321" s="169">
        <f t="shared" si="201"/>
        <v>145.99079703164574</v>
      </c>
      <c r="AS321" s="168" t="str">
        <f t="shared" si="202"/>
        <v>0.0737376001538527+0.00810999823881687i</v>
      </c>
      <c r="AT321" s="190">
        <f t="shared" si="203"/>
        <v>-22.59400033568528</v>
      </c>
      <c r="AU321" s="169">
        <f t="shared" si="204"/>
        <v>6.2764249783335524</v>
      </c>
      <c r="AV321" s="225"/>
      <c r="AX321">
        <f t="shared" si="205"/>
        <v>0</v>
      </c>
      <c r="AY321">
        <f t="shared" si="206"/>
        <v>0</v>
      </c>
    </row>
    <row r="322" spans="14:51" x14ac:dyDescent="0.55000000000000004">
      <c r="N322" s="170">
        <v>4</v>
      </c>
      <c r="O322" s="199">
        <f t="shared" si="208"/>
        <v>10964.781961431856</v>
      </c>
      <c r="P322" s="189" t="str">
        <f t="shared" si="173"/>
        <v>1078.86904761905</v>
      </c>
      <c r="Q322" s="160" t="str">
        <f t="shared" si="174"/>
        <v>1+2152.92990364051i</v>
      </c>
      <c r="R322" s="160">
        <f t="shared" si="182"/>
        <v>2152.9301358821504</v>
      </c>
      <c r="S322" s="160">
        <f t="shared" si="183"/>
        <v>1.5703318435219418</v>
      </c>
      <c r="T322" s="160" t="str">
        <f t="shared" si="175"/>
        <v>1+0.00137787513832993i</v>
      </c>
      <c r="U322" s="160">
        <f t="shared" si="184"/>
        <v>1.0000009492694979</v>
      </c>
      <c r="V322" s="160">
        <f t="shared" si="185"/>
        <v>1.3778742663472822E-3</v>
      </c>
      <c r="W322" s="98" t="str">
        <f t="shared" si="176"/>
        <v>1-0.996534415045738i</v>
      </c>
      <c r="X322" s="160">
        <f t="shared" si="186"/>
        <v>1.4117651505723434</v>
      </c>
      <c r="Y322" s="160">
        <f t="shared" si="187"/>
        <v>-0.78366236488200747</v>
      </c>
      <c r="Z322" s="98" t="str">
        <f t="shared" si="177"/>
        <v>0.782297069331387+0.0791570769659921i</v>
      </c>
      <c r="AA322" s="160">
        <f t="shared" si="188"/>
        <v>0.78629164278801589</v>
      </c>
      <c r="AB322" s="160">
        <f t="shared" si="189"/>
        <v>0.10084222198290874</v>
      </c>
      <c r="AC322" s="171" t="str">
        <f t="shared" si="190"/>
        <v>-0.694989881632387-0.571423465935115i</v>
      </c>
      <c r="AD322" s="190">
        <f t="shared" si="191"/>
        <v>-0.91763987412716963</v>
      </c>
      <c r="AE322" s="169">
        <f t="shared" si="192"/>
        <v>-140.57282047596601</v>
      </c>
      <c r="AF322" s="98" t="str">
        <f t="shared" si="178"/>
        <v>-9.95024875621891E-06</v>
      </c>
      <c r="AG322" s="98" t="str">
        <f t="shared" si="179"/>
        <v>0.0689626506734129i</v>
      </c>
      <c r="AH322" s="98">
        <f t="shared" si="193"/>
        <v>6.8962650673412895E-2</v>
      </c>
      <c r="AI322" s="98">
        <f t="shared" si="194"/>
        <v>1.5707963267948966</v>
      </c>
      <c r="AJ322" s="98" t="str">
        <f t="shared" si="180"/>
        <v>1+0.688249319845119i</v>
      </c>
      <c r="AK322" s="98">
        <f t="shared" si="195"/>
        <v>1.2139551582604973</v>
      </c>
      <c r="AL322" s="98">
        <f t="shared" si="196"/>
        <v>0.60279599012353013</v>
      </c>
      <c r="AM322" s="98" t="str">
        <f t="shared" si="181"/>
        <v>1+688.937569164964i</v>
      </c>
      <c r="AN322" s="98">
        <f t="shared" si="197"/>
        <v>688.93829491974793</v>
      </c>
      <c r="AO322" s="98">
        <f t="shared" si="198"/>
        <v>1.5693448174819136</v>
      </c>
      <c r="AP322" s="168" t="str">
        <f t="shared" si="199"/>
        <v>-0.0673845750071406+0.0465216725209057i</v>
      </c>
      <c r="AQ322" s="98">
        <f t="shared" si="200"/>
        <v>-21.736046531221788</v>
      </c>
      <c r="AR322" s="169">
        <f t="shared" si="201"/>
        <v>145.37916850095419</v>
      </c>
      <c r="AS322" s="168" t="str">
        <f t="shared" si="202"/>
        <v>0.0734151731610557+0.00617303572250008i</v>
      </c>
      <c r="AT322" s="190">
        <f t="shared" si="203"/>
        <v>-22.653686405348953</v>
      </c>
      <c r="AU322" s="169">
        <f t="shared" si="204"/>
        <v>4.8063480249881883</v>
      </c>
      <c r="AV322" s="225"/>
      <c r="AX322">
        <f t="shared" si="205"/>
        <v>0</v>
      </c>
      <c r="AY322">
        <f t="shared" si="206"/>
        <v>0</v>
      </c>
    </row>
    <row r="323" spans="14:51" x14ac:dyDescent="0.55000000000000004">
      <c r="N323" s="170">
        <v>5</v>
      </c>
      <c r="O323" s="199">
        <f t="shared" si="208"/>
        <v>11220.184543019639</v>
      </c>
      <c r="P323" s="189" t="str">
        <f t="shared" si="173"/>
        <v>1078.86904761905</v>
      </c>
      <c r="Q323" s="160" t="str">
        <f t="shared" si="174"/>
        <v>1+2203.07808326702i</v>
      </c>
      <c r="R323" s="160">
        <f t="shared" si="182"/>
        <v>2203.0783102221958</v>
      </c>
      <c r="S323" s="160">
        <f t="shared" si="183"/>
        <v>1.5703424164505846</v>
      </c>
      <c r="T323" s="160" t="str">
        <f t="shared" si="175"/>
        <v>1+0.00140996997329089i</v>
      </c>
      <c r="U323" s="160">
        <f t="shared" si="184"/>
        <v>1.0000009940071688</v>
      </c>
      <c r="V323" s="160">
        <f t="shared" si="185"/>
        <v>1.4099690389446993E-3</v>
      </c>
      <c r="W323" s="98" t="str">
        <f t="shared" si="176"/>
        <v>1-1.0197466834829i</v>
      </c>
      <c r="X323" s="160">
        <f t="shared" si="186"/>
        <v>1.4282448314187501</v>
      </c>
      <c r="Y323" s="160">
        <f t="shared" si="187"/>
        <v>-0.79517466384242586</v>
      </c>
      <c r="Z323" s="98" t="str">
        <f t="shared" si="177"/>
        <v>0.772037046302549+0.081000882148728i</v>
      </c>
      <c r="AA323" s="160">
        <f t="shared" si="188"/>
        <v>0.77627465743281632</v>
      </c>
      <c r="AB323" s="160">
        <f t="shared" si="189"/>
        <v>0.10453593461993603</v>
      </c>
      <c r="AC323" s="171" t="str">
        <f t="shared" si="190"/>
        <v>-0.70457266647814-0.561591207473618i</v>
      </c>
      <c r="AD323" s="190">
        <f t="shared" si="191"/>
        <v>-0.90547033440561431</v>
      </c>
      <c r="AE323" s="169">
        <f t="shared" si="192"/>
        <v>-141.44282765290103</v>
      </c>
      <c r="AF323" s="98" t="str">
        <f t="shared" si="178"/>
        <v>-9.95024875621891E-06</v>
      </c>
      <c r="AG323" s="98" t="str">
        <f t="shared" si="179"/>
        <v>0.0705689971632091i</v>
      </c>
      <c r="AH323" s="98">
        <f t="shared" si="193"/>
        <v>7.0568997163209093E-2</v>
      </c>
      <c r="AI323" s="98">
        <f t="shared" si="194"/>
        <v>1.5707963267948966</v>
      </c>
      <c r="AJ323" s="98" t="str">
        <f t="shared" si="180"/>
        <v>1+0.704280705939506i</v>
      </c>
      <c r="AK323" s="98">
        <f t="shared" si="195"/>
        <v>1.2231154126895176</v>
      </c>
      <c r="AL323" s="98">
        <f t="shared" si="196"/>
        <v>0.61359314741747595</v>
      </c>
      <c r="AM323" s="98" t="str">
        <f t="shared" si="181"/>
        <v>1+704.984986645445i</v>
      </c>
      <c r="AN323" s="98">
        <f t="shared" si="197"/>
        <v>704.98569588004989</v>
      </c>
      <c r="AO323" s="98">
        <f t="shared" si="198"/>
        <v>1.5693778578228501</v>
      </c>
      <c r="AP323" s="168" t="str">
        <f t="shared" si="199"/>
        <v>-0.0663790305929557+0.0468904708112111i</v>
      </c>
      <c r="AQ323" s="98">
        <f t="shared" si="200"/>
        <v>-21.801342823001409</v>
      </c>
      <c r="AR323" s="169">
        <f t="shared" si="201"/>
        <v>144.7624300293615</v>
      </c>
      <c r="AS323" s="168" t="str">
        <f t="shared" si="202"/>
        <v>0.0731021267049873+0.00424013588975582i</v>
      </c>
      <c r="AT323" s="190">
        <f t="shared" si="203"/>
        <v>-22.706813157407026</v>
      </c>
      <c r="AU323" s="169">
        <f t="shared" si="204"/>
        <v>3.3196023764604656</v>
      </c>
      <c r="AV323" s="225"/>
      <c r="AX323">
        <f t="shared" si="205"/>
        <v>0</v>
      </c>
      <c r="AY323">
        <f t="shared" si="206"/>
        <v>0</v>
      </c>
    </row>
    <row r="324" spans="14:51" x14ac:dyDescent="0.55000000000000004">
      <c r="N324" s="170">
        <v>6</v>
      </c>
      <c r="O324" s="199">
        <f t="shared" si="208"/>
        <v>11481.536214968832</v>
      </c>
      <c r="P324" s="189" t="str">
        <f t="shared" si="173"/>
        <v>1078.86904761905</v>
      </c>
      <c r="Q324" s="160" t="str">
        <f t="shared" si="174"/>
        <v>1+2254.39436405445i</v>
      </c>
      <c r="R324" s="160">
        <f t="shared" si="182"/>
        <v>2254.3945858434959</v>
      </c>
      <c r="S324" s="160">
        <f t="shared" si="183"/>
        <v>1.570352748710087</v>
      </c>
      <c r="T324" s="160" t="str">
        <f t="shared" si="175"/>
        <v>1+0.00144281239299485i</v>
      </c>
      <c r="U324" s="160">
        <f t="shared" si="184"/>
        <v>1.0000010408532589</v>
      </c>
      <c r="V324" s="160">
        <f t="shared" si="185"/>
        <v>1.4428113918249252E-3</v>
      </c>
      <c r="W324" s="98" t="str">
        <f t="shared" si="176"/>
        <v>1-1.0434996351096i</v>
      </c>
      <c r="X324" s="160">
        <f t="shared" si="186"/>
        <v>1.4452997919026584</v>
      </c>
      <c r="Y324" s="160">
        <f t="shared" si="187"/>
        <v>-0.80668178186698436</v>
      </c>
      <c r="Z324" s="98" t="str">
        <f t="shared" si="177"/>
        <v>0.761293483285394+0.0828876350713526i</v>
      </c>
      <c r="AA324" s="160">
        <f t="shared" si="188"/>
        <v>0.76579248347090112</v>
      </c>
      <c r="AB324" s="160">
        <f t="shared" si="189"/>
        <v>0.10845018695033536</v>
      </c>
      <c r="AC324" s="171" t="str">
        <f t="shared" si="190"/>
        <v>-0.714878720874297-0.552020639930187i</v>
      </c>
      <c r="AD324" s="190">
        <f t="shared" si="191"/>
        <v>-0.88427812677169249</v>
      </c>
      <c r="AE324" s="169">
        <f t="shared" si="192"/>
        <v>-142.32511735520106</v>
      </c>
      <c r="AF324" s="98" t="str">
        <f t="shared" si="178"/>
        <v>-9.95024875621891E-06</v>
      </c>
      <c r="AG324" s="98" t="str">
        <f t="shared" si="179"/>
        <v>0.0722127602693922i</v>
      </c>
      <c r="AH324" s="98">
        <f t="shared" si="193"/>
        <v>7.2212760269392204E-2</v>
      </c>
      <c r="AI324" s="98">
        <f t="shared" si="194"/>
        <v>1.5707963267948966</v>
      </c>
      <c r="AJ324" s="98" t="str">
        <f t="shared" si="180"/>
        <v>1+0.720685510986439i</v>
      </c>
      <c r="AK324" s="98">
        <f t="shared" si="195"/>
        <v>1.2326344169078618</v>
      </c>
      <c r="AL324" s="98">
        <f t="shared" si="196"/>
        <v>0.62447437554100849</v>
      </c>
      <c r="AM324" s="98" t="str">
        <f t="shared" si="181"/>
        <v>1+721.406196497425i</v>
      </c>
      <c r="AN324" s="98">
        <f t="shared" si="197"/>
        <v>721.40688958789497</v>
      </c>
      <c r="AO324" s="98">
        <f t="shared" si="198"/>
        <v>1.5694101460767989</v>
      </c>
      <c r="AP324" s="168" t="str">
        <f t="shared" si="199"/>
        <v>-0.0653577667222523+0.0472401862344361i</v>
      </c>
      <c r="AQ324" s="98">
        <f t="shared" si="200"/>
        <v>-21.868680233442536</v>
      </c>
      <c r="AR324" s="169">
        <f t="shared" si="201"/>
        <v>144.14083156264323</v>
      </c>
      <c r="AS324" s="168" t="str">
        <f t="shared" si="202"/>
        <v>0.072800434509159+0.00230783230128834i</v>
      </c>
      <c r="AT324" s="190">
        <f t="shared" si="203"/>
        <v>-22.75295836021424</v>
      </c>
      <c r="AU324" s="169">
        <f t="shared" si="204"/>
        <v>1.8157142074421553</v>
      </c>
      <c r="AV324" s="225"/>
      <c r="AX324">
        <f t="shared" si="205"/>
        <v>0</v>
      </c>
      <c r="AY324">
        <f t="shared" si="206"/>
        <v>0</v>
      </c>
    </row>
    <row r="325" spans="14:51" x14ac:dyDescent="0.55000000000000004">
      <c r="N325" s="170">
        <v>7</v>
      </c>
      <c r="O325" s="199">
        <f t="shared" si="208"/>
        <v>11748.975549395318</v>
      </c>
      <c r="P325" s="189" t="str">
        <f t="shared" si="173"/>
        <v>1078.86904761905</v>
      </c>
      <c r="Q325" s="160" t="str">
        <f t="shared" si="174"/>
        <v>1+2306.90595457415i</v>
      </c>
      <c r="R325" s="160">
        <f t="shared" si="182"/>
        <v>2306.9061713146616</v>
      </c>
      <c r="S325" s="160">
        <f t="shared" si="183"/>
        <v>1.5703628457787409</v>
      </c>
      <c r="T325" s="160" t="str">
        <f t="shared" si="175"/>
        <v>1+0.00147641981092746i</v>
      </c>
      <c r="U325" s="160">
        <f t="shared" si="184"/>
        <v>1.0000010899071352</v>
      </c>
      <c r="V325" s="160">
        <f t="shared" si="185"/>
        <v>1.4764187381546209E-3</v>
      </c>
      <c r="W325" s="98" t="str">
        <f t="shared" si="176"/>
        <v>1-1.06780586405518i</v>
      </c>
      <c r="X325" s="160">
        <f t="shared" si="186"/>
        <v>1.4629454409890446</v>
      </c>
      <c r="Y325" s="160">
        <f t="shared" si="187"/>
        <v>-0.81817763164412216</v>
      </c>
      <c r="Z325" s="98" t="str">
        <f t="shared" si="177"/>
        <v>0.750043591742345+0.0848183361152397i</v>
      </c>
      <c r="AA325" s="160">
        <f t="shared" si="188"/>
        <v>0.75482417797465617</v>
      </c>
      <c r="AB325" s="160">
        <f t="shared" si="189"/>
        <v>0.11260616131449694</v>
      </c>
      <c r="AC325" s="171" t="str">
        <f t="shared" si="190"/>
        <v>-0.725980495111839-0.542696726044711i</v>
      </c>
      <c r="AD325" s="190">
        <f t="shared" si="191"/>
        <v>-0.85356793660851127</v>
      </c>
      <c r="AE325" s="169">
        <f t="shared" si="192"/>
        <v>-143.22055378049265</v>
      </c>
      <c r="AF325" s="98" t="str">
        <f t="shared" si="178"/>
        <v>-9.95024875621891E-06</v>
      </c>
      <c r="AG325" s="98" t="str">
        <f t="shared" si="179"/>
        <v>0.0738948115369192i</v>
      </c>
      <c r="AH325" s="98">
        <f t="shared" si="193"/>
        <v>7.3894811536919194E-2</v>
      </c>
      <c r="AI325" s="98">
        <f t="shared" si="194"/>
        <v>1.5707963267948966</v>
      </c>
      <c r="AJ325" s="98" t="str">
        <f t="shared" si="180"/>
        <v>1+0.737472433030698i</v>
      </c>
      <c r="AK325" s="98">
        <f t="shared" si="195"/>
        <v>1.2425238788370296</v>
      </c>
      <c r="AL325" s="98">
        <f t="shared" si="196"/>
        <v>0.63543513724999101</v>
      </c>
      <c r="AM325" s="98" t="str">
        <f t="shared" si="181"/>
        <v>1+738.209905463729i</v>
      </c>
      <c r="AN325" s="98">
        <f t="shared" si="197"/>
        <v>738.21058277754844</v>
      </c>
      <c r="AO325" s="98">
        <f t="shared" si="198"/>
        <v>1.5694416993631501</v>
      </c>
      <c r="AP325" s="168" t="str">
        <f t="shared" si="199"/>
        <v>-0.0643215195504472+0.0475700017464978i</v>
      </c>
      <c r="AQ325" s="98">
        <f t="shared" si="200"/>
        <v>-21.938089690573335</v>
      </c>
      <c r="AR325" s="169">
        <f t="shared" si="201"/>
        <v>143.5146340466076</v>
      </c>
      <c r="AS325" s="168" t="str">
        <f t="shared" si="202"/>
        <v>0.072512252815345+0.000372184653855037i</v>
      </c>
      <c r="AT325" s="190">
        <f t="shared" si="203"/>
        <v>-22.791657627181849</v>
      </c>
      <c r="AU325" s="169">
        <f t="shared" si="204"/>
        <v>0.29408026611496757</v>
      </c>
      <c r="AV325" s="225"/>
      <c r="AX325">
        <f t="shared" si="205"/>
        <v>0</v>
      </c>
      <c r="AY325">
        <f t="shared" si="206"/>
        <v>0</v>
      </c>
    </row>
    <row r="326" spans="14:51" x14ac:dyDescent="0.55000000000000004">
      <c r="N326" s="170">
        <v>8</v>
      </c>
      <c r="O326" s="199">
        <f t="shared" si="208"/>
        <v>12022.644346174151</v>
      </c>
      <c r="P326" s="189" t="str">
        <f t="shared" si="173"/>
        <v>1078.86904761905</v>
      </c>
      <c r="Q326" s="160" t="str">
        <f t="shared" si="174"/>
        <v>1+2360.64069716647i</v>
      </c>
      <c r="R326" s="160">
        <f t="shared" si="182"/>
        <v>2360.6409089733656</v>
      </c>
      <c r="S326" s="160">
        <f t="shared" si="183"/>
        <v>1.5703727130101373</v>
      </c>
      <c r="T326" s="160" t="str">
        <f t="shared" si="175"/>
        <v>1+0.00151081004618654i</v>
      </c>
      <c r="U326" s="160">
        <f t="shared" si="184"/>
        <v>1.0000011412728467</v>
      </c>
      <c r="V326" s="160">
        <f t="shared" si="185"/>
        <v>1.5108088966898038E-3</v>
      </c>
      <c r="W326" s="98" t="str">
        <f t="shared" si="176"/>
        <v>1-1.09267825780396i</v>
      </c>
      <c r="X326" s="160">
        <f t="shared" si="186"/>
        <v>1.4811974125947889</v>
      </c>
      <c r="Y326" s="160">
        <f t="shared" si="187"/>
        <v>-0.8296561556434866</v>
      </c>
      <c r="Z326" s="98" t="str">
        <f t="shared" si="177"/>
        <v>0.738263509145145+0.0867940089636383i</v>
      </c>
      <c r="AA326" s="160">
        <f t="shared" si="188"/>
        <v>0.74334797297583577</v>
      </c>
      <c r="AB326" s="160">
        <f t="shared" si="189"/>
        <v>0.11702788474022661</v>
      </c>
      <c r="AC326" s="171" t="str">
        <f t="shared" si="190"/>
        <v>-0.737960052637568-0.533602093914072i</v>
      </c>
      <c r="AD326" s="190">
        <f t="shared" si="191"/>
        <v>-0.81279833192208673</v>
      </c>
      <c r="AE326" s="169">
        <f t="shared" si="192"/>
        <v>-144.13016579093767</v>
      </c>
      <c r="AF326" s="98" t="str">
        <f t="shared" si="178"/>
        <v>-9.95024875621891E-06</v>
      </c>
      <c r="AG326" s="98" t="str">
        <f t="shared" si="179"/>
        <v>0.0756160428116365i</v>
      </c>
      <c r="AH326" s="98">
        <f t="shared" si="193"/>
        <v>7.5616042811636502E-2</v>
      </c>
      <c r="AI326" s="98">
        <f t="shared" si="194"/>
        <v>1.5707963267948966</v>
      </c>
      <c r="AJ326" s="98" t="str">
        <f t="shared" si="180"/>
        <v>1+0.75465037272055i</v>
      </c>
      <c r="AK326" s="98">
        <f t="shared" si="195"/>
        <v>1.2527957475371894</v>
      </c>
      <c r="AL326" s="98">
        <f t="shared" si="196"/>
        <v>0.64647070990478761</v>
      </c>
      <c r="AM326" s="98" t="str">
        <f t="shared" si="181"/>
        <v>1+755.405023093271i</v>
      </c>
      <c r="AN326" s="98">
        <f t="shared" si="197"/>
        <v>755.40568498955929</v>
      </c>
      <c r="AO326" s="98">
        <f t="shared" si="198"/>
        <v>1.5694725344116225</v>
      </c>
      <c r="AP326" s="168" t="str">
        <f t="shared" si="199"/>
        <v>-0.063271079198542+0.0478791326225835i</v>
      </c>
      <c r="AQ326" s="98">
        <f t="shared" si="200"/>
        <v>-22.009600585155027</v>
      </c>
      <c r="AR326" s="169">
        <f t="shared" si="201"/>
        <v>142.8841090271163</v>
      </c>
      <c r="AS326" s="168" t="str">
        <f t="shared" si="202"/>
        <v>0.0722399343579919-0.00157130688585773i</v>
      </c>
      <c r="AT326" s="190">
        <f t="shared" si="203"/>
        <v>-22.822398917077116</v>
      </c>
      <c r="AU326" s="169">
        <f t="shared" si="204"/>
        <v>-1.2460567638213857</v>
      </c>
      <c r="AV326" s="225"/>
      <c r="AX326">
        <f t="shared" si="205"/>
        <v>0</v>
      </c>
      <c r="AY326">
        <f t="shared" si="206"/>
        <v>0</v>
      </c>
    </row>
    <row r="327" spans="14:51" x14ac:dyDescent="0.55000000000000004">
      <c r="N327" s="170">
        <v>9</v>
      </c>
      <c r="O327" s="199">
        <f t="shared" si="208"/>
        <v>12302.687708123816</v>
      </c>
      <c r="P327" s="189" t="str">
        <f t="shared" si="173"/>
        <v>1078.86904761905</v>
      </c>
      <c r="Q327" s="160" t="str">
        <f t="shared" si="174"/>
        <v>1+2415.6270827032i</v>
      </c>
      <c r="R327" s="160">
        <f t="shared" si="182"/>
        <v>2415.6272896887822</v>
      </c>
      <c r="S327" s="160">
        <f t="shared" si="183"/>
        <v>1.5703823556360053</v>
      </c>
      <c r="T327" s="160" t="str">
        <f t="shared" si="175"/>
        <v>1+0.00154600133293005i</v>
      </c>
      <c r="U327" s="160">
        <f t="shared" si="184"/>
        <v>1.0000011950593466</v>
      </c>
      <c r="V327" s="160">
        <f t="shared" si="185"/>
        <v>1.5460001012221852E-3</v>
      </c>
      <c r="W327" s="98" t="str">
        <f t="shared" si="176"/>
        <v>1-1.11813000402833i</v>
      </c>
      <c r="X327" s="160">
        <f t="shared" si="186"/>
        <v>1.5000715669288558</v>
      </c>
      <c r="Y327" s="160">
        <f t="shared" si="187"/>
        <v>-0.84111134198911708</v>
      </c>
      <c r="Z327" s="98" t="str">
        <f t="shared" si="177"/>
        <v>0.725928248359218+0.088815701144444i</v>
      </c>
      <c r="AA327" s="160">
        <f t="shared" si="188"/>
        <v>0.73134126817489364</v>
      </c>
      <c r="AB327" s="160">
        <f t="shared" si="189"/>
        <v>0.12174271964643268</v>
      </c>
      <c r="AC327" s="171" t="str">
        <f t="shared" si="190"/>
        <v>-0.750910693041798-0.524716382288093i</v>
      </c>
      <c r="AD327" s="190">
        <f t="shared" si="191"/>
        <v>-0.76137551862752773</v>
      </c>
      <c r="AE327" s="169">
        <f t="shared" si="192"/>
        <v>-145.05517593757477</v>
      </c>
      <c r="AF327" s="98" t="str">
        <f t="shared" si="178"/>
        <v>-9.95024875621891E-06</v>
      </c>
      <c r="AG327" s="98" t="str">
        <f t="shared" si="179"/>
        <v>0.077377366713149i</v>
      </c>
      <c r="AH327" s="98">
        <f t="shared" si="193"/>
        <v>7.7377366713149001E-2</v>
      </c>
      <c r="AI327" s="98">
        <f t="shared" si="194"/>
        <v>1.5707963267948966</v>
      </c>
      <c r="AJ327" s="98" t="str">
        <f t="shared" si="180"/>
        <v>1+0.772228438026998i</v>
      </c>
      <c r="AK327" s="98">
        <f t="shared" si="195"/>
        <v>1.2634622117410625</v>
      </c>
      <c r="AL327" s="98">
        <f t="shared" si="196"/>
        <v>0.65757619344622453</v>
      </c>
      <c r="AM327" s="98" t="str">
        <f t="shared" si="181"/>
        <v>1+773.000666465025i</v>
      </c>
      <c r="AN327" s="98">
        <f t="shared" si="197"/>
        <v>773.00131329472708</v>
      </c>
      <c r="AO327" s="98">
        <f t="shared" si="198"/>
        <v>1.5695026675711321</v>
      </c>
      <c r="AP327" s="168" t="str">
        <f t="shared" si="199"/>
        <v>-0.0622072880574766+0.0481668306793622i</v>
      </c>
      <c r="AQ327" s="98">
        <f t="shared" si="200"/>
        <v>-22.083240663638488</v>
      </c>
      <c r="AR327" s="169">
        <f t="shared" si="201"/>
        <v>142.24953819360326</v>
      </c>
      <c r="AS327" s="168" t="str">
        <f t="shared" si="202"/>
        <v>0.0719860429278486-0.00352780506559439i</v>
      </c>
      <c r="AT327" s="190">
        <f t="shared" si="203"/>
        <v>-22.844616182266009</v>
      </c>
      <c r="AU327" s="169">
        <f t="shared" si="204"/>
        <v>-2.805637743971523</v>
      </c>
      <c r="AV327" s="225"/>
      <c r="AX327">
        <f t="shared" si="205"/>
        <v>0</v>
      </c>
      <c r="AY327">
        <f t="shared" si="206"/>
        <v>0</v>
      </c>
    </row>
    <row r="328" spans="14:51" x14ac:dyDescent="0.55000000000000004">
      <c r="N328" s="170">
        <v>10</v>
      </c>
      <c r="O328" s="199">
        <f t="shared" si="208"/>
        <v>12589.254117941671</v>
      </c>
      <c r="P328" s="189" t="str">
        <f t="shared" si="173"/>
        <v>1078.86904761905</v>
      </c>
      <c r="Q328" s="160" t="str">
        <f t="shared" si="174"/>
        <v>1+2471.89426569379i</v>
      </c>
      <c r="R328" s="160">
        <f t="shared" si="182"/>
        <v>2471.8944679678061</v>
      </c>
      <c r="S328" s="160">
        <f t="shared" si="183"/>
        <v>1.5703917787689856</v>
      </c>
      <c r="T328" s="160" t="str">
        <f t="shared" si="175"/>
        <v>1+0.00158201233004402i</v>
      </c>
      <c r="U328" s="160">
        <f t="shared" si="184"/>
        <v>1.0000012513807233</v>
      </c>
      <c r="V328" s="160">
        <f t="shared" si="185"/>
        <v>1.5820110102453535E-3</v>
      </c>
      <c r="W328" s="98" t="str">
        <f t="shared" si="176"/>
        <v>1-1.14417459758104i</v>
      </c>
      <c r="X328" s="160">
        <f t="shared" si="186"/>
        <v>1.5195839923313665</v>
      </c>
      <c r="Y328" s="160">
        <f t="shared" si="187"/>
        <v>-0.85253724004011655</v>
      </c>
      <c r="Z328" s="98" t="str">
        <f t="shared" si="177"/>
        <v>0.713011644642622+0.0908844845856112i</v>
      </c>
      <c r="AA328" s="160">
        <f t="shared" si="188"/>
        <v>0.71878063060600683</v>
      </c>
      <c r="AB328" s="160">
        <f t="shared" si="189"/>
        <v>0.12678195894563674</v>
      </c>
      <c r="AC328" s="171" t="str">
        <f t="shared" si="190"/>
        <v>-0.764938908487873-0.516015396335296i</v>
      </c>
      <c r="AD328" s="190">
        <f t="shared" si="191"/>
        <v>-0.69864608122239813</v>
      </c>
      <c r="AE328" s="169">
        <f t="shared" si="192"/>
        <v>-145.99703544949074</v>
      </c>
      <c r="AF328" s="98" t="str">
        <f t="shared" si="178"/>
        <v>-9.95024875621891E-06</v>
      </c>
      <c r="AG328" s="98" t="str">
        <f t="shared" si="179"/>
        <v>0.0791797171187034i</v>
      </c>
      <c r="AH328" s="98">
        <f t="shared" si="193"/>
        <v>7.9179717118703405E-2</v>
      </c>
      <c r="AI328" s="98">
        <f t="shared" si="194"/>
        <v>1.5707963267948966</v>
      </c>
      <c r="AJ328" s="98" t="str">
        <f t="shared" si="180"/>
        <v>1+0.790215949072939i</v>
      </c>
      <c r="AK328" s="98">
        <f t="shared" si="195"/>
        <v>1.2745356982718239</v>
      </c>
      <c r="AL328" s="98">
        <f t="shared" si="196"/>
        <v>0.66874651934102602</v>
      </c>
      <c r="AM328" s="98" t="str">
        <f t="shared" si="181"/>
        <v>1+791.006165022012i</v>
      </c>
      <c r="AN328" s="98">
        <f t="shared" si="197"/>
        <v>791.0067971280846</v>
      </c>
      <c r="AO328" s="98">
        <f t="shared" si="198"/>
        <v>1.56953211481846</v>
      </c>
      <c r="AP328" s="168" t="str">
        <f t="shared" si="199"/>
        <v>-0.0611310387071199+0.048432388406601i</v>
      </c>
      <c r="AQ328" s="98">
        <f t="shared" si="200"/>
        <v>-22.159035924924222</v>
      </c>
      <c r="AR328" s="169">
        <f t="shared" si="201"/>
        <v>141.61121286703559</v>
      </c>
      <c r="AS328" s="168" t="str">
        <f t="shared" si="202"/>
        <v>0.0717533681224514-0.00550326115636329i</v>
      </c>
      <c r="AT328" s="190">
        <f t="shared" si="203"/>
        <v>-22.857682006146621</v>
      </c>
      <c r="AU328" s="169">
        <f t="shared" si="204"/>
        <v>-4.3858225824551402</v>
      </c>
      <c r="AV328" s="225"/>
      <c r="AX328">
        <f t="shared" si="205"/>
        <v>0</v>
      </c>
      <c r="AY328">
        <f t="shared" si="206"/>
        <v>0</v>
      </c>
    </row>
    <row r="329" spans="14:51" x14ac:dyDescent="0.55000000000000004">
      <c r="N329" s="170">
        <v>11</v>
      </c>
      <c r="O329" s="199">
        <f t="shared" si="208"/>
        <v>12882.49551693136</v>
      </c>
      <c r="P329" s="189" t="str">
        <f t="shared" si="173"/>
        <v>1078.86904761905</v>
      </c>
      <c r="Q329" s="160" t="str">
        <f t="shared" si="174"/>
        <v>1+2529.47207974344i</v>
      </c>
      <c r="R329" s="160">
        <f t="shared" si="182"/>
        <v>2529.4722774131378</v>
      </c>
      <c r="S329" s="160">
        <f t="shared" si="183"/>
        <v>1.5704009874053415</v>
      </c>
      <c r="T329" s="160" t="str">
        <f t="shared" si="175"/>
        <v>1+0.0016188621310358i</v>
      </c>
      <c r="U329" s="160">
        <f t="shared" si="184"/>
        <v>1.0000013103564411</v>
      </c>
      <c r="V329" s="160">
        <f t="shared" si="185"/>
        <v>1.6188607168461501E-3</v>
      </c>
      <c r="W329" s="98" t="str">
        <f t="shared" si="176"/>
        <v>1-1.17082584765033i</v>
      </c>
      <c r="X329" s="160">
        <f t="shared" si="186"/>
        <v>1.5397510076392591</v>
      </c>
      <c r="Y329" s="160">
        <f t="shared" si="187"/>
        <v>-0.86392797558138157</v>
      </c>
      <c r="Z329" s="98" t="str">
        <f t="shared" si="177"/>
        <v>0.699486300147112+0.0930014561835043i</v>
      </c>
      <c r="AA329" s="160">
        <f t="shared" si="188"/>
        <v>0.70564180357015982</v>
      </c>
      <c r="AB329" s="160">
        <f t="shared" si="189"/>
        <v>0.1321815522138941</v>
      </c>
      <c r="AC329" s="171" t="str">
        <f t="shared" si="190"/>
        <v>-0.780166754202287-0.50747001164816i</v>
      </c>
      <c r="AD329" s="190">
        <f t="shared" si="191"/>
        <v>-0.62388851458202699</v>
      </c>
      <c r="AE329" s="169">
        <f t="shared" si="192"/>
        <v>-146.95746671024696</v>
      </c>
      <c r="AF329" s="98" t="str">
        <f t="shared" si="178"/>
        <v>-9.95024875621891E-06</v>
      </c>
      <c r="AG329" s="98" t="str">
        <f t="shared" si="179"/>
        <v>0.0810240496583418i</v>
      </c>
      <c r="AH329" s="98">
        <f t="shared" si="193"/>
        <v>8.1024049658341799E-2</v>
      </c>
      <c r="AI329" s="98">
        <f t="shared" si="194"/>
        <v>1.5707963267948966</v>
      </c>
      <c r="AJ329" s="98" t="str">
        <f t="shared" si="180"/>
        <v>1+0.808622443074825i</v>
      </c>
      <c r="AK329" s="98">
        <f t="shared" si="195"/>
        <v>1.2860288703774494</v>
      </c>
      <c r="AL329" s="98">
        <f t="shared" si="196"/>
        <v>0.67997646047109872</v>
      </c>
      <c r="AM329" s="98" t="str">
        <f t="shared" si="181"/>
        <v>1+809.4310655179i</v>
      </c>
      <c r="AN329" s="98">
        <f t="shared" si="197"/>
        <v>809.43168323549276</v>
      </c>
      <c r="AO329" s="98">
        <f t="shared" si="198"/>
        <v>1.5695608917667221</v>
      </c>
      <c r="AP329" s="168" t="str">
        <f t="shared" si="199"/>
        <v>-0.0600432714538041+0.048675142968132i</v>
      </c>
      <c r="AQ329" s="98">
        <f t="shared" si="200"/>
        <v>-22.237010521698522</v>
      </c>
      <c r="AR329" s="169">
        <f t="shared" si="201"/>
        <v>140.96943343378476</v>
      </c>
      <c r="AS329" s="168" t="str">
        <f t="shared" si="202"/>
        <v>0.071544939570815-0.00750456863572422i</v>
      </c>
      <c r="AT329" s="190">
        <f t="shared" si="203"/>
        <v>-22.860899036280546</v>
      </c>
      <c r="AU329" s="169">
        <f t="shared" si="204"/>
        <v>-5.9880332764622102</v>
      </c>
      <c r="AV329" s="225"/>
      <c r="AX329">
        <f t="shared" si="205"/>
        <v>0</v>
      </c>
      <c r="AY329">
        <f t="shared" si="206"/>
        <v>0</v>
      </c>
    </row>
    <row r="330" spans="14:51" x14ac:dyDescent="0.55000000000000004">
      <c r="N330" s="170">
        <v>12</v>
      </c>
      <c r="O330" s="199">
        <f t="shared" si="208"/>
        <v>13182.567385564091</v>
      </c>
      <c r="P330" s="189" t="str">
        <f t="shared" si="173"/>
        <v>1078.86904761905</v>
      </c>
      <c r="Q330" s="160" t="str">
        <f t="shared" si="174"/>
        <v>1+2588.39105337128i</v>
      </c>
      <c r="R330" s="160">
        <f t="shared" si="182"/>
        <v>2588.3912465414664</v>
      </c>
      <c r="S330" s="160">
        <f t="shared" si="183"/>
        <v>1.5704099864276075</v>
      </c>
      <c r="T330" s="160" t="str">
        <f t="shared" si="175"/>
        <v>1+0.00165657027415762i</v>
      </c>
      <c r="U330" s="160">
        <f t="shared" si="184"/>
        <v>1.0000013721115952</v>
      </c>
      <c r="V330" s="160">
        <f t="shared" si="185"/>
        <v>1.656568758826221E-3</v>
      </c>
      <c r="W330" s="98" t="str">
        <f t="shared" si="176"/>
        <v>1-1.19809788508176i</v>
      </c>
      <c r="X330" s="160">
        <f t="shared" si="186"/>
        <v>1.5605891651031625</v>
      </c>
      <c r="Y330" s="160">
        <f t="shared" si="187"/>
        <v>-0.87527776553161651</v>
      </c>
      <c r="Z330" s="98" t="str">
        <f t="shared" si="177"/>
        <v>0.685323525803642+0.0951677383844856i</v>
      </c>
      <c r="AA330" s="160">
        <f t="shared" si="188"/>
        <v>0.69189972788631238</v>
      </c>
      <c r="AB330" s="160">
        <f t="shared" si="189"/>
        <v>0.13798299761088575</v>
      </c>
      <c r="AC330" s="171" t="str">
        <f t="shared" si="190"/>
        <v>-0.796734735938825-0.499044741154482i</v>
      </c>
      <c r="AD330" s="190">
        <f t="shared" si="191"/>
        <v>-0.53630330949235006</v>
      </c>
      <c r="AE330" s="169">
        <f t="shared" si="192"/>
        <v>-147.93851520341502</v>
      </c>
      <c r="AF330" s="98" t="str">
        <f t="shared" si="178"/>
        <v>-9.95024875621891E-06</v>
      </c>
      <c r="AG330" s="98" t="str">
        <f t="shared" si="179"/>
        <v>0.082911342221589i</v>
      </c>
      <c r="AH330" s="98">
        <f t="shared" si="193"/>
        <v>8.2911342221588996E-2</v>
      </c>
      <c r="AI330" s="98">
        <f t="shared" si="194"/>
        <v>1.5707963267948966</v>
      </c>
      <c r="AJ330" s="98" t="str">
        <f t="shared" si="180"/>
        <v>1+0.827457679399412i</v>
      </c>
      <c r="AK330" s="98">
        <f t="shared" si="195"/>
        <v>1.2979546260162795</v>
      </c>
      <c r="AL330" s="98">
        <f t="shared" si="196"/>
        <v>0.6912606419316818</v>
      </c>
      <c r="AM330" s="98" t="str">
        <f t="shared" si="181"/>
        <v>1+828.285137078811i</v>
      </c>
      <c r="AN330" s="98">
        <f t="shared" si="197"/>
        <v>828.28574073544485</v>
      </c>
      <c r="AO330" s="98">
        <f t="shared" si="198"/>
        <v>1.5695890136736466</v>
      </c>
      <c r="AP330" s="168" t="str">
        <f t="shared" si="199"/>
        <v>-0.0589449714949906+0.0488944800320014i</v>
      </c>
      <c r="AQ330" s="98">
        <f t="shared" si="200"/>
        <v>-22.317186667106441</v>
      </c>
      <c r="AR330" s="169">
        <f t="shared" si="201"/>
        <v>140.32450872741225</v>
      </c>
      <c r="AS330" s="168" t="str">
        <f t="shared" si="202"/>
        <v>0.071364039430436-0.00953975259508688i</v>
      </c>
      <c r="AT330" s="190">
        <f t="shared" si="203"/>
        <v>-22.853489976598791</v>
      </c>
      <c r="AU330" s="169">
        <f t="shared" si="204"/>
        <v>-7.6140064760027402</v>
      </c>
      <c r="AV330" s="225"/>
      <c r="AX330">
        <f t="shared" si="205"/>
        <v>0</v>
      </c>
      <c r="AY330">
        <f t="shared" si="206"/>
        <v>0</v>
      </c>
    </row>
    <row r="331" spans="14:51" x14ac:dyDescent="0.55000000000000004">
      <c r="N331" s="170">
        <v>13</v>
      </c>
      <c r="O331" s="199">
        <f t="shared" si="208"/>
        <v>13489.628825916556</v>
      </c>
      <c r="P331" s="189" t="str">
        <f t="shared" si="173"/>
        <v>1078.86904761905</v>
      </c>
      <c r="Q331" s="160" t="str">
        <f t="shared" si="174"/>
        <v>1+2648.68242619703i</v>
      </c>
      <c r="R331" s="160">
        <f t="shared" si="182"/>
        <v>2648.682614970126</v>
      </c>
      <c r="S331" s="160">
        <f t="shared" si="183"/>
        <v>1.5704187806071785</v>
      </c>
      <c r="T331" s="160" t="str">
        <f t="shared" si="175"/>
        <v>1+0.0016951567527661i</v>
      </c>
      <c r="U331" s="160">
        <f t="shared" si="184"/>
        <v>1.0000014367771761</v>
      </c>
      <c r="V331" s="160">
        <f t="shared" si="185"/>
        <v>1.6951551290593783E-3</v>
      </c>
      <c r="W331" s="98" t="str">
        <f t="shared" si="176"/>
        <v>1-1.22600516987056i</v>
      </c>
      <c r="X331" s="160">
        <f t="shared" si="186"/>
        <v>1.5821152538767018</v>
      </c>
      <c r="Y331" s="160">
        <f t="shared" si="187"/>
        <v>-0.88658093208142541</v>
      </c>
      <c r="Z331" s="98" t="str">
        <f t="shared" si="177"/>
        <v>0.670493280468991+0.0973844797800522i</v>
      </c>
      <c r="AA331" s="160">
        <f t="shared" si="188"/>
        <v>0.6775285795124073</v>
      </c>
      <c r="AB331" s="160">
        <f t="shared" si="189"/>
        <v>0.14423444503564486</v>
      </c>
      <c r="AC331" s="171" t="str">
        <f t="shared" si="190"/>
        <v>-0.814805346467469-0.490695846824883i</v>
      </c>
      <c r="AD331" s="190">
        <f t="shared" si="191"/>
        <v>-0.43500130100102197</v>
      </c>
      <c r="AE331" s="169">
        <f t="shared" si="192"/>
        <v>-148.94261352835193</v>
      </c>
      <c r="AF331" s="98" t="str">
        <f t="shared" si="178"/>
        <v>-9.95024875621891E-06</v>
      </c>
      <c r="AG331" s="98" t="str">
        <f t="shared" si="179"/>
        <v>0.0848425954759434i</v>
      </c>
      <c r="AH331" s="98">
        <f t="shared" si="193"/>
        <v>8.4842595475943403E-2</v>
      </c>
      <c r="AI331" s="98">
        <f t="shared" si="194"/>
        <v>1.5707963267948966</v>
      </c>
      <c r="AJ331" s="98" t="str">
        <f t="shared" si="180"/>
        <v>1+0.846731644738313i</v>
      </c>
      <c r="AK331" s="98">
        <f t="shared" si="195"/>
        <v>1.310326096130749</v>
      </c>
      <c r="AL331" s="98">
        <f t="shared" si="196"/>
        <v>0.70259355269416113</v>
      </c>
      <c r="AM331" s="98" t="str">
        <f t="shared" si="181"/>
        <v>1+847.578376383051i</v>
      </c>
      <c r="AN331" s="98">
        <f t="shared" si="197"/>
        <v>847.57896629879212</v>
      </c>
      <c r="AO331" s="98">
        <f t="shared" si="198"/>
        <v>1.5696164954496625</v>
      </c>
      <c r="AP331" s="168" t="str">
        <f t="shared" si="199"/>
        <v>-0.0578371657244221+0.0490898373901396i</v>
      </c>
      <c r="AQ331" s="98">
        <f t="shared" si="200"/>
        <v>-22.3995845474997</v>
      </c>
      <c r="AR331" s="169">
        <f t="shared" si="201"/>
        <v>139.676755360903</v>
      </c>
      <c r="AS331" s="168" t="str">
        <f t="shared" si="202"/>
        <v>0.0712142111854345-0.011618204949608i</v>
      </c>
      <c r="AT331" s="190">
        <f t="shared" si="203"/>
        <v>-22.834585848500723</v>
      </c>
      <c r="AU331" s="169">
        <f t="shared" si="204"/>
        <v>-9.2658581674489486</v>
      </c>
      <c r="AV331" s="225"/>
      <c r="AX331">
        <f t="shared" si="205"/>
        <v>0</v>
      </c>
      <c r="AY331">
        <f t="shared" si="206"/>
        <v>0</v>
      </c>
    </row>
    <row r="332" spans="14:51" x14ac:dyDescent="0.55000000000000004">
      <c r="N332" s="170">
        <v>14</v>
      </c>
      <c r="O332" s="199">
        <f t="shared" si="208"/>
        <v>13803.842646028841</v>
      </c>
      <c r="P332" s="189" t="str">
        <f t="shared" si="173"/>
        <v>1078.86904761905</v>
      </c>
      <c r="Q332" s="160" t="str">
        <f t="shared" si="174"/>
        <v>1+2710.37816550461i</v>
      </c>
      <c r="R332" s="160">
        <f t="shared" si="182"/>
        <v>2710.3783499807064</v>
      </c>
      <c r="S332" s="160">
        <f t="shared" si="183"/>
        <v>1.5704273746068396</v>
      </c>
      <c r="T332" s="160" t="str">
        <f t="shared" si="175"/>
        <v>1+0.00173464202592295i</v>
      </c>
      <c r="U332" s="160">
        <f t="shared" si="184"/>
        <v>1.0000015044903474</v>
      </c>
      <c r="V332" s="160">
        <f t="shared" si="185"/>
        <v>1.734640286089993E-3</v>
      </c>
      <c r="W332" s="98" t="str">
        <f t="shared" si="176"/>
        <v>1-1.25456249882851i</v>
      </c>
      <c r="X332" s="160">
        <f t="shared" si="186"/>
        <v>1.6043463040961061</v>
      </c>
      <c r="Y332" s="160">
        <f t="shared" si="187"/>
        <v>-0.89783191618087677</v>
      </c>
      <c r="Z332" s="98" t="str">
        <f t="shared" si="177"/>
        <v>0.654964107204481+0.0996528557158341i</v>
      </c>
      <c r="AA332" s="160">
        <f t="shared" si="188"/>
        <v>0.66250182896236876</v>
      </c>
      <c r="AB332" s="160">
        <f t="shared" si="189"/>
        <v>0.15099207070343468</v>
      </c>
      <c r="AC332" s="171" t="str">
        <f t="shared" si="190"/>
        <v>-0.834567421356594-0.482368831075045i</v>
      </c>
      <c r="AD332" s="190">
        <f t="shared" si="191"/>
        <v>-0.3189899222273086</v>
      </c>
      <c r="AE332" s="169">
        <f t="shared" si="192"/>
        <v>-149.9726609299714</v>
      </c>
      <c r="AF332" s="98" t="str">
        <f t="shared" si="178"/>
        <v>-9.95024875621891E-06</v>
      </c>
      <c r="AG332" s="98" t="str">
        <f t="shared" si="179"/>
        <v>0.0868188333974436i</v>
      </c>
      <c r="AH332" s="98">
        <f t="shared" si="193"/>
        <v>8.6818833397443604E-2</v>
      </c>
      <c r="AI332" s="98">
        <f t="shared" si="194"/>
        <v>1.5707963267948966</v>
      </c>
      <c r="AJ332" s="98" t="str">
        <f t="shared" si="180"/>
        <v>1+0.866454558403071i</v>
      </c>
      <c r="AK332" s="98">
        <f t="shared" si="195"/>
        <v>1.323156642948015</v>
      </c>
      <c r="AL332" s="98">
        <f t="shared" si="196"/>
        <v>0.71396955808022244</v>
      </c>
      <c r="AM332" s="98" t="str">
        <f t="shared" si="181"/>
        <v>1+867.321012961474i</v>
      </c>
      <c r="AN332" s="98">
        <f t="shared" si="197"/>
        <v>867.32158944910248</v>
      </c>
      <c r="AO332" s="98">
        <f t="shared" si="198"/>
        <v>1.5696433516658055</v>
      </c>
      <c r="AP332" s="168" t="str">
        <f t="shared" si="199"/>
        <v>-0.0567209191958703+0.0492607083290171i</v>
      </c>
      <c r="AQ332" s="98">
        <f t="shared" si="200"/>
        <v>-22.484222241966375</v>
      </c>
      <c r="AR332" s="169">
        <f t="shared" si="201"/>
        <v>139.02649701240233</v>
      </c>
      <c r="AS332" s="168" t="str">
        <f t="shared" si="202"/>
        <v>0.0710992615648699-0.0137509788343331i</v>
      </c>
      <c r="AT332" s="190">
        <f t="shared" si="203"/>
        <v>-22.803212164193685</v>
      </c>
      <c r="AU332" s="169">
        <f t="shared" si="204"/>
        <v>-10.946163917569114</v>
      </c>
      <c r="AV332" s="225"/>
      <c r="AX332">
        <f t="shared" si="205"/>
        <v>0</v>
      </c>
      <c r="AY332">
        <f t="shared" si="206"/>
        <v>0</v>
      </c>
    </row>
    <row r="333" spans="14:51" x14ac:dyDescent="0.55000000000000004">
      <c r="N333" s="170">
        <v>15</v>
      </c>
      <c r="O333" s="199">
        <f t="shared" si="208"/>
        <v>14125.375446227561</v>
      </c>
      <c r="P333" s="189" t="str">
        <f t="shared" si="173"/>
        <v>1078.86904761905</v>
      </c>
      <c r="Q333" s="160" t="str">
        <f t="shared" si="174"/>
        <v>1+2773.51098319163i</v>
      </c>
      <c r="R333" s="160">
        <f t="shared" si="182"/>
        <v>2773.5111634685381</v>
      </c>
      <c r="S333" s="160">
        <f t="shared" si="183"/>
        <v>1.5704357729832379</v>
      </c>
      <c r="T333" s="160" t="str">
        <f t="shared" si="175"/>
        <v>1+0.00177504702924265i</v>
      </c>
      <c r="U333" s="160">
        <f t="shared" si="184"/>
        <v>1.0000015753947371</v>
      </c>
      <c r="V333" s="160">
        <f t="shared" si="185"/>
        <v>1.7750451649782074E-3</v>
      </c>
      <c r="W333" s="98" t="str">
        <f t="shared" si="176"/>
        <v>1-1.28378501342945i</v>
      </c>
      <c r="X333" s="160">
        <f t="shared" si="186"/>
        <v>1.6272995915645199</v>
      </c>
      <c r="Y333" s="160">
        <f t="shared" si="187"/>
        <v>-0.90902529030329393</v>
      </c>
      <c r="Z333" s="98" t="str">
        <f t="shared" si="177"/>
        <v>0.638703066551581+0.101974068914778i</v>
      </c>
      <c r="AA333" s="160">
        <f t="shared" si="188"/>
        <v>0.64679232985049318</v>
      </c>
      <c r="AB333" s="160">
        <f t="shared" si="189"/>
        <v>0.15832180353426531</v>
      </c>
      <c r="AC333" s="171" t="str">
        <f t="shared" si="190"/>
        <v>-0.856241534566573-0.473995074630872i</v>
      </c>
      <c r="AD333" s="190">
        <f t="shared" si="191"/>
        <v>-0.18715692408272661</v>
      </c>
      <c r="AE333" s="169">
        <f t="shared" si="192"/>
        <v>-151.0321229443521</v>
      </c>
      <c r="AF333" s="98" t="str">
        <f t="shared" si="178"/>
        <v>-9.95024875621891E-06</v>
      </c>
      <c r="AG333" s="98" t="str">
        <f t="shared" si="179"/>
        <v>0.0888411038135944i</v>
      </c>
      <c r="AH333" s="98">
        <f t="shared" si="193"/>
        <v>8.8841103813594405E-2</v>
      </c>
      <c r="AI333" s="98">
        <f t="shared" si="194"/>
        <v>1.5707963267948966</v>
      </c>
      <c r="AJ333" s="98" t="str">
        <f t="shared" si="180"/>
        <v>1+0.886636877743579i</v>
      </c>
      <c r="AK333" s="98">
        <f t="shared" si="195"/>
        <v>1.3364598583477478</v>
      </c>
      <c r="AL333" s="98">
        <f t="shared" si="196"/>
        <v>0.72538291298531243</v>
      </c>
      <c r="AM333" s="98" t="str">
        <f t="shared" si="181"/>
        <v>1+887.523514621323i</v>
      </c>
      <c r="AN333" s="98">
        <f t="shared" si="197"/>
        <v>887.52407798649926</v>
      </c>
      <c r="AO333" s="98">
        <f t="shared" si="198"/>
        <v>1.5696695965614413</v>
      </c>
      <c r="AP333" s="168" t="str">
        <f t="shared" si="199"/>
        <v>-0.0555973312682401+0.0494066447145233i</v>
      </c>
      <c r="AQ333" s="98">
        <f t="shared" si="200"/>
        <v>-22.571115649307622</v>
      </c>
      <c r="AR333" s="169">
        <f t="shared" si="201"/>
        <v>138.37406366800937</v>
      </c>
      <c r="AS333" s="168" t="str">
        <f t="shared" si="202"/>
        <v>0.0710232504916455-0.0159511601043821i</v>
      </c>
      <c r="AT333" s="190">
        <f t="shared" si="203"/>
        <v>-22.758272573390347</v>
      </c>
      <c r="AU333" s="169">
        <f t="shared" si="204"/>
        <v>-12.658059276342696</v>
      </c>
      <c r="AV333" s="225"/>
      <c r="AX333">
        <f t="shared" si="205"/>
        <v>0</v>
      </c>
      <c r="AY333">
        <f t="shared" si="206"/>
        <v>0</v>
      </c>
    </row>
    <row r="334" spans="14:51" x14ac:dyDescent="0.55000000000000004">
      <c r="N334" s="170">
        <v>16</v>
      </c>
      <c r="O334" s="199">
        <f t="shared" si="208"/>
        <v>14454.397707459291</v>
      </c>
      <c r="P334" s="189" t="str">
        <f t="shared" si="173"/>
        <v>1078.86904761905</v>
      </c>
      <c r="Q334" s="160" t="str">
        <f t="shared" si="174"/>
        <v>1+2838.1143531137i</v>
      </c>
      <c r="R334" s="160">
        <f t="shared" si="182"/>
        <v>2838.1145292870042</v>
      </c>
      <c r="S334" s="160">
        <f t="shared" si="183"/>
        <v>1.5704439801892991</v>
      </c>
      <c r="T334" s="160" t="str">
        <f t="shared" si="175"/>
        <v>1+0.00181639318599277i</v>
      </c>
      <c r="U334" s="160">
        <f t="shared" si="184"/>
        <v>1.0000016496407425</v>
      </c>
      <c r="V334" s="160">
        <f t="shared" si="185"/>
        <v>1.8163911883976075E-3</v>
      </c>
      <c r="W334" s="98" t="str">
        <f t="shared" si="176"/>
        <v>1-1.31368820783741i</v>
      </c>
      <c r="X334" s="160">
        <f t="shared" si="186"/>
        <v>1.6509926430517692</v>
      </c>
      <c r="Y334" s="160">
        <f t="shared" si="187"/>
        <v>-0.92015577041998697</v>
      </c>
      <c r="Z334" s="98" t="str">
        <f t="shared" si="177"/>
        <v>0.621675666662915+0.104349350114847i</v>
      </c>
      <c r="AA334" s="160">
        <f t="shared" si="188"/>
        <v>0.63037244656644897</v>
      </c>
      <c r="AB334" s="160">
        <f t="shared" si="189"/>
        <v>0.16630151181004019</v>
      </c>
      <c r="AC334" s="171" t="str">
        <f t="shared" si="190"/>
        <v>-0.880086720487858-0.46548728767126i</v>
      </c>
      <c r="AD334" s="190">
        <f t="shared" si="191"/>
        <v>-3.8251020347457206E-2</v>
      </c>
      <c r="AE334" s="169">
        <f t="shared" si="192"/>
        <v>-152.12515737056785</v>
      </c>
      <c r="AF334" s="98" t="str">
        <f t="shared" si="178"/>
        <v>-9.95024875621891E-06</v>
      </c>
      <c r="AG334" s="98" t="str">
        <f t="shared" si="179"/>
        <v>0.0909104789589382i</v>
      </c>
      <c r="AH334" s="98">
        <f t="shared" si="193"/>
        <v>9.0910478958938196E-2</v>
      </c>
      <c r="AI334" s="98">
        <f t="shared" si="194"/>
        <v>1.5707963267948966</v>
      </c>
      <c r="AJ334" s="98" t="str">
        <f t="shared" si="180"/>
        <v>1+0.907289303692692i</v>
      </c>
      <c r="AK334" s="98">
        <f t="shared" si="195"/>
        <v>1.3502495623384478</v>
      </c>
      <c r="AL334" s="98">
        <f t="shared" si="196"/>
        <v>0.73682777578108383</v>
      </c>
      <c r="AM334" s="98" t="str">
        <f t="shared" si="181"/>
        <v>1+908.196592996385i</v>
      </c>
      <c r="AN334" s="98">
        <f t="shared" si="197"/>
        <v>908.19714353781217</v>
      </c>
      <c r="AO334" s="98">
        <f t="shared" si="198"/>
        <v>1.5696952440518168</v>
      </c>
      <c r="AP334" s="168" t="str">
        <f t="shared" si="199"/>
        <v>-0.0544675314592576+0.0495272597566893i</v>
      </c>
      <c r="AQ334" s="98">
        <f t="shared" si="200"/>
        <v>-22.660278423076562</v>
      </c>
      <c r="AR334" s="169">
        <f t="shared" si="201"/>
        <v>137.71979082565892</v>
      </c>
      <c r="AS334" s="168" t="str">
        <f t="shared" si="202"/>
        <v>0.0709904609449785-0.0182343401288961i</v>
      </c>
      <c r="AT334" s="190">
        <f t="shared" si="203"/>
        <v>-22.698529443424022</v>
      </c>
      <c r="AU334" s="169">
        <f t="shared" si="204"/>
        <v>-14.405366544908921</v>
      </c>
      <c r="AV334" s="225"/>
      <c r="AX334">
        <f t="shared" si="205"/>
        <v>0</v>
      </c>
      <c r="AY334">
        <f t="shared" si="206"/>
        <v>0</v>
      </c>
    </row>
    <row r="335" spans="14:51" x14ac:dyDescent="0.55000000000000004">
      <c r="N335" s="170">
        <v>17</v>
      </c>
      <c r="O335" s="199">
        <f t="shared" si="208"/>
        <v>14791.083881682089</v>
      </c>
      <c r="P335" s="189" t="str">
        <f t="shared" si="173"/>
        <v>1078.86904761905</v>
      </c>
      <c r="Q335" s="160" t="str">
        <f t="shared" si="174"/>
        <v>1+2904.22252883268i</v>
      </c>
      <c r="R335" s="160">
        <f t="shared" si="182"/>
        <v>2904.222700995791</v>
      </c>
      <c r="S335" s="160">
        <f t="shared" si="183"/>
        <v>1.5704520005765878</v>
      </c>
      <c r="T335" s="160" t="str">
        <f t="shared" si="175"/>
        <v>1+0.00185870241845291i</v>
      </c>
      <c r="U335" s="160">
        <f t="shared" si="184"/>
        <v>1.0000017273858481</v>
      </c>
      <c r="V335" s="160">
        <f t="shared" si="185"/>
        <v>1.858700277991329E-3</v>
      </c>
      <c r="W335" s="98" t="str">
        <f t="shared" si="176"/>
        <v>1-1.34428793712189i</v>
      </c>
      <c r="X335" s="160">
        <f t="shared" si="186"/>
        <v>1.6754432422172427</v>
      </c>
      <c r="Y335" s="160">
        <f t="shared" si="187"/>
        <v>-0.93121822712939506</v>
      </c>
      <c r="Z335" s="98" t="str">
        <f t="shared" si="177"/>
        <v>0.603845790140414+0.106779958721574i</v>
      </c>
      <c r="AA335" s="160">
        <f t="shared" si="188"/>
        <v>0.61321423487626403</v>
      </c>
      <c r="AB335" s="160">
        <f t="shared" si="189"/>
        <v>0.1750237979818435</v>
      </c>
      <c r="AC335" s="171" t="str">
        <f t="shared" si="190"/>
        <v>-0.906408895862631-0.456733292573834i</v>
      </c>
      <c r="AD335" s="190">
        <f t="shared" si="191"/>
        <v>0.1291412050584804</v>
      </c>
      <c r="AE335" s="169">
        <f t="shared" si="192"/>
        <v>-153.25677503848581</v>
      </c>
      <c r="AF335" s="98" t="str">
        <f t="shared" si="178"/>
        <v>-9.95024875621891E-06</v>
      </c>
      <c r="AG335" s="98" t="str">
        <f t="shared" si="179"/>
        <v>0.0930280560435684i</v>
      </c>
      <c r="AH335" s="98">
        <f t="shared" si="193"/>
        <v>9.3028056043568397E-2</v>
      </c>
      <c r="AI335" s="98">
        <f t="shared" si="194"/>
        <v>1.5707963267948966</v>
      </c>
      <c r="AJ335" s="98" t="str">
        <f t="shared" si="180"/>
        <v>1+0.928422786440017i</v>
      </c>
      <c r="AK335" s="98">
        <f t="shared" si="195"/>
        <v>1.3645398016844525</v>
      </c>
      <c r="AL335" s="98">
        <f t="shared" si="196"/>
        <v>0.74829822281891012</v>
      </c>
      <c r="AM335" s="98" t="str">
        <f t="shared" si="181"/>
        <v>1+929.351209226457i</v>
      </c>
      <c r="AN335" s="98">
        <f t="shared" si="197"/>
        <v>929.35174723603848</v>
      </c>
      <c r="AO335" s="98">
        <f t="shared" si="198"/>
        <v>1.5697203077354354</v>
      </c>
      <c r="AP335" s="168" t="str">
        <f t="shared" si="199"/>
        <v>-0.0533326750391333+0.0496222304228792i</v>
      </c>
      <c r="AQ335" s="98">
        <f t="shared" si="200"/>
        <v>-22.751721915235375</v>
      </c>
      <c r="AR335" s="169">
        <f t="shared" si="201"/>
        <v>137.06401866455363</v>
      </c>
      <c r="AS335" s="168" t="str">
        <f t="shared" si="202"/>
        <v>0.0710053357815204-0.0206192228154493i</v>
      </c>
      <c r="AT335" s="190">
        <f t="shared" si="203"/>
        <v>-22.622580710176898</v>
      </c>
      <c r="AU335" s="169">
        <f t="shared" si="204"/>
        <v>-16.192756373932177</v>
      </c>
      <c r="AV335" s="225"/>
      <c r="AX335">
        <f t="shared" si="205"/>
        <v>0</v>
      </c>
      <c r="AY335">
        <f t="shared" si="206"/>
        <v>0</v>
      </c>
    </row>
    <row r="336" spans="14:51" x14ac:dyDescent="0.55000000000000004">
      <c r="N336" s="170">
        <v>18</v>
      </c>
      <c r="O336" s="199">
        <f t="shared" si="208"/>
        <v>15135.612484362096</v>
      </c>
      <c r="P336" s="189" t="str">
        <f t="shared" si="173"/>
        <v>1078.86904761905</v>
      </c>
      <c r="Q336" s="160" t="str">
        <f t="shared" si="174"/>
        <v>1+2971.87056177837i</v>
      </c>
      <c r="R336" s="160">
        <f t="shared" si="182"/>
        <v>2971.8707300225697</v>
      </c>
      <c r="S336" s="160">
        <f t="shared" si="183"/>
        <v>1.5704598383976158</v>
      </c>
      <c r="T336" s="160" t="str">
        <f t="shared" si="175"/>
        <v>1+0.00190199715953816i</v>
      </c>
      <c r="U336" s="160">
        <f t="shared" si="184"/>
        <v>1.0000018087949616</v>
      </c>
      <c r="V336" s="160">
        <f t="shared" si="185"/>
        <v>1.9019948659924778E-3</v>
      </c>
      <c r="W336" s="98" t="str">
        <f t="shared" si="176"/>
        <v>1-1.37560042566438i</v>
      </c>
      <c r="X336" s="160">
        <f t="shared" si="186"/>
        <v>1.7006694361597796</v>
      </c>
      <c r="Y336" s="160">
        <f t="shared" si="187"/>
        <v>-0.94220769589286046</v>
      </c>
      <c r="Z336" s="98" t="str">
        <f t="shared" si="177"/>
        <v>0.585175617425481+0.109267183475815i</v>
      </c>
      <c r="AA336" s="160">
        <f t="shared" si="188"/>
        <v>0.59528969469832949</v>
      </c>
      <c r="AB336" s="160">
        <f t="shared" si="189"/>
        <v>0.18459960554265159</v>
      </c>
      <c r="AC336" s="171" t="str">
        <f t="shared" si="190"/>
        <v>-0.935571468237029-0.44758743305883i</v>
      </c>
      <c r="AD336" s="190">
        <f t="shared" si="191"/>
        <v>0.31662293728206342</v>
      </c>
      <c r="AE336" s="169">
        <f t="shared" si="192"/>
        <v>-154.43304705328416</v>
      </c>
      <c r="AF336" s="98" t="str">
        <f t="shared" si="178"/>
        <v>-9.95024875621891E-06</v>
      </c>
      <c r="AG336" s="98" t="str">
        <f t="shared" si="179"/>
        <v>0.0951949578348848i</v>
      </c>
      <c r="AH336" s="98">
        <f t="shared" si="193"/>
        <v>9.5194957834884797E-2</v>
      </c>
      <c r="AI336" s="98">
        <f t="shared" si="194"/>
        <v>1.5707963267948966</v>
      </c>
      <c r="AJ336" s="98" t="str">
        <f t="shared" si="180"/>
        <v>1+0.95004853123784i</v>
      </c>
      <c r="AK336" s="98">
        <f t="shared" si="195"/>
        <v>1.3793448487260818</v>
      </c>
      <c r="AL336" s="98">
        <f t="shared" si="196"/>
        <v>0.75978826344962891</v>
      </c>
      <c r="AM336" s="98" t="str">
        <f t="shared" si="181"/>
        <v>1+950.998579769078i</v>
      </c>
      <c r="AN336" s="98">
        <f t="shared" si="197"/>
        <v>950.99910553207314</v>
      </c>
      <c r="AO336" s="98">
        <f t="shared" si="198"/>
        <v>1.5697448009012682</v>
      </c>
      <c r="AP336" s="168" t="str">
        <f t="shared" si="199"/>
        <v>-0.0521939383993956+0.0496912994716236i</v>
      </c>
      <c r="AQ336" s="98">
        <f t="shared" si="200"/>
        <v>-22.845455128919397</v>
      </c>
      <c r="AR336" s="169">
        <f t="shared" si="201"/>
        <v>136.40709118500874</v>
      </c>
      <c r="AS336" s="168" t="str">
        <f t="shared" si="202"/>
        <v>0.0710723607572572-0.0231284110958566i</v>
      </c>
      <c r="AT336" s="190">
        <f t="shared" si="203"/>
        <v>-22.528832191637331</v>
      </c>
      <c r="AU336" s="169">
        <f t="shared" si="204"/>
        <v>-18.025955868275421</v>
      </c>
      <c r="AV336" s="225"/>
      <c r="AX336">
        <f t="shared" si="205"/>
        <v>0</v>
      </c>
      <c r="AY336">
        <f t="shared" si="206"/>
        <v>0</v>
      </c>
    </row>
    <row r="337" spans="14:51" x14ac:dyDescent="0.55000000000000004">
      <c r="N337" s="170">
        <v>19</v>
      </c>
      <c r="O337" s="199">
        <f t="shared" si="208"/>
        <v>15488.166189124853</v>
      </c>
      <c r="P337" s="189" t="str">
        <f t="shared" si="173"/>
        <v>1078.86904761905</v>
      </c>
      <c r="Q337" s="160" t="str">
        <f t="shared" si="174"/>
        <v>1+3041.09431983328i</v>
      </c>
      <c r="R337" s="160">
        <f t="shared" si="182"/>
        <v>3041.0944842477752</v>
      </c>
      <c r="S337" s="160">
        <f t="shared" si="183"/>
        <v>1.5704674978080957</v>
      </c>
      <c r="T337" s="160" t="str">
        <f t="shared" si="175"/>
        <v>1+0.0019463003646933i</v>
      </c>
      <c r="U337" s="160">
        <f t="shared" si="184"/>
        <v>1.0000018940407611</v>
      </c>
      <c r="V337" s="160">
        <f t="shared" si="185"/>
        <v>1.9462979071150756E-3</v>
      </c>
      <c r="W337" s="98" t="str">
        <f t="shared" si="176"/>
        <v>1-1.40764227576078i</v>
      </c>
      <c r="X337" s="160">
        <f t="shared" si="186"/>
        <v>1.7266895425955957</v>
      </c>
      <c r="Y337" s="160">
        <f t="shared" si="187"/>
        <v>-0.95311938633865845</v>
      </c>
      <c r="Z337" s="98" t="str">
        <f t="shared" si="177"/>
        <v>0.565625546578631+0.111812343137057i</v>
      </c>
      <c r="AA337" s="160">
        <f t="shared" si="188"/>
        <v>0.57657112225654694</v>
      </c>
      <c r="AB337" s="160">
        <f t="shared" si="189"/>
        <v>0.19516292251122128</v>
      </c>
      <c r="AC337" s="171" t="str">
        <f t="shared" si="190"/>
        <v>-0.96800876309746-0.437858563311374i</v>
      </c>
      <c r="AD337" s="190">
        <f t="shared" si="191"/>
        <v>0.52602029062625888</v>
      </c>
      <c r="AE337" s="169">
        <f t="shared" si="192"/>
        <v>-155.66137481775769</v>
      </c>
      <c r="AF337" s="98" t="str">
        <f t="shared" si="178"/>
        <v>-9.95024875621891E-06</v>
      </c>
      <c r="AG337" s="98" t="str">
        <f t="shared" si="179"/>
        <v>0.0974123332528996i</v>
      </c>
      <c r="AH337" s="98">
        <f t="shared" si="193"/>
        <v>9.7412333252899594E-2</v>
      </c>
      <c r="AI337" s="98">
        <f t="shared" si="194"/>
        <v>1.5707963267948966</v>
      </c>
      <c r="AJ337" s="98" t="str">
        <f t="shared" si="180"/>
        <v>1+0.972178004342307i</v>
      </c>
      <c r="AK337" s="98">
        <f t="shared" si="195"/>
        <v>1.3946792004353512</v>
      </c>
      <c r="AL337" s="98">
        <f t="shared" si="196"/>
        <v>0.7712918554687298</v>
      </c>
      <c r="AM337" s="98" t="str">
        <f t="shared" si="181"/>
        <v>1+973.150182346649i</v>
      </c>
      <c r="AN337" s="98">
        <f t="shared" si="197"/>
        <v>973.1506961418238</v>
      </c>
      <c r="AO337" s="98">
        <f t="shared" si="198"/>
        <v>1.569768736535798</v>
      </c>
      <c r="AP337" s="168" t="str">
        <f t="shared" si="199"/>
        <v>-0.0510525142354239+0.0497342770833386i</v>
      </c>
      <c r="AQ337" s="98">
        <f t="shared" si="200"/>
        <v>-22.941484680722702</v>
      </c>
      <c r="AR337" s="169">
        <f t="shared" si="201"/>
        <v>135.7493553239124</v>
      </c>
      <c r="AS337" s="168" t="str">
        <f t="shared" si="202"/>
        <v>0.0711958602690886-0.0257894355064328i</v>
      </c>
      <c r="AT337" s="190">
        <f t="shared" si="203"/>
        <v>-22.415464390096442</v>
      </c>
      <c r="AU337" s="169">
        <f t="shared" si="204"/>
        <v>-19.912019493845335</v>
      </c>
      <c r="AV337" s="225"/>
      <c r="AX337">
        <f t="shared" si="205"/>
        <v>0</v>
      </c>
      <c r="AY337">
        <f t="shared" si="206"/>
        <v>0</v>
      </c>
    </row>
    <row r="338" spans="14:51" x14ac:dyDescent="0.55000000000000004">
      <c r="N338" s="170">
        <v>20</v>
      </c>
      <c r="O338" s="199">
        <f t="shared" si="208"/>
        <v>15848.931924611146</v>
      </c>
      <c r="P338" s="189" t="str">
        <f t="shared" si="173"/>
        <v>1078.86904761905</v>
      </c>
      <c r="Q338" s="160" t="str">
        <f t="shared" si="174"/>
        <v>1+3111.93050635019i</v>
      </c>
      <c r="R338" s="160">
        <f t="shared" si="182"/>
        <v>3111.9306670221545</v>
      </c>
      <c r="S338" s="160">
        <f t="shared" si="183"/>
        <v>1.5704749828691442</v>
      </c>
      <c r="T338" s="160" t="str">
        <f t="shared" si="175"/>
        <v>1+0.00199163552406412i</v>
      </c>
      <c r="U338" s="160">
        <f t="shared" si="184"/>
        <v>1.0000019833040636</v>
      </c>
      <c r="V338" s="160">
        <f t="shared" si="185"/>
        <v>1.9916328907218905E-3</v>
      </c>
      <c r="W338" s="98" t="str">
        <f t="shared" si="176"/>
        <v>1-1.44043047642414i</v>
      </c>
      <c r="X338" s="160">
        <f t="shared" si="186"/>
        <v>1.7535221576619653</v>
      </c>
      <c r="Y338" s="160">
        <f t="shared" si="187"/>
        <v>-0.96394869060507749</v>
      </c>
      <c r="Z338" s="98" t="str">
        <f t="shared" si="177"/>
        <v>0.545154109278481+0.114416787182641i</v>
      </c>
      <c r="AA338" s="160">
        <f t="shared" si="188"/>
        <v>0.55703160058690715</v>
      </c>
      <c r="AB338" s="160">
        <f t="shared" si="189"/>
        <v>0.20687698360590609</v>
      </c>
      <c r="AC338" s="171" t="str">
        <f t="shared" si="190"/>
        <v>-1.00424308351603-0.427293042134183i</v>
      </c>
      <c r="AD338" s="190">
        <f t="shared" si="191"/>
        <v>0.75942213773587286</v>
      </c>
      <c r="AE338" s="169">
        <f t="shared" si="192"/>
        <v>-156.95084586815295</v>
      </c>
      <c r="AF338" s="98" t="str">
        <f t="shared" si="178"/>
        <v>-9.95024875621891E-06</v>
      </c>
      <c r="AG338" s="98" t="str">
        <f t="shared" si="179"/>
        <v>0.0996813579794095i</v>
      </c>
      <c r="AH338" s="98">
        <f t="shared" si="193"/>
        <v>9.9681357979409496E-2</v>
      </c>
      <c r="AI338" s="98">
        <f t="shared" si="194"/>
        <v>1.5707963267948966</v>
      </c>
      <c r="AJ338" s="98" t="str">
        <f t="shared" si="180"/>
        <v>1+0.994822939092969i</v>
      </c>
      <c r="AK338" s="98">
        <f t="shared" si="195"/>
        <v>1.4105575777491586</v>
      </c>
      <c r="AL338" s="98">
        <f t="shared" si="196"/>
        <v>0.78280292089116932</v>
      </c>
      <c r="AM338" s="98" t="str">
        <f t="shared" si="181"/>
        <v>1+995.817762032062i</v>
      </c>
      <c r="AN338" s="98">
        <f t="shared" si="197"/>
        <v>995.81826413183683</v>
      </c>
      <c r="AO338" s="98">
        <f t="shared" si="198"/>
        <v>1.5697921273299056</v>
      </c>
      <c r="AP338" s="168" t="str">
        <f t="shared" si="199"/>
        <v>-0.049909606584008+0.0497510420686811i</v>
      </c>
      <c r="AQ338" s="98">
        <f t="shared" si="200"/>
        <v>-23.039814772839371</v>
      </c>
      <c r="AR338" s="169">
        <f t="shared" si="201"/>
        <v>135.09116005128951</v>
      </c>
      <c r="AS338" s="168" t="str">
        <f t="shared" si="202"/>
        <v>0.0713796513278686-0.028636112266187i</v>
      </c>
      <c r="AT338" s="190">
        <f t="shared" si="203"/>
        <v>-22.2803926351035</v>
      </c>
      <c r="AU338" s="169">
        <f t="shared" si="204"/>
        <v>-21.859685816863447</v>
      </c>
      <c r="AV338" s="225"/>
      <c r="AX338">
        <f t="shared" si="205"/>
        <v>0</v>
      </c>
      <c r="AY338">
        <f t="shared" si="206"/>
        <v>0</v>
      </c>
    </row>
    <row r="339" spans="14:51" x14ac:dyDescent="0.55000000000000004">
      <c r="N339" s="170">
        <v>21</v>
      </c>
      <c r="O339" s="199">
        <f t="shared" si="208"/>
        <v>16218.100973589309</v>
      </c>
      <c r="P339" s="189" t="str">
        <f t="shared" ref="P339:P402" si="209">COMPLEX(Adc,0)</f>
        <v>1078.86904761905</v>
      </c>
      <c r="Q339" s="160" t="str">
        <f t="shared" ref="Q339:Q402" si="210">IMSUM(COMPLEX(1,0),IMDIV(COMPLEX(0,2*PI()*O339),COMPLEX(wp_lf,0)))</f>
        <v>1+3184.41667961284i</v>
      </c>
      <c r="R339" s="160">
        <f t="shared" si="182"/>
        <v>3184.4168366274648</v>
      </c>
      <c r="S339" s="160">
        <f t="shared" si="183"/>
        <v>1.5704822975494368</v>
      </c>
      <c r="T339" s="160" t="str">
        <f t="shared" ref="T339:T402" si="211">IMSUM(COMPLEX(1,0),IMDIV(COMPLEX(0,2*PI()*O339),COMPLEX(wz_esr,0)))</f>
        <v>1+0.00203802667495222i</v>
      </c>
      <c r="U339" s="160">
        <f t="shared" si="184"/>
        <v>1.0000020767742075</v>
      </c>
      <c r="V339" s="160">
        <f t="shared" si="185"/>
        <v>2.0380238532755005E-3</v>
      </c>
      <c r="W339" s="98" t="str">
        <f t="shared" ref="W339:W402" si="212">IMSUB(COMPLEX(1,0),IMDIV(COMPLEX(0,2*PI()*O339),COMPLEX(wz_rhp,0)))</f>
        <v>1-1.47398241239244i</v>
      </c>
      <c r="X339" s="160">
        <f t="shared" si="186"/>
        <v>1.7811861643416831</v>
      </c>
      <c r="Y339" s="160">
        <f t="shared" si="187"/>
        <v>-0.97469119070269949</v>
      </c>
      <c r="Z339" s="98" t="str">
        <f t="shared" ref="Z339:Z402" si="213">IF(Dc_Mode_Loop="CCM",IMSUM(COMPLEX(1,0),IMDIV(COMPLEX(0,2*PI()*O339),COMPLEX(Q*(wsl/2),0)),IMDIV(IMPOWER(COMPLEX(0,2*PI()*O339),2),IMPOWER(COMPLEX(wsl/2,0),2))),COMPLEX(1,0))</f>
        <v>0.52371788286186+0.117081896523275i</v>
      </c>
      <c r="AA339" s="160">
        <f t="shared" si="188"/>
        <v>0.53664568508727983</v>
      </c>
      <c r="AB339" s="160">
        <f t="shared" si="189"/>
        <v>0.21994254682619394</v>
      </c>
      <c r="AC339" s="171" t="str">
        <f t="shared" si="190"/>
        <v>-1.04490642999823-0.415550325955408i</v>
      </c>
      <c r="AD339" s="190">
        <f t="shared" si="191"/>
        <v>1.0192279051729063</v>
      </c>
      <c r="AE339" s="169">
        <f t="shared" si="192"/>
        <v>-158.31270850859678</v>
      </c>
      <c r="AF339" s="98" t="str">
        <f t="shared" ref="AF339:AF402" si="214">COMPLEX(Adc_ea,0)</f>
        <v>-9.95024875621891E-06</v>
      </c>
      <c r="AG339" s="98" t="str">
        <f t="shared" ref="AG339:AG402" si="215">COMPLEX(0,2*PI()*O339*wp0_ea)</f>
        <v>0.102003235081359i</v>
      </c>
      <c r="AH339" s="98">
        <f t="shared" si="193"/>
        <v>0.102003235081359</v>
      </c>
      <c r="AI339" s="98">
        <f t="shared" si="194"/>
        <v>1.5707963267948966</v>
      </c>
      <c r="AJ339" s="98" t="str">
        <f t="shared" ref="AJ339:AJ402" si="216">IMSUM(COMPLEX(1,0),IMDIV(COMPLEX(0,2*PI()*O339),COMPLEX(wp1_ea,0)))</f>
        <v>1+1.01799534213398i</v>
      </c>
      <c r="AK339" s="98">
        <f t="shared" si="195"/>
        <v>1.4269949252209972</v>
      </c>
      <c r="AL339" s="98">
        <f t="shared" si="196"/>
        <v>0.79431536195614294</v>
      </c>
      <c r="AM339" s="98" t="str">
        <f t="shared" ref="AM339:AM402" si="217">IMSUM(COMPLEX(1,0),IMDIV(COMPLEX(0,2*PI()*O339),COMPLEX(wz_ea,0)))</f>
        <v>1+1019.01333747611i</v>
      </c>
      <c r="AN339" s="98">
        <f t="shared" si="197"/>
        <v>1019.013828146704</v>
      </c>
      <c r="AO339" s="98">
        <f t="shared" si="198"/>
        <v>1.569814985685597</v>
      </c>
      <c r="AP339" s="168" t="str">
        <f t="shared" si="199"/>
        <v>-0.0487664257594665+0.0497415426401627i</v>
      </c>
      <c r="AQ339" s="98">
        <f t="shared" si="200"/>
        <v>-23.140447175308708</v>
      </c>
      <c r="AR339" s="169">
        <f t="shared" si="201"/>
        <v>134.43285545368104</v>
      </c>
      <c r="AS339" s="168" t="str">
        <f t="shared" si="202"/>
        <v>0.0716264661017423-0.0317103536227106i</v>
      </c>
      <c r="AT339" s="190">
        <f t="shared" si="203"/>
        <v>-22.121219270135803</v>
      </c>
      <c r="AU339" s="169">
        <f t="shared" si="204"/>
        <v>-23.879853054915717</v>
      </c>
      <c r="AV339" s="225"/>
      <c r="AX339">
        <f t="shared" si="205"/>
        <v>0</v>
      </c>
      <c r="AY339">
        <f t="shared" si="206"/>
        <v>0</v>
      </c>
    </row>
    <row r="340" spans="14:51" x14ac:dyDescent="0.55000000000000004">
      <c r="N340" s="170">
        <v>22</v>
      </c>
      <c r="O340" s="199">
        <f t="shared" si="208"/>
        <v>16595.869074375616</v>
      </c>
      <c r="P340" s="189" t="str">
        <f t="shared" si="209"/>
        <v>1078.86904761905</v>
      </c>
      <c r="Q340" s="160" t="str">
        <f t="shared" si="210"/>
        <v>1+3258.59127274978i</v>
      </c>
      <c r="R340" s="160">
        <f t="shared" ref="R340:R403" si="218">IMABS(Q340)</f>
        <v>3258.5914261903145</v>
      </c>
      <c r="S340" s="160">
        <f t="shared" ref="S340:S403" si="219">IMARGUMENT(Q340)</f>
        <v>1.5704894457273106</v>
      </c>
      <c r="T340" s="160" t="str">
        <f t="shared" si="211"/>
        <v>1+0.00208549841455986i</v>
      </c>
      <c r="U340" s="160">
        <f t="shared" ref="U340:U403" si="220">IMABS(T340)</f>
        <v>1.0000021746494541</v>
      </c>
      <c r="V340" s="160">
        <f t="shared" ref="V340:V403" si="221">IMARGUMENT(T340)</f>
        <v>2.0854953910791367E-3</v>
      </c>
      <c r="W340" s="98" t="str">
        <f t="shared" si="212"/>
        <v>1-1.50831587334627i</v>
      </c>
      <c r="X340" s="160">
        <f t="shared" ref="X340:X403" si="222">IMABS(W340)</f>
        <v>1.8097007415007382</v>
      </c>
      <c r="Y340" s="160">
        <f t="shared" ref="Y340:Y403" si="223">IMARGUMENT(W340)</f>
        <v>-0.98534266488512146</v>
      </c>
      <c r="Z340" s="98" t="str">
        <f t="shared" si="213"/>
        <v>0.501271398218528+0.119809084235208i</v>
      </c>
      <c r="AA340" s="160">
        <f t="shared" ref="AA340:AA403" si="224">IMABS(Z340)</f>
        <v>0.51539036791274739</v>
      </c>
      <c r="AB340" s="160">
        <f t="shared" ref="AB340:AB403" si="225">IMARGUMENT(Z340)</f>
        <v>0.23460908024249144</v>
      </c>
      <c r="AC340" s="171" t="str">
        <f t="shared" ref="AC340:AC403" si="226">(IMDIV(IMPRODUCT(P340,T340,W340),IMPRODUCT(Q340,Z340)))</f>
        <v>-1.09076812823468-0.402167426579289i</v>
      </c>
      <c r="AD340" s="190">
        <f t="shared" ref="AD340:AD403" si="227">20*LOG(IMABS(AC340))</f>
        <v>1.3082046801435909</v>
      </c>
      <c r="AE340" s="169">
        <f t="shared" ref="AE340:AE403" si="228">(180/PI())*IMARGUMENT(AC340)</f>
        <v>-159.7610131313437</v>
      </c>
      <c r="AF340" s="98" t="str">
        <f t="shared" si="214"/>
        <v>-9.95024875621891E-06</v>
      </c>
      <c r="AG340" s="98" t="str">
        <f t="shared" si="215"/>
        <v>0.104379195648721i</v>
      </c>
      <c r="AH340" s="98">
        <f t="shared" ref="AH340:AH403" si="229">IMABS(AG340)</f>
        <v>0.104379195648721</v>
      </c>
      <c r="AI340" s="98">
        <f t="shared" ref="AI340:AI403" si="230">IMARGUMENT(AG340)</f>
        <v>1.5707963267948966</v>
      </c>
      <c r="AJ340" s="98" t="str">
        <f t="shared" si="216"/>
        <v>1+1.04170749978015i</v>
      </c>
      <c r="AK340" s="98">
        <f t="shared" ref="AK340:AK403" si="231">IMABS(AJ340)</f>
        <v>1.4440064110308553</v>
      </c>
      <c r="AL340" s="98">
        <f t="shared" ref="AL340:AL403" si="232">IMARGUMENT(AJ340)</f>
        <v>0.80582307725932212</v>
      </c>
      <c r="AM340" s="98" t="str">
        <f t="shared" si="217"/>
        <v>1+1042.74920727993i</v>
      </c>
      <c r="AN340" s="98">
        <f t="shared" ref="AN340:AN403" si="233">IMABS(AM340)</f>
        <v>1042.749686781503</v>
      </c>
      <c r="AO340" s="98">
        <f t="shared" ref="AO340:AO403" si="234">IMARGUMENT(AM340)</f>
        <v>1.5698373237225796</v>
      </c>
      <c r="AP340" s="168" t="str">
        <f t="shared" ref="AP340:AP403" si="235">IMPRODUCT(AF340,IMDIV(AM340,IMPRODUCT(AG340,AJ340)))</f>
        <v>-0.0476241832334125+0.0497057967377856i</v>
      </c>
      <c r="AQ340" s="98">
        <f t="shared" ref="AQ340:AQ403" si="236">20*LOG(IMABS(AP340))</f>
        <v>-23.24338121852341</v>
      </c>
      <c r="AR340" s="169">
        <f t="shared" ref="AR340:AR403" si="237">(180/PI())*IMARGUMENT(AP340)</f>
        <v>133.77479181021261</v>
      </c>
      <c r="AS340" s="168" t="str">
        <f t="shared" ref="AS340:AS403" si="238">IMPRODUCT(AC340,AP340)</f>
        <v>0.0719369935643232-0.0350646036561658i</v>
      </c>
      <c r="AT340" s="190">
        <f t="shared" ref="AT340:AT403" si="239">20*LOG(IMABS(AS340))</f>
        <v>-21.935176538379825</v>
      </c>
      <c r="AU340" s="169">
        <f t="shared" ref="AU340:AU403" si="240">(180/PI())*IMARGUMENT(AS340)</f>
        <v>-25.986221321131094</v>
      </c>
      <c r="AV340" s="225"/>
      <c r="AX340">
        <f t="shared" ref="AX340:AX403" si="241">SUM((AT341&lt;0)*(AT340&gt;0))*O340</f>
        <v>0</v>
      </c>
      <c r="AY340">
        <f t="shared" ref="AY340:AY403" si="242">IF(AX340&gt;0,AU340,0)</f>
        <v>0</v>
      </c>
    </row>
    <row r="341" spans="14:51" x14ac:dyDescent="0.55000000000000004">
      <c r="N341" s="170">
        <v>23</v>
      </c>
      <c r="O341" s="199">
        <f t="shared" si="208"/>
        <v>16982.436524617482</v>
      </c>
      <c r="P341" s="189" t="str">
        <f t="shared" si="209"/>
        <v>1078.86904761905</v>
      </c>
      <c r="Q341" s="160" t="str">
        <f t="shared" si="210"/>
        <v>1+3334.49361411209i</v>
      </c>
      <c r="R341" s="160">
        <f t="shared" si="218"/>
        <v>3334.4937640598919</v>
      </c>
      <c r="S341" s="160">
        <f t="shared" si="219"/>
        <v>1.5704964311928211</v>
      </c>
      <c r="T341" s="160" t="str">
        <f t="shared" si="211"/>
        <v>1+0.00213407591303174i</v>
      </c>
      <c r="U341" s="160">
        <f t="shared" si="220"/>
        <v>1.0000022771374086</v>
      </c>
      <c r="V341" s="160">
        <f t="shared" si="221"/>
        <v>2.1340726733141747E-3</v>
      </c>
      <c r="W341" s="98" t="str">
        <f t="shared" si="212"/>
        <v>1-1.54344906334108i</v>
      </c>
      <c r="X341" s="160">
        <f t="shared" si="222"/>
        <v>1.8390853735290424</v>
      </c>
      <c r="Y341" s="160">
        <f t="shared" si="223"/>
        <v>-0.99589909302606749</v>
      </c>
      <c r="Z341" s="98" t="str">
        <f t="shared" si="213"/>
        <v>0.477767043345107+0.122599796309464i</v>
      </c>
      <c r="AA341" s="160">
        <f t="shared" si="224"/>
        <v>0.4932464472876083</v>
      </c>
      <c r="AB341" s="160">
        <f t="shared" si="225"/>
        <v>0.25119008978233948</v>
      </c>
      <c r="AC341" s="171" t="str">
        <f t="shared" si="226"/>
        <v>-1.14276975651041-0.386506344277811i</v>
      </c>
      <c r="AD341" s="190">
        <f t="shared" si="227"/>
        <v>1.6295547493495959</v>
      </c>
      <c r="AE341" s="169">
        <f t="shared" si="228"/>
        <v>-161.31349074169211</v>
      </c>
      <c r="AF341" s="98" t="str">
        <f t="shared" si="214"/>
        <v>-9.95024875621891E-06</v>
      </c>
      <c r="AG341" s="98" t="str">
        <f t="shared" si="215"/>
        <v>0.106810499447238i</v>
      </c>
      <c r="AH341" s="98">
        <f t="shared" si="229"/>
        <v>0.106810499447238</v>
      </c>
      <c r="AI341" s="98">
        <f t="shared" si="230"/>
        <v>1.5707963267948966</v>
      </c>
      <c r="AJ341" s="98" t="str">
        <f t="shared" si="216"/>
        <v>1+1.06597198453134i</v>
      </c>
      <c r="AK341" s="98">
        <f t="shared" si="231"/>
        <v>1.4616074273913919</v>
      </c>
      <c r="AL341" s="98">
        <f t="shared" si="232"/>
        <v>0.81731997790863964</v>
      </c>
      <c r="AM341" s="98" t="str">
        <f t="shared" si="217"/>
        <v>1+1067.03795651587i</v>
      </c>
      <c r="AN341" s="98">
        <f t="shared" si="233"/>
        <v>1067.0384251026594</v>
      </c>
      <c r="AO341" s="98">
        <f t="shared" si="234"/>
        <v>1.5698591532846866</v>
      </c>
      <c r="AP341" s="168" t="str">
        <f t="shared" si="235"/>
        <v>-0.0464840865041061+0.0496438919047876i</v>
      </c>
      <c r="AQ341" s="98">
        <f t="shared" si="236"/>
        <v>-23.348613796068832</v>
      </c>
      <c r="AR341" s="169">
        <f t="shared" si="237"/>
        <v>133.1173186673027</v>
      </c>
      <c r="AS341" s="168" t="str">
        <f t="shared" si="238"/>
        <v>0.0723082873917484-0.0387651439224677i</v>
      </c>
      <c r="AT341" s="190">
        <f t="shared" si="239"/>
        <v>-21.719059046719241</v>
      </c>
      <c r="AU341" s="169">
        <f t="shared" si="240"/>
        <v>-28.19617207438942</v>
      </c>
      <c r="AV341" s="225"/>
      <c r="AX341">
        <f t="shared" si="241"/>
        <v>0</v>
      </c>
      <c r="AY341">
        <f t="shared" si="242"/>
        <v>0</v>
      </c>
    </row>
    <row r="342" spans="14:51" x14ac:dyDescent="0.55000000000000004">
      <c r="N342" s="170">
        <v>24</v>
      </c>
      <c r="O342" s="199">
        <f t="shared" si="208"/>
        <v>17378.008287493791</v>
      </c>
      <c r="P342" s="189" t="str">
        <f t="shared" si="209"/>
        <v>1078.86904761905</v>
      </c>
      <c r="Q342" s="160" t="str">
        <f t="shared" si="210"/>
        <v>1+3412.16394812581i</v>
      </c>
      <c r="R342" s="160">
        <f t="shared" si="218"/>
        <v>3412.1640946603839</v>
      </c>
      <c r="S342" s="160">
        <f t="shared" si="219"/>
        <v>1.5705032576497522</v>
      </c>
      <c r="T342" s="160" t="str">
        <f t="shared" si="211"/>
        <v>1+0.00218378492680052i</v>
      </c>
      <c r="U342" s="160">
        <f t="shared" si="220"/>
        <v>1.0000023844554604</v>
      </c>
      <c r="V342" s="160">
        <f t="shared" si="221"/>
        <v>2.183781455381052E-3</v>
      </c>
      <c r="W342" s="98" t="str">
        <f t="shared" si="212"/>
        <v>1-1.57940061045921i</v>
      </c>
      <c r="X342" s="160">
        <f t="shared" si="222"/>
        <v>1.8693598605723099</v>
      </c>
      <c r="Y342" s="160">
        <f t="shared" si="223"/>
        <v>-1.0063566610093684</v>
      </c>
      <c r="Z342" s="98" t="str">
        <f t="shared" si="213"/>
        <v>0.453154962353637+0.125455512418521i</v>
      </c>
      <c r="AA342" s="160">
        <f t="shared" si="224"/>
        <v>0.47020049500390765</v>
      </c>
      <c r="AB342" s="160">
        <f t="shared" si="225"/>
        <v>0.27008442676443406</v>
      </c>
      <c r="AC342" s="171" t="str">
        <f t="shared" si="226"/>
        <v>-1.20206861432011-0.367675034372483i</v>
      </c>
      <c r="AD342" s="190">
        <f t="shared" si="227"/>
        <v>1.9869938309768262</v>
      </c>
      <c r="AE342" s="169">
        <f t="shared" si="228"/>
        <v>-162.99277404063221</v>
      </c>
      <c r="AF342" s="98" t="str">
        <f t="shared" si="214"/>
        <v>-9.95024875621891E-06</v>
      </c>
      <c r="AG342" s="98" t="str">
        <f t="shared" si="215"/>
        <v>0.109298435586366i</v>
      </c>
      <c r="AH342" s="98">
        <f t="shared" si="229"/>
        <v>0.109298435586366</v>
      </c>
      <c r="AI342" s="98">
        <f t="shared" si="230"/>
        <v>1.5707963267948966</v>
      </c>
      <c r="AJ342" s="98" t="str">
        <f t="shared" si="216"/>
        <v>1+1.09080166173852i</v>
      </c>
      <c r="AK342" s="98">
        <f t="shared" si="231"/>
        <v>1.4798135913862653</v>
      </c>
      <c r="AL342" s="98">
        <f t="shared" si="232"/>
        <v>0.82880000359930683</v>
      </c>
      <c r="AM342" s="98" t="str">
        <f t="shared" si="217"/>
        <v>1+1091.89246340026i</v>
      </c>
      <c r="AN342" s="98">
        <f t="shared" si="233"/>
        <v>1091.8929213207164</v>
      </c>
      <c r="AO342" s="98">
        <f t="shared" si="234"/>
        <v>1.5698804859461579</v>
      </c>
      <c r="AP342" s="168" t="str">
        <f t="shared" si="235"/>
        <v>-0.045347334001522+0.0495559847149803i</v>
      </c>
      <c r="AQ342" s="98">
        <f t="shared" si="236"/>
        <v>-23.456139377866293</v>
      </c>
      <c r="AR342" s="169">
        <f t="shared" si="237"/>
        <v>132.46078391799381</v>
      </c>
      <c r="AS342" s="168" t="str">
        <f t="shared" si="238"/>
        <v>0.0727311053297634-0.0428966112898949i</v>
      </c>
      <c r="AT342" s="190">
        <f t="shared" si="239"/>
        <v>-21.469145546889465</v>
      </c>
      <c r="AU342" s="169">
        <f t="shared" si="240"/>
        <v>-30.531990122638426</v>
      </c>
      <c r="AV342" s="225"/>
      <c r="AX342">
        <f t="shared" si="241"/>
        <v>0</v>
      </c>
      <c r="AY342">
        <f t="shared" si="242"/>
        <v>0</v>
      </c>
    </row>
    <row r="343" spans="14:51" x14ac:dyDescent="0.55000000000000004">
      <c r="N343" s="170">
        <v>25</v>
      </c>
      <c r="O343" s="199">
        <f t="shared" si="208"/>
        <v>17782.794100389234</v>
      </c>
      <c r="P343" s="189" t="str">
        <f t="shared" si="209"/>
        <v>1078.86904761905</v>
      </c>
      <c r="Q343" s="160" t="str">
        <f t="shared" si="210"/>
        <v>1+3491.64345663016i</v>
      </c>
      <c r="R343" s="160">
        <f t="shared" si="218"/>
        <v>3491.6435998291995</v>
      </c>
      <c r="S343" s="160">
        <f t="shared" si="219"/>
        <v>1.5705099287175786</v>
      </c>
      <c r="T343" s="160" t="str">
        <f t="shared" si="211"/>
        <v>1+0.0022346518122433i</v>
      </c>
      <c r="U343" s="160">
        <f t="shared" si="220"/>
        <v>1.0000024968312438</v>
      </c>
      <c r="V343" s="160">
        <f t="shared" si="221"/>
        <v>2.2346480925508252E-3</v>
      </c>
      <c r="W343" s="98" t="str">
        <f t="shared" si="212"/>
        <v>1-1.61618957668685i</v>
      </c>
      <c r="X343" s="160">
        <f t="shared" si="222"/>
        <v>1.9005443293412598</v>
      </c>
      <c r="Y343" s="160">
        <f t="shared" si="223"/>
        <v>-1.0167117641461108</v>
      </c>
      <c r="Z343" s="98" t="str">
        <f t="shared" si="213"/>
        <v>0.427382949720529+0.128377746700863i</v>
      </c>
      <c r="AA343" s="160">
        <f t="shared" si="224"/>
        <v>0.44624772443096122</v>
      </c>
      <c r="AB343" s="160">
        <f t="shared" si="225"/>
        <v>0.29180636108153707</v>
      </c>
      <c r="AC343" s="171" t="str">
        <f t="shared" si="226"/>
        <v>-1.27008998514694-0.34440652758612i</v>
      </c>
      <c r="AD343" s="190">
        <f t="shared" si="227"/>
        <v>2.3848379859299911</v>
      </c>
      <c r="AE343" s="169">
        <f t="shared" si="228"/>
        <v>-164.82812068642406</v>
      </c>
      <c r="AF343" s="98" t="str">
        <f t="shared" si="214"/>
        <v>-9.95024875621891E-06</v>
      </c>
      <c r="AG343" s="98" t="str">
        <f t="shared" si="215"/>
        <v>0.111844323202778i</v>
      </c>
      <c r="AH343" s="98">
        <f t="shared" si="229"/>
        <v>0.111844323202778</v>
      </c>
      <c r="AI343" s="98">
        <f t="shared" si="230"/>
        <v>1.5707963267948966</v>
      </c>
      <c r="AJ343" s="98" t="str">
        <f t="shared" si="216"/>
        <v>1+1.11620969642522i</v>
      </c>
      <c r="AK343" s="98">
        <f t="shared" si="231"/>
        <v>1.4986407462743303</v>
      </c>
      <c r="AL343" s="98">
        <f t="shared" si="232"/>
        <v>0.84025713850486938</v>
      </c>
      <c r="AM343" s="98" t="str">
        <f t="shared" si="217"/>
        <v>1+1117.32590612165i</v>
      </c>
      <c r="AN343" s="98">
        <f t="shared" si="233"/>
        <v>1117.3263536185684</v>
      </c>
      <c r="AO343" s="98">
        <f t="shared" si="234"/>
        <v>1.5699013330177753</v>
      </c>
      <c r="AP343" s="168" t="str">
        <f t="shared" si="235"/>
        <v>-0.0442151100736745+0.0494422997585323i</v>
      </c>
      <c r="AQ343" s="98">
        <f t="shared" si="236"/>
        <v>-23.565950033504031</v>
      </c>
      <c r="AR343" s="169">
        <f t="shared" si="237"/>
        <v>131.80553289181194</v>
      </c>
      <c r="AS343" s="168" t="str">
        <f t="shared" si="238"/>
        <v>0.0731854192724517-0.0475681972386325i</v>
      </c>
      <c r="AT343" s="190">
        <f t="shared" si="239"/>
        <v>-21.181112047574043</v>
      </c>
      <c r="AU343" s="169">
        <f t="shared" si="240"/>
        <v>-33.022587794612093</v>
      </c>
      <c r="AV343" s="225"/>
      <c r="AX343">
        <f t="shared" si="241"/>
        <v>0</v>
      </c>
      <c r="AY343">
        <f t="shared" si="242"/>
        <v>0</v>
      </c>
    </row>
    <row r="344" spans="14:51" x14ac:dyDescent="0.55000000000000004">
      <c r="N344" s="170">
        <v>26</v>
      </c>
      <c r="O344" s="199">
        <f t="shared" si="208"/>
        <v>18197.008586099837</v>
      </c>
      <c r="P344" s="189" t="str">
        <f t="shared" si="209"/>
        <v>1078.86904761905</v>
      </c>
      <c r="Q344" s="160" t="str">
        <f t="shared" si="210"/>
        <v>1+3572.97428071259i</v>
      </c>
      <c r="R344" s="160">
        <f t="shared" si="218"/>
        <v>3572.9744206520218</v>
      </c>
      <c r="S344" s="160">
        <f t="shared" si="219"/>
        <v>1.5705164479333868</v>
      </c>
      <c r="T344" s="160" t="str">
        <f t="shared" si="211"/>
        <v>1+0.00228670353965606i</v>
      </c>
      <c r="U344" s="160">
        <f t="shared" si="220"/>
        <v>1.0000026145031213</v>
      </c>
      <c r="V344" s="160">
        <f t="shared" si="221"/>
        <v>2.2866995539343265E-3</v>
      </c>
      <c r="W344" s="98" t="str">
        <f t="shared" si="212"/>
        <v>1-1.65383546802085i</v>
      </c>
      <c r="X344" s="160">
        <f t="shared" si="222"/>
        <v>1.9326592444825195</v>
      </c>
      <c r="Y344" s="160">
        <f t="shared" si="223"/>
        <v>-1.026961009640464</v>
      </c>
      <c r="Z344" s="98" t="str">
        <f t="shared" si="213"/>
        <v>0.400396339551668+0.131368048563787i</v>
      </c>
      <c r="AA344" s="160">
        <f t="shared" si="224"/>
        <v>0.42139624216387139</v>
      </c>
      <c r="AB344" s="160">
        <f t="shared" si="225"/>
        <v>0.31702869500950365</v>
      </c>
      <c r="AC344" s="171" t="str">
        <f t="shared" si="226"/>
        <v>-1.34858529714215-0.314870792535514i</v>
      </c>
      <c r="AD344" s="190">
        <f t="shared" si="227"/>
        <v>2.8280918387625698</v>
      </c>
      <c r="AE344" s="169">
        <f t="shared" si="228"/>
        <v>-166.85788367448279</v>
      </c>
      <c r="AF344" s="98" t="str">
        <f t="shared" si="214"/>
        <v>-9.95024875621891E-06</v>
      </c>
      <c r="AG344" s="98" t="str">
        <f t="shared" si="215"/>
        <v>0.114449512159786i</v>
      </c>
      <c r="AH344" s="98">
        <f t="shared" si="229"/>
        <v>0.11444951215978599</v>
      </c>
      <c r="AI344" s="98">
        <f t="shared" si="230"/>
        <v>1.5707963267948966</v>
      </c>
      <c r="AJ344" s="98" t="str">
        <f t="shared" si="216"/>
        <v>1+1.14220956026776i</v>
      </c>
      <c r="AK344" s="98">
        <f t="shared" si="231"/>
        <v>1.5181049632904404</v>
      </c>
      <c r="AL344" s="98">
        <f t="shared" si="232"/>
        <v>0.85168542688310522</v>
      </c>
      <c r="AM344" s="98" t="str">
        <f t="shared" si="217"/>
        <v>1+1143.35176982803i</v>
      </c>
      <c r="AN344" s="98">
        <f t="shared" si="233"/>
        <v>1143.352207138679</v>
      </c>
      <c r="AO344" s="98">
        <f t="shared" si="234"/>
        <v>1.5699217055528594</v>
      </c>
      <c r="AP344" s="168" t="str">
        <f t="shared" si="235"/>
        <v>-0.043088580098529+0.0493031281982798i</v>
      </c>
      <c r="AQ344" s="98">
        <f t="shared" si="236"/>
        <v>-23.67803546554638</v>
      </c>
      <c r="AR344" s="169">
        <f t="shared" si="237"/>
        <v>131.15190746095897</v>
      </c>
      <c r="AS344" s="168" t="str">
        <f t="shared" si="238"/>
        <v>0.0736327406458805-0.0529221384264609i</v>
      </c>
      <c r="AT344" s="190">
        <f t="shared" si="239"/>
        <v>-20.849943626783801</v>
      </c>
      <c r="AU344" s="169">
        <f t="shared" si="240"/>
        <v>-35.705976213523826</v>
      </c>
      <c r="AV344" s="225"/>
      <c r="AX344">
        <f t="shared" si="241"/>
        <v>0</v>
      </c>
      <c r="AY344">
        <f t="shared" si="242"/>
        <v>0</v>
      </c>
    </row>
    <row r="345" spans="14:51" x14ac:dyDescent="0.55000000000000004">
      <c r="N345" s="170">
        <v>27</v>
      </c>
      <c r="O345" s="199">
        <f t="shared" si="208"/>
        <v>18620.871366628675</v>
      </c>
      <c r="P345" s="189" t="str">
        <f t="shared" si="209"/>
        <v>1078.86904761905</v>
      </c>
      <c r="Q345" s="160" t="str">
        <f t="shared" si="210"/>
        <v>1+3656.19954305256i</v>
      </c>
      <c r="R345" s="160">
        <f t="shared" si="218"/>
        <v>3656.1996798065807</v>
      </c>
      <c r="S345" s="160">
        <f t="shared" si="219"/>
        <v>1.5705228187537492</v>
      </c>
      <c r="T345" s="160" t="str">
        <f t="shared" si="211"/>
        <v>1+0.00233996770755364i</v>
      </c>
      <c r="U345" s="160">
        <f t="shared" si="220"/>
        <v>1.0000027377206886</v>
      </c>
      <c r="V345" s="160">
        <f t="shared" si="221"/>
        <v>2.3399634367764887E-3</v>
      </c>
      <c r="W345" s="98" t="str">
        <f t="shared" si="212"/>
        <v>1-1.6923582448111i</v>
      </c>
      <c r="X345" s="160">
        <f t="shared" si="222"/>
        <v>1.965725420494965</v>
      </c>
      <c r="Y345" s="160">
        <f t="shared" si="223"/>
        <v>-1.0371012181325441</v>
      </c>
      <c r="Z345" s="98" t="str">
        <f t="shared" si="213"/>
        <v>0.372137889628735+0.134428003504921i</v>
      </c>
      <c r="AA345" s="160">
        <f t="shared" si="224"/>
        <v>0.39567347273180647</v>
      </c>
      <c r="AB345" s="160">
        <f t="shared" si="225"/>
        <v>0.34664554065321856</v>
      </c>
      <c r="AC345" s="171" t="str">
        <f t="shared" si="226"/>
        <v>-1.43968478449737-0.276376916560545i</v>
      </c>
      <c r="AD345" s="190">
        <f t="shared" si="227"/>
        <v>3.3225187091043069</v>
      </c>
      <c r="AE345" s="169">
        <f t="shared" si="228"/>
        <v>-169.13310830776854</v>
      </c>
      <c r="AF345" s="98" t="str">
        <f t="shared" si="214"/>
        <v>-9.95024875621891E-06</v>
      </c>
      <c r="AG345" s="98" t="str">
        <f t="shared" si="215"/>
        <v>0.11711538376306i</v>
      </c>
      <c r="AH345" s="98">
        <f t="shared" si="229"/>
        <v>0.11711538376305999</v>
      </c>
      <c r="AI345" s="98">
        <f t="shared" si="230"/>
        <v>1.5707963267948966</v>
      </c>
      <c r="AJ345" s="98" t="str">
        <f t="shared" si="216"/>
        <v>1+1.16881503873808i</v>
      </c>
      <c r="AK345" s="98">
        <f t="shared" si="231"/>
        <v>1.5382225439708974</v>
      </c>
      <c r="AL345" s="98">
        <f t="shared" si="232"/>
        <v>0.86307898829912799</v>
      </c>
      <c r="AM345" s="98" t="str">
        <f t="shared" si="217"/>
        <v>1+1169.98385377682i</v>
      </c>
      <c r="AN345" s="98">
        <f t="shared" si="233"/>
        <v>1169.984281133067</v>
      </c>
      <c r="AO345" s="98">
        <f t="shared" si="234"/>
        <v>1.5699416143531302</v>
      </c>
      <c r="AP345" s="168" t="str">
        <f t="shared" si="235"/>
        <v>-0.0419688857638927+0.0491388259136602i</v>
      </c>
      <c r="AQ345" s="98">
        <f t="shared" si="236"/>
        <v>-23.792383052525583</v>
      </c>
      <c r="AR345" s="169">
        <f t="shared" si="237"/>
        <v>130.50024516842853</v>
      </c>
      <c r="AS345" s="168" t="str">
        <f t="shared" si="238"/>
        <v>0.0740028034460074-0.0591451887570552i</v>
      </c>
      <c r="AT345" s="190">
        <f t="shared" si="239"/>
        <v>-20.469864343421278</v>
      </c>
      <c r="AU345" s="169">
        <f t="shared" si="240"/>
        <v>-38.632863139339968</v>
      </c>
      <c r="AV345" s="225"/>
      <c r="AX345">
        <f t="shared" si="241"/>
        <v>0</v>
      </c>
      <c r="AY345">
        <f t="shared" si="242"/>
        <v>0</v>
      </c>
    </row>
    <row r="346" spans="14:51" x14ac:dyDescent="0.55000000000000004">
      <c r="N346" s="170">
        <v>28</v>
      </c>
      <c r="O346" s="199">
        <f t="shared" si="208"/>
        <v>19054.607179632505</v>
      </c>
      <c r="P346" s="189" t="str">
        <f t="shared" si="209"/>
        <v>1078.86904761905</v>
      </c>
      <c r="Q346" s="160" t="str">
        <f t="shared" si="210"/>
        <v>1+3741.36337078581i</v>
      </c>
      <c r="R346" s="160">
        <f t="shared" si="218"/>
        <v>3741.3635044269299</v>
      </c>
      <c r="S346" s="160">
        <f t="shared" si="219"/>
        <v>1.5705290445565567</v>
      </c>
      <c r="T346" s="160" t="str">
        <f t="shared" si="211"/>
        <v>1+0.00239447255730292i</v>
      </c>
      <c r="U346" s="160">
        <f t="shared" si="220"/>
        <v>1.0000028667453047</v>
      </c>
      <c r="V346" s="160">
        <f t="shared" si="221"/>
        <v>2.3944679810834622E-3</v>
      </c>
      <c r="W346" s="98" t="str">
        <f t="shared" si="212"/>
        <v>1-1.73177833234376i</v>
      </c>
      <c r="X346" s="160">
        <f t="shared" si="222"/>
        <v>1.9997640341738661</v>
      </c>
      <c r="Y346" s="160">
        <f t="shared" si="223"/>
        <v>-1.0471294243524623</v>
      </c>
      <c r="Z346" s="98" t="str">
        <f t="shared" si="213"/>
        <v>0.342547659990752+0.13755923395288i</v>
      </c>
      <c r="AA346" s="160">
        <f t="shared" si="224"/>
        <v>0.36913607546654525</v>
      </c>
      <c r="AB346" s="160">
        <f t="shared" si="225"/>
        <v>0.38186505051612685</v>
      </c>
      <c r="AC346" s="171" t="str">
        <f t="shared" si="226"/>
        <v>-1.54591168420804-0.224894648584881i</v>
      </c>
      <c r="AD346" s="190">
        <f t="shared" si="227"/>
        <v>3.8746467131427718</v>
      </c>
      <c r="AE346" s="169">
        <f t="shared" si="228"/>
        <v>-171.72284530379267</v>
      </c>
      <c r="AF346" s="98" t="str">
        <f t="shared" si="214"/>
        <v>-9.95024875621891E-06</v>
      </c>
      <c r="AG346" s="98" t="str">
        <f t="shared" si="215"/>
        <v>0.119843351493011i</v>
      </c>
      <c r="AH346" s="98">
        <f t="shared" si="229"/>
        <v>0.11984335149301099</v>
      </c>
      <c r="AI346" s="98">
        <f t="shared" si="230"/>
        <v>1.5707963267948966</v>
      </c>
      <c r="AJ346" s="98" t="str">
        <f t="shared" si="216"/>
        <v>1+1.19604023841305i</v>
      </c>
      <c r="AK346" s="98">
        <f t="shared" si="231"/>
        <v>1.5590100230284425</v>
      </c>
      <c r="AL346" s="98">
        <f t="shared" si="232"/>
        <v>0.8744320323725473</v>
      </c>
      <c r="AM346" s="98" t="str">
        <f t="shared" si="217"/>
        <v>1+1197.23627865146i</v>
      </c>
      <c r="AN346" s="98">
        <f t="shared" si="233"/>
        <v>1197.2366962798944</v>
      </c>
      <c r="AO346" s="98">
        <f t="shared" si="234"/>
        <v>1.5699610699744342</v>
      </c>
      <c r="AP346" s="168" t="str">
        <f t="shared" si="235"/>
        <v>-0.0408571405551473+0.048949811254047i</v>
      </c>
      <c r="AQ346" s="98">
        <f t="shared" si="236"/>
        <v>-23.908977901236806</v>
      </c>
      <c r="AR346" s="169">
        <f t="shared" si="237"/>
        <v>129.85087838338404</v>
      </c>
      <c r="AS346" s="168" t="str">
        <f t="shared" si="238"/>
        <v>0.0741700815678075-0.0664835328900765i</v>
      </c>
      <c r="AT346" s="190">
        <f t="shared" si="239"/>
        <v>-20.03433118809404</v>
      </c>
      <c r="AU346" s="169">
        <f t="shared" si="240"/>
        <v>-41.87196692040866</v>
      </c>
      <c r="AV346" s="225"/>
      <c r="AX346">
        <f t="shared" si="241"/>
        <v>0</v>
      </c>
      <c r="AY346">
        <f t="shared" si="242"/>
        <v>0</v>
      </c>
    </row>
    <row r="347" spans="14:51" x14ac:dyDescent="0.55000000000000004">
      <c r="N347" s="170">
        <v>29</v>
      </c>
      <c r="O347" s="199">
        <f t="shared" si="208"/>
        <v>19498.445997580486</v>
      </c>
      <c r="P347" s="189" t="str">
        <f t="shared" si="209"/>
        <v>1078.86904761905</v>
      </c>
      <c r="Q347" s="160" t="str">
        <f t="shared" si="210"/>
        <v>1+3828.510918901i</v>
      </c>
      <c r="R347" s="160">
        <f t="shared" si="218"/>
        <v>3828.5110495000772</v>
      </c>
      <c r="S347" s="160">
        <f t="shared" si="219"/>
        <v>1.5705351286428104</v>
      </c>
      <c r="T347" s="160" t="str">
        <f t="shared" si="211"/>
        <v>1+0.00245024698809664i</v>
      </c>
      <c r="U347" s="160">
        <f t="shared" si="220"/>
        <v>1.0000030018506458</v>
      </c>
      <c r="V347" s="160">
        <f t="shared" si="221"/>
        <v>2.4502420845899414E-3</v>
      </c>
      <c r="W347" s="98" t="str">
        <f t="shared" si="212"/>
        <v>1-1.77211663167101i</v>
      </c>
      <c r="X347" s="160">
        <f t="shared" si="222"/>
        <v>2.0347966375647975</v>
      </c>
      <c r="Y347" s="160">
        <f t="shared" si="223"/>
        <v>-1.0570428769250011</v>
      </c>
      <c r="Z347" s="98" t="str">
        <f t="shared" si="213"/>
        <v>0.311562885793461+0.14076340012749i</v>
      </c>
      <c r="AA347" s="160">
        <f t="shared" si="224"/>
        <v>0.34188560458053957</v>
      </c>
      <c r="AB347" s="160">
        <f t="shared" si="225"/>
        <v>0.42434790190940919</v>
      </c>
      <c r="AC347" s="171" t="str">
        <f t="shared" si="226"/>
        <v>-1.67007165661864-0.154278597185823i</v>
      </c>
      <c r="AD347" s="190">
        <f t="shared" si="227"/>
        <v>4.4916065770728721</v>
      </c>
      <c r="AE347" s="169">
        <f t="shared" si="228"/>
        <v>-174.72208535484609</v>
      </c>
      <c r="AF347" s="98" t="str">
        <f t="shared" si="214"/>
        <v>-9.95024875621891E-06</v>
      </c>
      <c r="AG347" s="98" t="str">
        <f t="shared" si="215"/>
        <v>0.122634861754237i</v>
      </c>
      <c r="AH347" s="98">
        <f t="shared" si="229"/>
        <v>0.122634861754237</v>
      </c>
      <c r="AI347" s="98">
        <f t="shared" si="230"/>
        <v>1.5707963267948966</v>
      </c>
      <c r="AJ347" s="98" t="str">
        <f t="shared" si="216"/>
        <v>1+1.22389959445387i</v>
      </c>
      <c r="AK347" s="98">
        <f t="shared" si="231"/>
        <v>1.5804841717981069</v>
      </c>
      <c r="AL347" s="98">
        <f t="shared" si="232"/>
        <v>0.88573887296094167</v>
      </c>
      <c r="AM347" s="98" t="str">
        <f t="shared" si="217"/>
        <v>1+1225.12349404832i</v>
      </c>
      <c r="AN347" s="98">
        <f t="shared" si="233"/>
        <v>1225.1239021703739</v>
      </c>
      <c r="AO347" s="98">
        <f t="shared" si="234"/>
        <v>1.5699800827323402</v>
      </c>
      <c r="AP347" s="168" t="str">
        <f t="shared" si="235"/>
        <v>-0.0397544254875857+0.0487365624275267i</v>
      </c>
      <c r="AQ347" s="98">
        <f t="shared" si="236"/>
        <v>-24.027802907880556</v>
      </c>
      <c r="AR347" s="169">
        <f t="shared" si="237"/>
        <v>129.20413348882681</v>
      </c>
      <c r="AS347" s="168" t="str">
        <f t="shared" si="238"/>
        <v>0.0739117477149526-0.0752602945550842i</v>
      </c>
      <c r="AT347" s="190">
        <f t="shared" si="239"/>
        <v>-19.536196330807691</v>
      </c>
      <c r="AU347" s="169">
        <f t="shared" si="240"/>
        <v>-45.517951866019281</v>
      </c>
      <c r="AV347" s="225"/>
      <c r="AX347">
        <f t="shared" si="241"/>
        <v>0</v>
      </c>
      <c r="AY347">
        <f t="shared" si="242"/>
        <v>0</v>
      </c>
    </row>
    <row r="348" spans="14:51" x14ac:dyDescent="0.55000000000000004">
      <c r="N348" s="170">
        <v>30</v>
      </c>
      <c r="O348" s="199">
        <f t="shared" si="208"/>
        <v>19952.623149688792</v>
      </c>
      <c r="P348" s="189" t="str">
        <f t="shared" si="209"/>
        <v>1078.86904761905</v>
      </c>
      <c r="Q348" s="160" t="str">
        <f t="shared" si="210"/>
        <v>1+3917.68839418175i</v>
      </c>
      <c r="R348" s="160">
        <f t="shared" si="218"/>
        <v>3917.6885218080292</v>
      </c>
      <c r="S348" s="160">
        <f t="shared" si="219"/>
        <v>1.5705410742383719</v>
      </c>
      <c r="T348" s="160" t="str">
        <f t="shared" si="211"/>
        <v>1+0.00250732057227632i</v>
      </c>
      <c r="U348" s="160">
        <f t="shared" si="220"/>
        <v>1.0000031433232859</v>
      </c>
      <c r="V348" s="160">
        <f t="shared" si="221"/>
        <v>2.5073153180751209E-3</v>
      </c>
      <c r="W348" s="98" t="str">
        <f t="shared" si="212"/>
        <v>1-1.81339453069313i</v>
      </c>
      <c r="X348" s="160">
        <f t="shared" si="222"/>
        <v>2.0708451714089486</v>
      </c>
      <c r="Y348" s="160">
        <f t="shared" si="223"/>
        <v>-1.0668390373688224</v>
      </c>
      <c r="Z348" s="98" t="str">
        <f t="shared" si="213"/>
        <v>0.279117844176553+0.144042200920072i</v>
      </c>
      <c r="AA348" s="160">
        <f t="shared" si="224"/>
        <v>0.31409381812392445</v>
      </c>
      <c r="AB348" s="160">
        <f t="shared" si="225"/>
        <v>0.47641473525344413</v>
      </c>
      <c r="AC348" s="171" t="str">
        <f t="shared" si="226"/>
        <v>-1.81480086099127-0.0550146044269959i</v>
      </c>
      <c r="AD348" s="190">
        <f t="shared" si="227"/>
        <v>5.1805687057262748</v>
      </c>
      <c r="AE348" s="169">
        <f t="shared" si="228"/>
        <v>-178.26364440906488</v>
      </c>
      <c r="AF348" s="98" t="str">
        <f t="shared" si="214"/>
        <v>-9.95024875621891E-06</v>
      </c>
      <c r="AG348" s="98" t="str">
        <f t="shared" si="215"/>
        <v>0.12549139464243i</v>
      </c>
      <c r="AH348" s="98">
        <f t="shared" si="229"/>
        <v>0.12549139464243</v>
      </c>
      <c r="AI348" s="98">
        <f t="shared" si="230"/>
        <v>1.5707963267948966</v>
      </c>
      <c r="AJ348" s="98" t="str">
        <f t="shared" si="216"/>
        <v>1+1.2524078782599i</v>
      </c>
      <c r="AK348" s="98">
        <f t="shared" si="231"/>
        <v>1.6026620022723022</v>
      </c>
      <c r="AL348" s="98">
        <f t="shared" si="232"/>
        <v>0.89699394169865976</v>
      </c>
      <c r="AM348" s="98" t="str">
        <f t="shared" si="217"/>
        <v>1+1253.66028613816i</v>
      </c>
      <c r="AN348" s="98">
        <f t="shared" si="233"/>
        <v>1253.6606849702248</v>
      </c>
      <c r="AO348" s="98">
        <f t="shared" si="234"/>
        <v>1.5699986627076095</v>
      </c>
      <c r="AP348" s="168" t="str">
        <f t="shared" si="235"/>
        <v>-0.0386617851165011+0.0484996145549676i</v>
      </c>
      <c r="AQ348" s="98">
        <f t="shared" si="236"/>
        <v>-24.148838827526209</v>
      </c>
      <c r="AR348" s="169">
        <f t="shared" si="237"/>
        <v>128.56033010619214</v>
      </c>
      <c r="AS348" s="168" t="str">
        <f t="shared" si="238"/>
        <v>0.072831628026489-0.0858901794374741i</v>
      </c>
      <c r="AT348" s="190">
        <f t="shared" si="239"/>
        <v>-18.968270121799936</v>
      </c>
      <c r="AU348" s="169">
        <f t="shared" si="240"/>
        <v>-49.703314302872734</v>
      </c>
      <c r="AV348" s="225"/>
      <c r="AX348">
        <f t="shared" si="241"/>
        <v>0</v>
      </c>
      <c r="AY348">
        <f t="shared" si="242"/>
        <v>0</v>
      </c>
    </row>
    <row r="349" spans="14:51" x14ac:dyDescent="0.55000000000000004">
      <c r="N349" s="170">
        <v>31</v>
      </c>
      <c r="O349" s="199">
        <f t="shared" si="208"/>
        <v>20417.379446695286</v>
      </c>
      <c r="P349" s="189" t="str">
        <f t="shared" si="209"/>
        <v>1078.86904761905</v>
      </c>
      <c r="Q349" s="160" t="str">
        <f t="shared" si="210"/>
        <v>1+4008.94307970581i</v>
      </c>
      <c r="R349" s="160">
        <f t="shared" si="218"/>
        <v>4008.9432044269602</v>
      </c>
      <c r="S349" s="160">
        <f t="shared" si="219"/>
        <v>1.5705468844956727</v>
      </c>
      <c r="T349" s="160" t="str">
        <f t="shared" si="211"/>
        <v>1+0.00256572357101172i</v>
      </c>
      <c r="U349" s="160">
        <f t="shared" si="220"/>
        <v>1.0000032914633046</v>
      </c>
      <c r="V349" s="160">
        <f t="shared" si="221"/>
        <v>2.5657179410347023E-3</v>
      </c>
      <c r="W349" s="98" t="str">
        <f t="shared" si="212"/>
        <v>1-1.85563391549852i</v>
      </c>
      <c r="X349" s="160">
        <f t="shared" si="222"/>
        <v>2.1079319790610818</v>
      </c>
      <c r="Y349" s="160">
        <f t="shared" si="223"/>
        <v>-1.0765155783377451</v>
      </c>
      <c r="Z349" s="98" t="str">
        <f t="shared" si="213"/>
        <v>0.245143714856797+0.147397374794206i</v>
      </c>
      <c r="AA349" s="160">
        <f t="shared" si="224"/>
        <v>0.286044449395569</v>
      </c>
      <c r="AB349" s="160">
        <f t="shared" si="225"/>
        <v>0.541352241424363</v>
      </c>
      <c r="AC349" s="171" t="str">
        <f t="shared" si="226"/>
        <v>-1.98124360887755+0.0877398669555099i</v>
      </c>
      <c r="AD349" s="190">
        <f t="shared" si="227"/>
        <v>5.9472665419609605</v>
      </c>
      <c r="AE349" s="169">
        <f t="shared" si="228"/>
        <v>177.46429891801898</v>
      </c>
      <c r="AF349" s="98" t="str">
        <f t="shared" si="214"/>
        <v>-9.95024875621891E-06</v>
      </c>
      <c r="AG349" s="98" t="str">
        <f t="shared" si="215"/>
        <v>0.128414464729137i</v>
      </c>
      <c r="AH349" s="98">
        <f t="shared" si="229"/>
        <v>0.12841446472913701</v>
      </c>
      <c r="AI349" s="98">
        <f t="shared" si="230"/>
        <v>1.5707963267948966</v>
      </c>
      <c r="AJ349" s="98" t="str">
        <f t="shared" si="216"/>
        <v>1+1.28158020530056i</v>
      </c>
      <c r="AK349" s="98">
        <f t="shared" si="231"/>
        <v>1.6255607717394711</v>
      </c>
      <c r="AL349" s="98">
        <f t="shared" si="232"/>
        <v>0.90819180081694328</v>
      </c>
      <c r="AM349" s="98" t="str">
        <f t="shared" si="217"/>
        <v>1+1282.86178550586i</v>
      </c>
      <c r="AN349" s="98">
        <f t="shared" si="233"/>
        <v>1282.8621752594015</v>
      </c>
      <c r="AO349" s="98">
        <f t="shared" si="234"/>
        <v>1.570016819751539</v>
      </c>
      <c r="AP349" s="168" t="str">
        <f t="shared" si="235"/>
        <v>-0.0375802238541916+0.0482395564224719i</v>
      </c>
      <c r="AQ349" s="98">
        <f t="shared" si="236"/>
        <v>-24.272064351306057</v>
      </c>
      <c r="AR349" s="169">
        <f t="shared" si="237"/>
        <v>127.91978036111811</v>
      </c>
      <c r="AS349" s="168" t="str">
        <f t="shared" si="238"/>
        <v>0.0702230460688043-0.0988715966982355i</v>
      </c>
      <c r="AT349" s="190">
        <f t="shared" si="239"/>
        <v>-18.324797809345093</v>
      </c>
      <c r="AU349" s="169">
        <f t="shared" si="240"/>
        <v>-54.615920720862903</v>
      </c>
      <c r="AV349" s="225"/>
      <c r="AX349">
        <f t="shared" si="241"/>
        <v>0</v>
      </c>
      <c r="AY349">
        <f t="shared" si="242"/>
        <v>0</v>
      </c>
    </row>
    <row r="350" spans="14:51" x14ac:dyDescent="0.55000000000000004">
      <c r="N350" s="170">
        <v>32</v>
      </c>
      <c r="O350" s="199">
        <f t="shared" si="208"/>
        <v>20892.961308540423</v>
      </c>
      <c r="P350" s="189" t="str">
        <f t="shared" si="209"/>
        <v>1078.86904761905</v>
      </c>
      <c r="Q350" s="160" t="str">
        <f t="shared" si="210"/>
        <v>1+4102.32335991541i</v>
      </c>
      <c r="R350" s="160">
        <f t="shared" si="218"/>
        <v>4102.3234817975608</v>
      </c>
      <c r="S350" s="160">
        <f t="shared" si="219"/>
        <v>1.5705525624953867</v>
      </c>
      <c r="T350" s="160" t="str">
        <f t="shared" si="211"/>
        <v>1+0.00262548695034586i</v>
      </c>
      <c r="U350" s="160">
        <f t="shared" si="220"/>
        <v>1.0000034465849237</v>
      </c>
      <c r="V350" s="160">
        <f t="shared" si="221"/>
        <v>2.6254809177179207E-3</v>
      </c>
      <c r="W350" s="98" t="str">
        <f t="shared" si="212"/>
        <v>1-1.89885718196814i</v>
      </c>
      <c r="X350" s="160">
        <f t="shared" si="222"/>
        <v>2.1460798208622123</v>
      </c>
      <c r="Y350" s="160">
        <f t="shared" si="223"/>
        <v>-1.0860703811547638</v>
      </c>
      <c r="Z350" s="98" t="str">
        <f t="shared" si="213"/>
        <v>0.209568434150891+0.150830700707492i</v>
      </c>
      <c r="AA350" s="160">
        <f t="shared" si="224"/>
        <v>0.25820307679880455</v>
      </c>
      <c r="AB350" s="160">
        <f t="shared" si="225"/>
        <v>0.62383896108345316</v>
      </c>
      <c r="AC350" s="171" t="str">
        <f t="shared" si="226"/>
        <v>-2.16561617638387+0.296890989660967i</v>
      </c>
      <c r="AD350" s="190">
        <f t="shared" si="227"/>
        <v>6.7924957059652282</v>
      </c>
      <c r="AE350" s="169">
        <f t="shared" si="228"/>
        <v>172.19380698109481</v>
      </c>
      <c r="AF350" s="98" t="str">
        <f t="shared" si="214"/>
        <v>-9.95024875621891E-06</v>
      </c>
      <c r="AG350" s="98" t="str">
        <f t="shared" si="215"/>
        <v>0.13140562186481i</v>
      </c>
      <c r="AH350" s="98">
        <f t="shared" si="229"/>
        <v>0.13140562186481</v>
      </c>
      <c r="AI350" s="98">
        <f t="shared" si="230"/>
        <v>1.5707963267948966</v>
      </c>
      <c r="AJ350" s="98" t="str">
        <f t="shared" si="216"/>
        <v>1+1.3114320431298i</v>
      </c>
      <c r="AK350" s="98">
        <f t="shared" si="231"/>
        <v>1.6491979880377012</v>
      </c>
      <c r="AL350" s="98">
        <f t="shared" si="232"/>
        <v>0.91932715517967523</v>
      </c>
      <c r="AM350" s="98" t="str">
        <f t="shared" si="217"/>
        <v>1+1312.74347517293i</v>
      </c>
      <c r="AN350" s="98">
        <f t="shared" si="233"/>
        <v>1312.7438560546002</v>
      </c>
      <c r="AO350" s="98">
        <f t="shared" si="234"/>
        <v>1.5700345634911861</v>
      </c>
      <c r="AP350" s="168" t="str">
        <f t="shared" si="235"/>
        <v>-0.0365107026186651+0.047957026967978i</v>
      </c>
      <c r="AQ350" s="98">
        <f t="shared" si="236"/>
        <v>-24.397456190697348</v>
      </c>
      <c r="AR350" s="169">
        <f t="shared" si="237"/>
        <v>127.28278819414551</v>
      </c>
      <c r="AS350" s="168" t="str">
        <f t="shared" si="238"/>
        <v>0.0648301590044014-0.114696212006803i</v>
      </c>
      <c r="AT350" s="190">
        <f t="shared" si="239"/>
        <v>-17.604960484732146</v>
      </c>
      <c r="AU350" s="169">
        <f t="shared" si="240"/>
        <v>-60.523404824759595</v>
      </c>
      <c r="AV350" s="225"/>
      <c r="AX350">
        <f t="shared" si="241"/>
        <v>0</v>
      </c>
      <c r="AY350">
        <f t="shared" si="242"/>
        <v>0</v>
      </c>
    </row>
    <row r="351" spans="14:51" x14ac:dyDescent="0.55000000000000004">
      <c r="N351" s="170">
        <v>33</v>
      </c>
      <c r="O351" s="199">
        <f t="shared" si="208"/>
        <v>21379.620895022348</v>
      </c>
      <c r="P351" s="189" t="str">
        <f t="shared" si="209"/>
        <v>1078.86904761905</v>
      </c>
      <c r="Q351" s="160" t="str">
        <f t="shared" si="210"/>
        <v>1+4197.87874627106i</v>
      </c>
      <c r="R351" s="160">
        <f t="shared" si="218"/>
        <v>4197.8788653788342</v>
      </c>
      <c r="S351" s="160">
        <f t="shared" si="219"/>
        <v>1.5705581112480629</v>
      </c>
      <c r="T351" s="160" t="str">
        <f t="shared" si="211"/>
        <v>1+0.00268664239761348i</v>
      </c>
      <c r="U351" s="160">
        <f t="shared" si="220"/>
        <v>1.0000036090171738</v>
      </c>
      <c r="V351" s="160">
        <f t="shared" si="221"/>
        <v>2.6866359335374415E-3</v>
      </c>
      <c r="W351" s="98" t="str">
        <f t="shared" si="212"/>
        <v>1-1.94308724764997i</v>
      </c>
      <c r="X351" s="160">
        <f t="shared" si="222"/>
        <v>2.1853118889485632</v>
      </c>
      <c r="Y351" s="160">
        <f t="shared" si="223"/>
        <v>-1.0955015326914603</v>
      </c>
      <c r="Z351" s="98" t="str">
        <f t="shared" si="213"/>
        <v>0.172316542118826+0.154343999054772i</v>
      </c>
      <c r="AA351" s="160">
        <f t="shared" si="224"/>
        <v>0.23133322444475762</v>
      </c>
      <c r="AB351" s="160">
        <f t="shared" si="225"/>
        <v>0.73043455801336532</v>
      </c>
      <c r="AC351" s="171" t="str">
        <f t="shared" si="226"/>
        <v>-2.35100517263689+0.605860107475633i</v>
      </c>
      <c r="AD351" s="190">
        <f t="shared" si="227"/>
        <v>7.704316314024716</v>
      </c>
      <c r="AE351" s="169">
        <f t="shared" si="228"/>
        <v>165.54914998752457</v>
      </c>
      <c r="AF351" s="98" t="str">
        <f t="shared" si="214"/>
        <v>-9.95024875621891E-06</v>
      </c>
      <c r="AG351" s="98" t="str">
        <f t="shared" si="215"/>
        <v>0.134466452000555i</v>
      </c>
      <c r="AH351" s="98">
        <f t="shared" si="229"/>
        <v>0.13446645200055499</v>
      </c>
      <c r="AI351" s="98">
        <f t="shared" si="230"/>
        <v>1.5707963267948966</v>
      </c>
      <c r="AJ351" s="98" t="str">
        <f t="shared" si="216"/>
        <v>1+1.34197921958715i</v>
      </c>
      <c r="AK351" s="98">
        <f t="shared" si="231"/>
        <v>1.6735914154308202</v>
      </c>
      <c r="AL351" s="98">
        <f t="shared" si="232"/>
        <v>0.93039486347736311</v>
      </c>
      <c r="AM351" s="98" t="str">
        <f t="shared" si="217"/>
        <v>1+1343.32119880674i</v>
      </c>
      <c r="AN351" s="98">
        <f t="shared" si="233"/>
        <v>1343.3215710184875</v>
      </c>
      <c r="AO351" s="98">
        <f t="shared" si="234"/>
        <v>1.5700519033344718</v>
      </c>
      <c r="AP351" s="168" t="str">
        <f t="shared" si="235"/>
        <v>-0.0354541358342858+0.0476527115398246i</v>
      </c>
      <c r="AQ351" s="98">
        <f t="shared" si="236"/>
        <v>-24.524989168202019</v>
      </c>
      <c r="AR351" s="169">
        <f t="shared" si="237"/>
        <v>126.64964871964376</v>
      </c>
      <c r="AS351" s="168" t="str">
        <f t="shared" si="238"/>
        <v>0.0544819798027534-0.133512017867317i</v>
      </c>
      <c r="AT351" s="190">
        <f t="shared" si="239"/>
        <v>-16.820672854177324</v>
      </c>
      <c r="AU351" s="169">
        <f t="shared" si="240"/>
        <v>-67.801201292831607</v>
      </c>
      <c r="AV351" s="225"/>
      <c r="AX351">
        <f t="shared" si="241"/>
        <v>0</v>
      </c>
      <c r="AY351">
        <f t="shared" si="242"/>
        <v>0</v>
      </c>
    </row>
    <row r="352" spans="14:51" x14ac:dyDescent="0.55000000000000004">
      <c r="N352" s="170">
        <v>34</v>
      </c>
      <c r="O352" s="199">
        <f t="shared" si="208"/>
        <v>21877.61623949555</v>
      </c>
      <c r="P352" s="189" t="str">
        <f t="shared" si="209"/>
        <v>1078.86904761905</v>
      </c>
      <c r="Q352" s="160" t="str">
        <f t="shared" si="210"/>
        <v>1+4295.6599035035i</v>
      </c>
      <c r="R352" s="160">
        <f t="shared" si="218"/>
        <v>4295.6600199000495</v>
      </c>
      <c r="S352" s="160">
        <f t="shared" si="219"/>
        <v>1.5705635336957222</v>
      </c>
      <c r="T352" s="160" t="str">
        <f t="shared" si="211"/>
        <v>1+0.00274922233824224i</v>
      </c>
      <c r="U352" s="160">
        <f t="shared" si="220"/>
        <v>1.0000037791045917</v>
      </c>
      <c r="V352" s="160">
        <f t="shared" si="221"/>
        <v>2.7492154118613885E-3</v>
      </c>
      <c r="W352" s="98" t="str">
        <f t="shared" si="212"/>
        <v>1-1.98834756391032i</v>
      </c>
      <c r="X352" s="160">
        <f t="shared" si="222"/>
        <v>2.2256518224799011</v>
      </c>
      <c r="Y352" s="160">
        <f t="shared" si="223"/>
        <v>-1.104807321647254</v>
      </c>
      <c r="Z352" s="98" t="str">
        <f t="shared" si="213"/>
        <v>0.13330902250314+0.157939132633335i</v>
      </c>
      <c r="AA352" s="160">
        <f t="shared" si="224"/>
        <v>0.20667865177059982</v>
      </c>
      <c r="AB352" s="160">
        <f t="shared" si="225"/>
        <v>0.86976486252580221</v>
      </c>
      <c r="AC352" s="171" t="str">
        <f t="shared" si="226"/>
        <v>-2.49025914436972+1.05519572850681i</v>
      </c>
      <c r="AD352" s="190">
        <f t="shared" si="227"/>
        <v>8.6420415613013528</v>
      </c>
      <c r="AE352" s="169">
        <f t="shared" si="228"/>
        <v>157.03620400510971</v>
      </c>
      <c r="AF352" s="98" t="str">
        <f t="shared" si="214"/>
        <v>-9.95024875621891E-06</v>
      </c>
      <c r="AG352" s="98" t="str">
        <f t="shared" si="215"/>
        <v>0.137598578029024i</v>
      </c>
      <c r="AH352" s="98">
        <f t="shared" si="229"/>
        <v>0.137598578029024</v>
      </c>
      <c r="AI352" s="98">
        <f t="shared" si="230"/>
        <v>1.5707963267948966</v>
      </c>
      <c r="AJ352" s="98" t="str">
        <f t="shared" si="216"/>
        <v>1+1.37323793118993i</v>
      </c>
      <c r="AK352" s="98">
        <f t="shared" si="231"/>
        <v>1.6987590811115032</v>
      </c>
      <c r="AL352" s="98">
        <f t="shared" si="232"/>
        <v>0.94138994853109259</v>
      </c>
      <c r="AM352" s="98" t="str">
        <f t="shared" si="217"/>
        <v>1+1374.61116912112i</v>
      </c>
      <c r="AN352" s="98">
        <f t="shared" si="233"/>
        <v>1374.6115328602957</v>
      </c>
      <c r="AO352" s="98">
        <f t="shared" si="234"/>
        <v>1.5700688484751686</v>
      </c>
      <c r="AP352" s="168" t="str">
        <f t="shared" si="235"/>
        <v>-0.0344113887998531+0.0473273379665111i</v>
      </c>
      <c r="AQ352" s="98">
        <f t="shared" si="236"/>
        <v>-24.654636313699626</v>
      </c>
      <c r="AR352" s="169">
        <f t="shared" si="237"/>
        <v>126.02064763572284</v>
      </c>
      <c r="AS352" s="168" t="str">
        <f t="shared" si="238"/>
        <v>0.0357536707654353-0.154168086623373i</v>
      </c>
      <c r="AT352" s="190">
        <f t="shared" si="239"/>
        <v>-16.012594752398254</v>
      </c>
      <c r="AU352" s="169">
        <f t="shared" si="240"/>
        <v>-76.943148359167495</v>
      </c>
      <c r="AV352" s="225"/>
      <c r="AX352">
        <f t="shared" si="241"/>
        <v>0</v>
      </c>
      <c r="AY352">
        <f t="shared" si="242"/>
        <v>0</v>
      </c>
    </row>
    <row r="353" spans="14:51" x14ac:dyDescent="0.55000000000000004">
      <c r="N353" s="170">
        <v>35</v>
      </c>
      <c r="O353" s="199">
        <f t="shared" si="208"/>
        <v>22387.211385683382</v>
      </c>
      <c r="P353" s="189" t="str">
        <f t="shared" si="209"/>
        <v>1078.86904761905</v>
      </c>
      <c r="Q353" s="160" t="str">
        <f t="shared" si="210"/>
        <v>1+4395.71867647653i</v>
      </c>
      <c r="R353" s="160">
        <f t="shared" si="218"/>
        <v>4395.7187902235719</v>
      </c>
      <c r="S353" s="160">
        <f t="shared" si="219"/>
        <v>1.5705688327134169</v>
      </c>
      <c r="T353" s="160" t="str">
        <f t="shared" si="211"/>
        <v>1+0.00281325995294498i</v>
      </c>
      <c r="U353" s="160">
        <f t="shared" si="220"/>
        <v>1.0000039572079515</v>
      </c>
      <c r="V353" s="160">
        <f t="shared" si="221"/>
        <v>2.813252531195768E-3</v>
      </c>
      <c r="W353" s="98" t="str">
        <f t="shared" si="212"/>
        <v>1-2.03466212836793i</v>
      </c>
      <c r="X353" s="160">
        <f t="shared" si="222"/>
        <v>2.2671237232702399</v>
      </c>
      <c r="Y353" s="160">
        <f t="shared" si="223"/>
        <v>-1.1139862342835587</v>
      </c>
      <c r="Z353" s="98" t="str">
        <f t="shared" si="213"/>
        <v>0.092463135124904+0.161618007630592i</v>
      </c>
      <c r="AA353" s="160">
        <f t="shared" si="224"/>
        <v>0.1861983129558599</v>
      </c>
      <c r="AB353" s="160">
        <f t="shared" si="225"/>
        <v>1.0511373386720904</v>
      </c>
      <c r="AC353" s="171" t="str">
        <f t="shared" si="226"/>
        <v>-2.4810495417958+1.66582751513807i</v>
      </c>
      <c r="AD353" s="190">
        <f t="shared" si="227"/>
        <v>9.5088006103043874</v>
      </c>
      <c r="AE353" s="169">
        <f t="shared" si="228"/>
        <v>146.12177909283125</v>
      </c>
      <c r="AF353" s="98" t="str">
        <f t="shared" si="214"/>
        <v>-9.95024875621891E-06</v>
      </c>
      <c r="AG353" s="98" t="str">
        <f t="shared" si="215"/>
        <v>0.140803660644897i</v>
      </c>
      <c r="AH353" s="98">
        <f t="shared" si="229"/>
        <v>0.14080366064489699</v>
      </c>
      <c r="AI353" s="98">
        <f t="shared" si="230"/>
        <v>1.5707963267948966</v>
      </c>
      <c r="AJ353" s="98" t="str">
        <f t="shared" si="216"/>
        <v>1+1.40522475172077i</v>
      </c>
      <c r="AK353" s="98">
        <f t="shared" si="231"/>
        <v>1.7247192823322584</v>
      </c>
      <c r="AL353" s="98">
        <f t="shared" si="232"/>
        <v>0.95230760666718961</v>
      </c>
      <c r="AM353" s="98" t="str">
        <f t="shared" si="217"/>
        <v>1+1406.62997647249i</v>
      </c>
      <c r="AN353" s="98">
        <f t="shared" si="233"/>
        <v>1406.6303319319536</v>
      </c>
      <c r="AO353" s="98">
        <f t="shared" si="234"/>
        <v>1.5700854078977755</v>
      </c>
      <c r="AP353" s="168" t="str">
        <f t="shared" si="235"/>
        <v>-0.0333832754348568+0.0469816724776655i</v>
      </c>
      <c r="AQ353" s="98">
        <f t="shared" si="236"/>
        <v>-24.786368965721501</v>
      </c>
      <c r="AR353" s="169">
        <f t="shared" si="237"/>
        <v>125.39606068738433</v>
      </c>
      <c r="AS353" s="168" t="str">
        <f t="shared" si="238"/>
        <v>0.00456219750079428-0.17217463573833i</v>
      </c>
      <c r="AT353" s="190">
        <f t="shared" si="239"/>
        <v>-15.277568355417092</v>
      </c>
      <c r="AU353" s="169">
        <f t="shared" si="240"/>
        <v>-88.482160219784419</v>
      </c>
      <c r="AV353" s="225"/>
      <c r="AX353">
        <f t="shared" si="241"/>
        <v>0</v>
      </c>
      <c r="AY353">
        <f t="shared" si="242"/>
        <v>0</v>
      </c>
    </row>
    <row r="354" spans="14:51" x14ac:dyDescent="0.55000000000000004">
      <c r="N354" s="170">
        <v>36</v>
      </c>
      <c r="O354" s="199">
        <f t="shared" si="208"/>
        <v>22908.676527677751</v>
      </c>
      <c r="P354" s="189" t="str">
        <f t="shared" si="209"/>
        <v>1078.86904761905</v>
      </c>
      <c r="Q354" s="160" t="str">
        <f t="shared" si="210"/>
        <v>1+4498.10811767609i</v>
      </c>
      <c r="R354" s="160">
        <f t="shared" si="218"/>
        <v>4498.108228833933</v>
      </c>
      <c r="S354" s="160">
        <f t="shared" si="219"/>
        <v>1.5705740111107547</v>
      </c>
      <c r="T354" s="160" t="str">
        <f t="shared" si="211"/>
        <v>1+0.0028787891953127i</v>
      </c>
      <c r="U354" s="160">
        <f t="shared" si="220"/>
        <v>1.0000041437050304</v>
      </c>
      <c r="V354" s="160">
        <f t="shared" si="221"/>
        <v>2.8787812427669207E-3</v>
      </c>
      <c r="W354" s="98" t="str">
        <f t="shared" si="212"/>
        <v>1-2.08205549761796i</v>
      </c>
      <c r="X354" s="160">
        <f t="shared" si="222"/>
        <v>2.3097521718057052</v>
      </c>
      <c r="Y354" s="160">
        <f t="shared" si="223"/>
        <v>-1.1230369496683972</v>
      </c>
      <c r="Z354" s="98" t="str">
        <f t="shared" si="213"/>
        <v>0.049692240380663+0.165382574634763i</v>
      </c>
      <c r="AA354" s="160">
        <f t="shared" si="224"/>
        <v>0.17268675324665914</v>
      </c>
      <c r="AB354" s="160">
        <f t="shared" si="225"/>
        <v>1.2789098474790341</v>
      </c>
      <c r="AC354" s="171" t="str">
        <f t="shared" si="226"/>
        <v>-2.16967811329384+2.36312496501216i</v>
      </c>
      <c r="AD354" s="190">
        <f t="shared" si="227"/>
        <v>10.124939844691259</v>
      </c>
      <c r="AE354" s="169">
        <f t="shared" si="228"/>
        <v>132.55626567425949</v>
      </c>
      <c r="AF354" s="98" t="str">
        <f t="shared" si="214"/>
        <v>-9.95024875621891E-06</v>
      </c>
      <c r="AG354" s="98" t="str">
        <f t="shared" si="215"/>
        <v>0.1440833992254i</v>
      </c>
      <c r="AH354" s="98">
        <f t="shared" si="229"/>
        <v>0.14408339922540001</v>
      </c>
      <c r="AI354" s="98">
        <f t="shared" si="230"/>
        <v>1.5707963267948966</v>
      </c>
      <c r="AJ354" s="98" t="str">
        <f t="shared" si="216"/>
        <v>1+1.43795664101533i</v>
      </c>
      <c r="AK354" s="98">
        <f t="shared" si="231"/>
        <v>1.7514905941626095</v>
      </c>
      <c r="AL354" s="98">
        <f t="shared" si="232"/>
        <v>0.96314321613287202</v>
      </c>
      <c r="AM354" s="98" t="str">
        <f t="shared" si="217"/>
        <v>1+1439.39459765635i</v>
      </c>
      <c r="AN354" s="98">
        <f t="shared" si="233"/>
        <v>1439.3949450245702</v>
      </c>
      <c r="AO354" s="98">
        <f t="shared" si="234"/>
        <v>1.5701015903822813</v>
      </c>
      <c r="AP354" s="168" t="str">
        <f t="shared" si="235"/>
        <v>-0.032370556409903+0.046616515516405i</v>
      </c>
      <c r="AQ354" s="98">
        <f t="shared" si="236"/>
        <v>-24.92015687687751</v>
      </c>
      <c r="AR354" s="169">
        <f t="shared" si="237"/>
        <v>124.77615318461304</v>
      </c>
      <c r="AS354" s="168" t="str">
        <f t="shared" si="238"/>
        <v>-0.0399269638409832-0.177638503417543i</v>
      </c>
      <c r="AT354" s="190">
        <f t="shared" si="239"/>
        <v>-14.795217032186244</v>
      </c>
      <c r="AU354" s="169">
        <f t="shared" si="240"/>
        <v>-102.66758114112744</v>
      </c>
      <c r="AV354" s="225"/>
      <c r="AX354">
        <f t="shared" si="241"/>
        <v>0</v>
      </c>
      <c r="AY354">
        <f t="shared" si="242"/>
        <v>0</v>
      </c>
    </row>
    <row r="355" spans="14:51" x14ac:dyDescent="0.55000000000000004">
      <c r="N355" s="170">
        <v>37</v>
      </c>
      <c r="O355" s="199">
        <f t="shared" si="208"/>
        <v>23442.288153199243</v>
      </c>
      <c r="P355" s="189" t="str">
        <f t="shared" si="209"/>
        <v>1078.86904761905</v>
      </c>
      <c r="Q355" s="160" t="str">
        <f t="shared" si="210"/>
        <v>1+4602.88251533913i</v>
      </c>
      <c r="R355" s="160">
        <f t="shared" si="218"/>
        <v>4602.8826239667114</v>
      </c>
      <c r="S355" s="160">
        <f t="shared" si="219"/>
        <v>1.5705790716333898</v>
      </c>
      <c r="T355" s="160" t="str">
        <f t="shared" si="211"/>
        <v>1+0.00294584480981704i</v>
      </c>
      <c r="U355" s="160">
        <f t="shared" si="220"/>
        <v>1.0000043389914084</v>
      </c>
      <c r="V355" s="160">
        <f t="shared" si="221"/>
        <v>2.9458362885127079E-3</v>
      </c>
      <c r="W355" s="98" t="str">
        <f t="shared" si="212"/>
        <v>1-2.13055280025208i</v>
      </c>
      <c r="X355" s="160">
        <f t="shared" si="222"/>
        <v>2.3535622436345247</v>
      </c>
      <c r="Y355" s="160">
        <f t="shared" si="223"/>
        <v>-1.1319583344864859</v>
      </c>
      <c r="Z355" s="98" t="str">
        <f t="shared" si="213"/>
        <v>0.00490561546830004+0.169234829669102i</v>
      </c>
      <c r="AA355" s="160">
        <f t="shared" si="224"/>
        <v>0.16930591435697923</v>
      </c>
      <c r="AB355" s="160">
        <f t="shared" si="225"/>
        <v>1.5418174092030736</v>
      </c>
      <c r="AC355" s="171" t="str">
        <f t="shared" si="226"/>
        <v>-1.47849649680757+2.90357087803041i</v>
      </c>
      <c r="AD355" s="190">
        <f t="shared" si="227"/>
        <v>10.259885529011548</v>
      </c>
      <c r="AE355" s="169">
        <f t="shared" si="228"/>
        <v>116.98516631243523</v>
      </c>
      <c r="AF355" s="98" t="str">
        <f t="shared" si="214"/>
        <v>-9.95024875621891E-06</v>
      </c>
      <c r="AG355" s="98" t="str">
        <f t="shared" si="215"/>
        <v>0.147439532731342i</v>
      </c>
      <c r="AH355" s="98">
        <f t="shared" si="229"/>
        <v>0.147439532731342</v>
      </c>
      <c r="AI355" s="98">
        <f t="shared" si="230"/>
        <v>1.5707963267948966</v>
      </c>
      <c r="AJ355" s="98" t="str">
        <f t="shared" si="216"/>
        <v>1+1.47145095395457i</v>
      </c>
      <c r="AK355" s="98">
        <f t="shared" si="231"/>
        <v>1.7790918778674174</v>
      </c>
      <c r="AL355" s="98">
        <f t="shared" si="232"/>
        <v>0.9738923445322164</v>
      </c>
      <c r="AM355" s="98" t="str">
        <f t="shared" si="217"/>
        <v>1+1472.92240490852i</v>
      </c>
      <c r="AN355" s="98">
        <f t="shared" si="233"/>
        <v>1472.9227443696761</v>
      </c>
      <c r="AO355" s="98">
        <f t="shared" si="234"/>
        <v>1.5701174045088193</v>
      </c>
      <c r="AP355" s="168" t="str">
        <f t="shared" si="235"/>
        <v>-0.0313739376627089+0.04623269748283i</v>
      </c>
      <c r="AQ355" s="98">
        <f t="shared" si="236"/>
        <v>-25.05596832266043</v>
      </c>
      <c r="AR355" s="169">
        <f t="shared" si="237"/>
        <v>124.16117957659372</v>
      </c>
      <c r="AS355" s="168" t="str">
        <f t="shared" si="238"/>
        <v>-0.0878536570985609-0.159451332992911i</v>
      </c>
      <c r="AT355" s="190">
        <f t="shared" si="239"/>
        <v>-14.796082793648893</v>
      </c>
      <c r="AU355" s="169">
        <f t="shared" si="240"/>
        <v>-118.85365411097111</v>
      </c>
      <c r="AV355" s="225"/>
      <c r="AX355">
        <f t="shared" si="241"/>
        <v>0</v>
      </c>
      <c r="AY355">
        <f t="shared" si="242"/>
        <v>0</v>
      </c>
    </row>
    <row r="356" spans="14:51" x14ac:dyDescent="0.55000000000000004">
      <c r="N356" s="170">
        <v>38</v>
      </c>
      <c r="O356" s="199">
        <f t="shared" si="208"/>
        <v>23988.329190194923</v>
      </c>
      <c r="P356" s="189" t="str">
        <f t="shared" si="209"/>
        <v>1078.86904761905</v>
      </c>
      <c r="Q356" s="160" t="str">
        <f t="shared" si="210"/>
        <v>1+4710.09742223812i</v>
      </c>
      <c r="R356" s="160">
        <f t="shared" si="218"/>
        <v>4710.0975283930347</v>
      </c>
      <c r="S356" s="160">
        <f t="shared" si="219"/>
        <v>1.5705840169644771</v>
      </c>
      <c r="T356" s="160" t="str">
        <f t="shared" si="211"/>
        <v>1+0.0030144623502324i</v>
      </c>
      <c r="U356" s="160">
        <f t="shared" si="220"/>
        <v>1.000004543481309</v>
      </c>
      <c r="V356" s="160">
        <f t="shared" si="221"/>
        <v>3.0144532194925433E-3</v>
      </c>
      <c r="W356" s="98" t="str">
        <f t="shared" si="212"/>
        <v>1-2.18017975018208i</v>
      </c>
      <c r="X356" s="160">
        <f t="shared" si="222"/>
        <v>2.3985795261162379</v>
      </c>
      <c r="Y356" s="160">
        <f t="shared" si="223"/>
        <v>-1.1407494374692011</v>
      </c>
      <c r="Z356" s="98" t="str">
        <f t="shared" si="213"/>
        <v>-0.0419917380482799+0.173176815250219i</v>
      </c>
      <c r="AA356" s="160">
        <f t="shared" si="224"/>
        <v>0.17819516100198637</v>
      </c>
      <c r="AB356" s="160">
        <f t="shared" si="225"/>
        <v>1.8086839557139551</v>
      </c>
      <c r="AC356" s="171" t="str">
        <f t="shared" si="226"/>
        <v>-0.598584880559578+3.02451670538414i</v>
      </c>
      <c r="AD356" s="190">
        <f t="shared" si="227"/>
        <v>9.7799804571772668</v>
      </c>
      <c r="AE356" s="169">
        <f t="shared" si="228"/>
        <v>101.19479451990443</v>
      </c>
      <c r="AF356" s="98" t="str">
        <f t="shared" si="214"/>
        <v>-9.95024875621891E-06</v>
      </c>
      <c r="AG356" s="98" t="str">
        <f t="shared" si="215"/>
        <v>0.150873840629132i</v>
      </c>
      <c r="AH356" s="98">
        <f t="shared" si="229"/>
        <v>0.15087384062913201</v>
      </c>
      <c r="AI356" s="98">
        <f t="shared" si="230"/>
        <v>1.5707963267948966</v>
      </c>
      <c r="AJ356" s="98" t="str">
        <f t="shared" si="216"/>
        <v>1+1.50572544966653i</v>
      </c>
      <c r="AK356" s="98">
        <f t="shared" si="231"/>
        <v>1.8075422898990423</v>
      </c>
      <c r="AL356" s="98">
        <f t="shared" si="232"/>
        <v>0.98455075527105562</v>
      </c>
      <c r="AM356" s="98" t="str">
        <f t="shared" si="217"/>
        <v>1+1507.2311751162i</v>
      </c>
      <c r="AN356" s="98">
        <f t="shared" si="233"/>
        <v>1507.2315068502783</v>
      </c>
      <c r="AO356" s="98">
        <f t="shared" si="234"/>
        <v>1.5701328586622176</v>
      </c>
      <c r="AP356" s="168" t="str">
        <f t="shared" si="235"/>
        <v>-0.0303940692966597+0.0458310744474265i</v>
      </c>
      <c r="AQ356" s="98">
        <f t="shared" si="236"/>
        <v>-25.193770212851984</v>
      </c>
      <c r="AR356" s="169">
        <f t="shared" si="237"/>
        <v>123.55138308270699</v>
      </c>
      <c r="AS356" s="168" t="str">
        <f t="shared" si="238"/>
        <v>-0.120423419952285-0.11936115855638i</v>
      </c>
      <c r="AT356" s="190">
        <f t="shared" si="239"/>
        <v>-15.413789755674731</v>
      </c>
      <c r="AU356" s="169">
        <f t="shared" si="240"/>
        <v>-135.25382239738863</v>
      </c>
      <c r="AV356" s="225"/>
      <c r="AX356">
        <f t="shared" si="241"/>
        <v>0</v>
      </c>
      <c r="AY356">
        <f t="shared" si="242"/>
        <v>0</v>
      </c>
    </row>
    <row r="357" spans="14:51" x14ac:dyDescent="0.55000000000000004">
      <c r="N357" s="170">
        <v>39</v>
      </c>
      <c r="O357" s="199">
        <f t="shared" si="208"/>
        <v>24547.089156850321</v>
      </c>
      <c r="P357" s="189" t="str">
        <f t="shared" si="209"/>
        <v>1078.86904761905</v>
      </c>
      <c r="Q357" s="160" t="str">
        <f t="shared" si="210"/>
        <v>1+4819.80968513591i</v>
      </c>
      <c r="R357" s="160">
        <f t="shared" si="218"/>
        <v>4819.8097888744442</v>
      </c>
      <c r="S357" s="160">
        <f t="shared" si="219"/>
        <v>1.5705888497260956</v>
      </c>
      <c r="T357" s="160" t="str">
        <f t="shared" si="211"/>
        <v>1+0.00308467819848698i</v>
      </c>
      <c r="U357" s="160">
        <f t="shared" si="220"/>
        <v>1.0000047576084767</v>
      </c>
      <c r="V357" s="160">
        <f t="shared" si="221"/>
        <v>3.0846684147254663E-3</v>
      </c>
      <c r="W357" s="98" t="str">
        <f t="shared" si="212"/>
        <v>1-2.23096266027372i</v>
      </c>
      <c r="X357" s="160">
        <f t="shared" si="222"/>
        <v>2.4448301355177202</v>
      </c>
      <c r="Y357" s="160">
        <f t="shared" si="223"/>
        <v>-1.1494094834973891</v>
      </c>
      <c r="Z357" s="98" t="str">
        <f t="shared" si="213"/>
        <v>-0.0910992957435199+0.177210621471047i</v>
      </c>
      <c r="AA357" s="160">
        <f t="shared" si="224"/>
        <v>0.19925532877973429</v>
      </c>
      <c r="AB357" s="160">
        <f t="shared" si="225"/>
        <v>2.0456392931145535</v>
      </c>
      <c r="AC357" s="171" t="str">
        <f t="shared" si="226"/>
        <v>0.137717601453747+2.74304531191178i</v>
      </c>
      <c r="AD357" s="190">
        <f t="shared" si="227"/>
        <v>8.7755929140304794</v>
      </c>
      <c r="AE357" s="169">
        <f t="shared" si="228"/>
        <v>87.12581580344785</v>
      </c>
      <c r="AF357" s="98" t="str">
        <f t="shared" si="214"/>
        <v>-9.95024875621891E-06</v>
      </c>
      <c r="AG357" s="98" t="str">
        <f t="shared" si="215"/>
        <v>0.154388143834274i</v>
      </c>
      <c r="AH357" s="98">
        <f t="shared" si="229"/>
        <v>0.15438814383427399</v>
      </c>
      <c r="AI357" s="98">
        <f t="shared" si="230"/>
        <v>1.5707963267948966</v>
      </c>
      <c r="AJ357" s="98" t="str">
        <f t="shared" si="216"/>
        <v>1+1.54079830094255i</v>
      </c>
      <c r="AK357" s="98">
        <f t="shared" si="231"/>
        <v>1.8368612914935762</v>
      </c>
      <c r="AL357" s="98">
        <f t="shared" si="232"/>
        <v>0.9951144130081957</v>
      </c>
      <c r="AM357" s="98" t="str">
        <f t="shared" si="217"/>
        <v>1+1542.33909924349i</v>
      </c>
      <c r="AN357" s="98">
        <f t="shared" si="233"/>
        <v>1542.3394234263806</v>
      </c>
      <c r="AO357" s="98">
        <f t="shared" si="234"/>
        <v>1.5701479610364428</v>
      </c>
      <c r="AP357" s="168" t="str">
        <f t="shared" si="235"/>
        <v>-0.0294315448547737+0.0454125238716409i</v>
      </c>
      <c r="AQ357" s="98">
        <f t="shared" si="236"/>
        <v>-25.333528204768413</v>
      </c>
      <c r="AR357" s="169">
        <f t="shared" si="237"/>
        <v>122.94699538045185</v>
      </c>
      <c r="AS357" s="168" t="str">
        <f t="shared" si="238"/>
        <v>-0.128621852472664-0.0744779572726448i</v>
      </c>
      <c r="AT357" s="190">
        <f t="shared" si="239"/>
        <v>-16.557935290737944</v>
      </c>
      <c r="AU357" s="169">
        <f t="shared" si="240"/>
        <v>-149.92718881610026</v>
      </c>
      <c r="AV357" s="225"/>
      <c r="AX357">
        <f t="shared" si="241"/>
        <v>0</v>
      </c>
      <c r="AY357">
        <f t="shared" si="242"/>
        <v>0</v>
      </c>
    </row>
    <row r="358" spans="14:51" x14ac:dyDescent="0.55000000000000004">
      <c r="N358" s="170">
        <v>40</v>
      </c>
      <c r="O358" s="199">
        <f t="shared" si="208"/>
        <v>25118.86431509586</v>
      </c>
      <c r="P358" s="189" t="str">
        <f t="shared" si="209"/>
        <v>1078.86904761905</v>
      </c>
      <c r="Q358" s="160" t="str">
        <f t="shared" si="210"/>
        <v>1+4932.0774749265i</v>
      </c>
      <c r="R358" s="160">
        <f t="shared" si="218"/>
        <v>4932.0775763036581</v>
      </c>
      <c r="S358" s="160">
        <f t="shared" si="219"/>
        <v>1.5705935724806384</v>
      </c>
      <c r="T358" s="160" t="str">
        <f t="shared" si="211"/>
        <v>1+0.00315652958395296i</v>
      </c>
      <c r="U358" s="160">
        <f t="shared" si="220"/>
        <v>1.0000049818270977</v>
      </c>
      <c r="V358" s="160">
        <f t="shared" si="221"/>
        <v>3.1565191004664411E-3</v>
      </c>
      <c r="W358" s="98" t="str">
        <f t="shared" si="212"/>
        <v>1-2.28292845629814i</v>
      </c>
      <c r="X358" s="160">
        <f t="shared" si="222"/>
        <v>2.4923407344453943</v>
      </c>
      <c r="Y358" s="160">
        <f t="shared" si="223"/>
        <v>-1.1579378674283978</v>
      </c>
      <c r="Z358" s="98" t="str">
        <f t="shared" si="213"/>
        <v>-0.14252122133128+0.181338387109041i</v>
      </c>
      <c r="AA358" s="160">
        <f t="shared" si="224"/>
        <v>0.23064238372222071</v>
      </c>
      <c r="AB358" s="160">
        <f t="shared" si="225"/>
        <v>2.2369055482272548</v>
      </c>
      <c r="AC358" s="171" t="str">
        <f t="shared" si="226"/>
        <v>0.584563022095948+2.29037107315821i</v>
      </c>
      <c r="AD358" s="190">
        <f t="shared" si="227"/>
        <v>7.472185916248443</v>
      </c>
      <c r="AE358" s="169">
        <f t="shared" si="228"/>
        <v>75.682272364048643</v>
      </c>
      <c r="AF358" s="98" t="str">
        <f t="shared" si="214"/>
        <v>-9.95024875621891E-06</v>
      </c>
      <c r="AG358" s="98" t="str">
        <f t="shared" si="215"/>
        <v>0.157984305676846i</v>
      </c>
      <c r="AH358" s="98">
        <f t="shared" si="229"/>
        <v>0.15798430567684599</v>
      </c>
      <c r="AI358" s="98">
        <f t="shared" si="230"/>
        <v>1.5707963267948966</v>
      </c>
      <c r="AJ358" s="98" t="str">
        <f t="shared" si="216"/>
        <v>1+1.57668810387261i</v>
      </c>
      <c r="AK358" s="98">
        <f t="shared" si="231"/>
        <v>1.8670686588589627</v>
      </c>
      <c r="AL358" s="98">
        <f t="shared" si="232"/>
        <v>1.0055794881186508</v>
      </c>
      <c r="AM358" s="98" t="str">
        <f t="shared" si="217"/>
        <v>1+1578.26479197648i</v>
      </c>
      <c r="AN358" s="98">
        <f t="shared" si="233"/>
        <v>1578.2651087800684</v>
      </c>
      <c r="AO358" s="98">
        <f t="shared" si="234"/>
        <v>1.5701627196389463</v>
      </c>
      <c r="AP358" s="168" t="str">
        <f t="shared" si="235"/>
        <v>-0.0284869009581302+0.0449779403709579i</v>
      </c>
      <c r="AQ358" s="98">
        <f t="shared" si="236"/>
        <v>-25.475206817598899</v>
      </c>
      <c r="AR358" s="169">
        <f t="shared" si="237"/>
        <v>122.34823634997045</v>
      </c>
      <c r="AS358" s="168" t="str">
        <f t="shared" si="238"/>
        <v>-0.119668562470109-0.0389531331675258i</v>
      </c>
      <c r="AT358" s="190">
        <f t="shared" si="239"/>
        <v>-18.003020901350482</v>
      </c>
      <c r="AU358" s="169">
        <f t="shared" si="240"/>
        <v>-161.96949128598087</v>
      </c>
      <c r="AV358" s="225"/>
      <c r="AX358">
        <f t="shared" si="241"/>
        <v>0</v>
      </c>
      <c r="AY358">
        <f t="shared" si="242"/>
        <v>0</v>
      </c>
    </row>
    <row r="359" spans="14:51" x14ac:dyDescent="0.55000000000000004">
      <c r="N359" s="170">
        <v>41</v>
      </c>
      <c r="O359" s="199">
        <f t="shared" si="208"/>
        <v>25703.95782768865</v>
      </c>
      <c r="P359" s="189" t="str">
        <f t="shared" si="209"/>
        <v>1078.86904761905</v>
      </c>
      <c r="Q359" s="160" t="str">
        <f t="shared" si="210"/>
        <v>1+5046.96031747803i</v>
      </c>
      <c r="R359" s="160">
        <f t="shared" si="218"/>
        <v>5046.9604165475621</v>
      </c>
      <c r="S359" s="160">
        <f t="shared" si="219"/>
        <v>1.570598187732172</v>
      </c>
      <c r="T359" s="160" t="str">
        <f t="shared" si="211"/>
        <v>1+0.00323005460318594i</v>
      </c>
      <c r="U359" s="160">
        <f t="shared" si="220"/>
        <v>1.0000052166127633</v>
      </c>
      <c r="V359" s="160">
        <f t="shared" si="221"/>
        <v>3.2300433699309137E-3</v>
      </c>
      <c r="W359" s="98" t="str">
        <f t="shared" si="212"/>
        <v>1-2.3361046912082i</v>
      </c>
      <c r="X359" s="160">
        <f t="shared" si="222"/>
        <v>2.5411385496042831</v>
      </c>
      <c r="Y359" s="160">
        <f t="shared" si="223"/>
        <v>-1.1663341476966902</v>
      </c>
      <c r="Z359" s="98" t="str">
        <f t="shared" si="213"/>
        <v>-0.19636658760996+0.185562300760175i</v>
      </c>
      <c r="AA359" s="160">
        <f t="shared" si="224"/>
        <v>0.27017254522432466</v>
      </c>
      <c r="AB359" s="160">
        <f t="shared" si="225"/>
        <v>2.3844756873161432</v>
      </c>
      <c r="AC359" s="171" t="str">
        <f t="shared" si="226"/>
        <v>0.793676566431173+1.84733250662095i</v>
      </c>
      <c r="AD359" s="190">
        <f t="shared" si="227"/>
        <v>6.0665646179596404</v>
      </c>
      <c r="AE359" s="169">
        <f t="shared" si="228"/>
        <v>66.750002985012458</v>
      </c>
      <c r="AF359" s="98" t="str">
        <f t="shared" si="214"/>
        <v>-9.95024875621891E-06</v>
      </c>
      <c r="AG359" s="98" t="str">
        <f t="shared" si="215"/>
        <v>0.161664232889456i</v>
      </c>
      <c r="AH359" s="98">
        <f t="shared" si="229"/>
        <v>0.161664232889456</v>
      </c>
      <c r="AI359" s="98">
        <f t="shared" si="230"/>
        <v>1.5707963267948966</v>
      </c>
      <c r="AJ359" s="98" t="str">
        <f t="shared" si="216"/>
        <v>1+1.61341388770526i</v>
      </c>
      <c r="AK359" s="98">
        <f t="shared" si="231"/>
        <v>1.8981844939415666</v>
      </c>
      <c r="AL359" s="98">
        <f t="shared" si="232"/>
        <v>1.01594236018274</v>
      </c>
      <c r="AM359" s="98" t="str">
        <f t="shared" si="217"/>
        <v>1+1615.02730159297i</v>
      </c>
      <c r="AN359" s="98">
        <f t="shared" si="233"/>
        <v>1615.0276111852299</v>
      </c>
      <c r="AO359" s="98">
        <f t="shared" si="234"/>
        <v>1.5701771422949089</v>
      </c>
      <c r="AP359" s="168" t="str">
        <f t="shared" si="235"/>
        <v>-0.0275606172943651+0.0445282315534838i</v>
      </c>
      <c r="AQ359" s="98">
        <f t="shared" si="236"/>
        <v>-25.618769547116834</v>
      </c>
      <c r="AR359" s="169">
        <f t="shared" si="237"/>
        <v>121.75531387438001</v>
      </c>
      <c r="AS359" s="168" t="str">
        <f t="shared" si="238"/>
        <v>-0.104132665714011-0.0155726103017989i</v>
      </c>
      <c r="AT359" s="190">
        <f t="shared" si="239"/>
        <v>-19.552204929157163</v>
      </c>
      <c r="AU359" s="169">
        <f t="shared" si="240"/>
        <v>-171.49468314060761</v>
      </c>
      <c r="AV359" s="225"/>
      <c r="AX359">
        <f t="shared" si="241"/>
        <v>0</v>
      </c>
      <c r="AY359">
        <f t="shared" si="242"/>
        <v>0</v>
      </c>
    </row>
    <row r="360" spans="14:51" x14ac:dyDescent="0.55000000000000004">
      <c r="N360" s="170">
        <v>42</v>
      </c>
      <c r="O360" s="199">
        <f t="shared" si="208"/>
        <v>26302.679918953829</v>
      </c>
      <c r="P360" s="189" t="str">
        <f t="shared" si="209"/>
        <v>1078.86904761905</v>
      </c>
      <c r="Q360" s="160" t="str">
        <f t="shared" si="210"/>
        <v>1+5164.51912519431i</v>
      </c>
      <c r="R360" s="160">
        <f t="shared" si="218"/>
        <v>5164.5192220087438</v>
      </c>
      <c r="S360" s="160">
        <f t="shared" si="219"/>
        <v>1.5706026979277627</v>
      </c>
      <c r="T360" s="160" t="str">
        <f t="shared" si="211"/>
        <v>1+0.00330529224012436i</v>
      </c>
      <c r="U360" s="160">
        <f t="shared" si="220"/>
        <v>1.0000054624634771</v>
      </c>
      <c r="V360" s="160">
        <f t="shared" si="221"/>
        <v>3.3052802034782896E-3</v>
      </c>
      <c r="W360" s="98" t="str">
        <f t="shared" si="212"/>
        <v>1-2.39051955974754i</v>
      </c>
      <c r="X360" s="160">
        <f t="shared" si="222"/>
        <v>2.5912513898762453</v>
      </c>
      <c r="Y360" s="160">
        <f t="shared" si="223"/>
        <v>-1.1745980397351372</v>
      </c>
      <c r="Z360" s="98" t="str">
        <f t="shared" si="213"/>
        <v>-0.25274960782062+0.189884601999381i</v>
      </c>
      <c r="AA360" s="160">
        <f t="shared" si="224"/>
        <v>0.31613055266762896</v>
      </c>
      <c r="AB360" s="160">
        <f t="shared" si="225"/>
        <v>2.4972756890256291</v>
      </c>
      <c r="AC360" s="171" t="str">
        <f t="shared" si="226"/>
        <v>0.860875066918735+1.48017742300738i</v>
      </c>
      <c r="AD360" s="190">
        <f t="shared" si="227"/>
        <v>4.6716857023985003</v>
      </c>
      <c r="AE360" s="169">
        <f t="shared" si="228"/>
        <v>59.817605159690018</v>
      </c>
      <c r="AF360" s="98" t="str">
        <f t="shared" si="214"/>
        <v>-9.95024875621891E-06</v>
      </c>
      <c r="AG360" s="98" t="str">
        <f t="shared" si="215"/>
        <v>0.165429876618225i</v>
      </c>
      <c r="AH360" s="98">
        <f t="shared" si="229"/>
        <v>0.165429876618225</v>
      </c>
      <c r="AI360" s="98">
        <f t="shared" si="230"/>
        <v>1.5707963267948966</v>
      </c>
      <c r="AJ360" s="98" t="str">
        <f t="shared" si="216"/>
        <v>1+1.65099512493724i</v>
      </c>
      <c r="AK360" s="98">
        <f t="shared" si="231"/>
        <v>1.9302292357558293</v>
      </c>
      <c r="AL360" s="98">
        <f t="shared" si="232"/>
        <v>1.0261996205220776</v>
      </c>
      <c r="AM360" s="98" t="str">
        <f t="shared" si="217"/>
        <v>1+1652.64612006218i</v>
      </c>
      <c r="AN360" s="98">
        <f t="shared" si="233"/>
        <v>1652.646422607261</v>
      </c>
      <c r="AO360" s="98">
        <f t="shared" si="234"/>
        <v>1.5701912366513893</v>
      </c>
      <c r="AP360" s="168" t="str">
        <f t="shared" si="235"/>
        <v>-0.0266531169388248+0.0440643139643744i</v>
      </c>
      <c r="AQ360" s="98">
        <f t="shared" si="236"/>
        <v>-25.764178980076579</v>
      </c>
      <c r="AR360" s="169">
        <f t="shared" si="237"/>
        <v>121.16842369471033</v>
      </c>
      <c r="AS360" s="168" t="str">
        <f t="shared" si="238"/>
        <v>-0.0881680065186795-0.00151747271281508i</v>
      </c>
      <c r="AT360" s="190">
        <f t="shared" si="239"/>
        <v>-21.092493277678077</v>
      </c>
      <c r="AU360" s="169">
        <f t="shared" si="240"/>
        <v>-179.01397114559967</v>
      </c>
      <c r="AV360" s="225"/>
      <c r="AX360">
        <f t="shared" si="241"/>
        <v>0</v>
      </c>
      <c r="AY360">
        <f t="shared" si="242"/>
        <v>0</v>
      </c>
    </row>
    <row r="361" spans="14:51" x14ac:dyDescent="0.55000000000000004">
      <c r="N361" s="170">
        <v>43</v>
      </c>
      <c r="O361" s="199">
        <f t="shared" si="208"/>
        <v>26915.348039269167</v>
      </c>
      <c r="P361" s="189" t="str">
        <f t="shared" si="209"/>
        <v>1078.86904761905</v>
      </c>
      <c r="Q361" s="160" t="str">
        <f t="shared" si="210"/>
        <v>1+5284.81622931128i</v>
      </c>
      <c r="R361" s="160">
        <f t="shared" si="218"/>
        <v>5284.8163239219484</v>
      </c>
      <c r="S361" s="160">
        <f t="shared" si="219"/>
        <v>1.5706071054587754</v>
      </c>
      <c r="T361" s="160" t="str">
        <f t="shared" si="211"/>
        <v>1+0.00338228238675922i</v>
      </c>
      <c r="U361" s="160">
        <f t="shared" si="220"/>
        <v>1.0000057199007133</v>
      </c>
      <c r="V361" s="160">
        <f t="shared" si="221"/>
        <v>3.3822694892645696E-3</v>
      </c>
      <c r="W361" s="98" t="str">
        <f t="shared" si="212"/>
        <v>1-2.44620191339974i</v>
      </c>
      <c r="X361" s="160">
        <f t="shared" si="222"/>
        <v>2.6427076647106751</v>
      </c>
      <c r="Y361" s="160">
        <f t="shared" si="223"/>
        <v>-1.1827294092614975</v>
      </c>
      <c r="Z361" s="98" t="str">
        <f t="shared" si="213"/>
        <v>-0.31178987790855+0.194307582567987i</v>
      </c>
      <c r="AA361" s="160">
        <f t="shared" si="224"/>
        <v>0.36738040858168197</v>
      </c>
      <c r="AB361" s="160">
        <f t="shared" si="225"/>
        <v>2.5842884657058667</v>
      </c>
      <c r="AC361" s="171" t="str">
        <f t="shared" si="226"/>
        <v>0.855465194356832+1.19359814056119i</v>
      </c>
      <c r="AD361" s="190">
        <f t="shared" si="227"/>
        <v>3.3374890260263692</v>
      </c>
      <c r="AE361" s="169">
        <f t="shared" si="228"/>
        <v>54.370405764894223</v>
      </c>
      <c r="AF361" s="98" t="str">
        <f t="shared" si="214"/>
        <v>-9.95024875621891E-06</v>
      </c>
      <c r="AG361" s="98" t="str">
        <f t="shared" si="215"/>
        <v>0.169283233457299i</v>
      </c>
      <c r="AH361" s="98">
        <f t="shared" si="229"/>
        <v>0.16928323345729901</v>
      </c>
      <c r="AI361" s="98">
        <f t="shared" si="230"/>
        <v>1.5707963267948966</v>
      </c>
      <c r="AJ361" s="98" t="str">
        <f t="shared" si="216"/>
        <v>1+1.68945174163797i</v>
      </c>
      <c r="AK361" s="98">
        <f t="shared" si="231"/>
        <v>1.9632236722603895</v>
      </c>
      <c r="AL361" s="98">
        <f t="shared" si="232"/>
        <v>1.0363480738101918</v>
      </c>
      <c r="AM361" s="98" t="str">
        <f t="shared" si="217"/>
        <v>1+1691.14119337961i</v>
      </c>
      <c r="AN361" s="98">
        <f t="shared" si="233"/>
        <v>1691.1414890379253</v>
      </c>
      <c r="AO361" s="98">
        <f t="shared" si="234"/>
        <v>1.5702050101813796</v>
      </c>
      <c r="AP361" s="168" t="str">
        <f t="shared" si="235"/>
        <v>-0.0257647669883809+0.0435871091635538i</v>
      </c>
      <c r="AQ361" s="98">
        <f t="shared" si="236"/>
        <v>-25.911396907643962</v>
      </c>
      <c r="AR361" s="169">
        <f t="shared" si="237"/>
        <v>120.58774931785325</v>
      </c>
      <c r="AS361" s="168" t="str">
        <f t="shared" si="238"/>
        <v>-0.0740663538493292+0.00653447684272824i</v>
      </c>
      <c r="AT361" s="190">
        <f t="shared" si="239"/>
        <v>-22.57390788161759</v>
      </c>
      <c r="AU361" s="169">
        <f t="shared" si="240"/>
        <v>174.95815508274742</v>
      </c>
      <c r="AV361" s="225"/>
      <c r="AX361">
        <f t="shared" si="241"/>
        <v>0</v>
      </c>
      <c r="AY361">
        <f t="shared" si="242"/>
        <v>0</v>
      </c>
    </row>
    <row r="362" spans="14:51" x14ac:dyDescent="0.55000000000000004">
      <c r="N362" s="170">
        <v>44</v>
      </c>
      <c r="O362" s="199">
        <f t="shared" si="208"/>
        <v>27542.287033381719</v>
      </c>
      <c r="P362" s="189" t="str">
        <f t="shared" si="209"/>
        <v>1078.86904761905</v>
      </c>
      <c r="Q362" s="160" t="str">
        <f t="shared" si="210"/>
        <v>1+5407.91541294584i</v>
      </c>
      <c r="R362" s="160">
        <f t="shared" si="218"/>
        <v>5407.915505402907</v>
      </c>
      <c r="S362" s="160">
        <f t="shared" si="219"/>
        <v>1.5706114126621407</v>
      </c>
      <c r="T362" s="160" t="str">
        <f t="shared" si="211"/>
        <v>1+0.00346106586428534i</v>
      </c>
      <c r="U362" s="160">
        <f t="shared" si="220"/>
        <v>1.0000059894705216</v>
      </c>
      <c r="V362" s="160">
        <f t="shared" si="221"/>
        <v>3.4610520443753034E-3</v>
      </c>
      <c r="W362" s="98" t="str">
        <f t="shared" si="212"/>
        <v>1-2.50318127568573i</v>
      </c>
      <c r="X362" s="160">
        <f t="shared" si="222"/>
        <v>2.6955364028229405</v>
      </c>
      <c r="Y362" s="160">
        <f t="shared" si="223"/>
        <v>-1.1907282654719926</v>
      </c>
      <c r="Z362" s="98" t="str">
        <f t="shared" si="213"/>
        <v>-0.37361263020225+0.198833587588836i</v>
      </c>
      <c r="AA362" s="160">
        <f t="shared" si="224"/>
        <v>0.42322711751504122</v>
      </c>
      <c r="AB362" s="160">
        <f t="shared" si="225"/>
        <v>2.652524465935179</v>
      </c>
      <c r="AC362" s="171" t="str">
        <f t="shared" si="226"/>
        <v>0.81661956468805+0.973441741105544i</v>
      </c>
      <c r="AD362" s="190">
        <f t="shared" si="227"/>
        <v>2.0802630394498496</v>
      </c>
      <c r="AE362" s="169">
        <f t="shared" si="228"/>
        <v>50.006737362440582</v>
      </c>
      <c r="AF362" s="98" t="str">
        <f t="shared" si="214"/>
        <v>-9.95024875621891E-06</v>
      </c>
      <c r="AG362" s="98" t="str">
        <f t="shared" si="215"/>
        <v>0.173226346507481i</v>
      </c>
      <c r="AH362" s="98">
        <f t="shared" si="229"/>
        <v>0.173226346507481</v>
      </c>
      <c r="AI362" s="98">
        <f t="shared" si="230"/>
        <v>1.5707963267948966</v>
      </c>
      <c r="AJ362" s="98" t="str">
        <f t="shared" si="216"/>
        <v>1+1.72880412801466i</v>
      </c>
      <c r="AK362" s="98">
        <f t="shared" si="231"/>
        <v>1.9971889527634907</v>
      </c>
      <c r="AL362" s="98">
        <f t="shared" si="232"/>
        <v>1.0463847387916376</v>
      </c>
      <c r="AM362" s="98" t="str">
        <f t="shared" si="217"/>
        <v>1+1730.53293214267i</v>
      </c>
      <c r="AN362" s="98">
        <f t="shared" si="233"/>
        <v>1730.5332210709817</v>
      </c>
      <c r="AO362" s="98">
        <f t="shared" si="234"/>
        <v>1.5702184701877671</v>
      </c>
      <c r="AP362" s="168" t="str">
        <f t="shared" si="235"/>
        <v>-0.0248958794857562+0.0430975399610588i</v>
      </c>
      <c r="AQ362" s="98">
        <f t="shared" si="236"/>
        <v>-26.060384437255149</v>
      </c>
      <c r="AR362" s="169">
        <f t="shared" si="237"/>
        <v>120.01346197558783</v>
      </c>
      <c r="AS362" s="168" t="str">
        <f t="shared" si="238"/>
        <v>-0.0622834066052432+0.0109596060491574i</v>
      </c>
      <c r="AT362" s="190">
        <f t="shared" si="239"/>
        <v>-23.980121397805302</v>
      </c>
      <c r="AU362" s="169">
        <f t="shared" si="240"/>
        <v>170.02019933802839</v>
      </c>
      <c r="AV362" s="225"/>
      <c r="AX362">
        <f t="shared" si="241"/>
        <v>0</v>
      </c>
      <c r="AY362">
        <f t="shared" si="242"/>
        <v>0</v>
      </c>
    </row>
    <row r="363" spans="14:51" x14ac:dyDescent="0.55000000000000004">
      <c r="N363" s="170">
        <v>45</v>
      </c>
      <c r="O363" s="199">
        <f t="shared" si="208"/>
        <v>28183.829312644593</v>
      </c>
      <c r="P363" s="189" t="str">
        <f t="shared" si="209"/>
        <v>1078.86904761905</v>
      </c>
      <c r="Q363" s="160" t="str">
        <f t="shared" si="210"/>
        <v>1+5533.88194491456i</v>
      </c>
      <c r="R363" s="160">
        <f t="shared" si="218"/>
        <v>5533.8820352670473</v>
      </c>
      <c r="S363" s="160">
        <f t="shared" si="219"/>
        <v>1.5706156218215941</v>
      </c>
      <c r="T363" s="160" t="str">
        <f t="shared" si="211"/>
        <v>1+0.00354168444474532i</v>
      </c>
      <c r="U363" s="160">
        <f t="shared" si="220"/>
        <v>1.0000062717446856</v>
      </c>
      <c r="V363" s="160">
        <f t="shared" si="221"/>
        <v>3.5416696364499352E-3</v>
      </c>
      <c r="W363" s="98" t="str">
        <f t="shared" si="212"/>
        <v>1-2.56148785781761i</v>
      </c>
      <c r="X363" s="160">
        <f t="shared" si="222"/>
        <v>2.7497672711971552</v>
      </c>
      <c r="Y363" s="160">
        <f t="shared" si="223"/>
        <v>-1.1985947541810549</v>
      </c>
      <c r="Z363" s="98" t="str">
        <f t="shared" si="213"/>
        <v>-0.43834899904806+0.203465016809697i</v>
      </c>
      <c r="AA363" s="160">
        <f t="shared" si="224"/>
        <v>0.48326789468348341</v>
      </c>
      <c r="AB363" s="160">
        <f t="shared" si="225"/>
        <v>2.7070240897262057</v>
      </c>
      <c r="AC363" s="171" t="str">
        <f t="shared" si="226"/>
        <v>0.764465763058744+0.803829369508304i</v>
      </c>
      <c r="AD363" s="190">
        <f t="shared" si="227"/>
        <v>0.90099108821194429</v>
      </c>
      <c r="AE363" s="169">
        <f t="shared" si="228"/>
        <v>46.437800212255681</v>
      </c>
      <c r="AF363" s="98" t="str">
        <f t="shared" si="214"/>
        <v>-9.95024875621891E-06</v>
      </c>
      <c r="AG363" s="98" t="str">
        <f t="shared" si="215"/>
        <v>0.177261306459503i</v>
      </c>
      <c r="AH363" s="98">
        <f t="shared" si="229"/>
        <v>0.177261306459503</v>
      </c>
      <c r="AI363" s="98">
        <f t="shared" si="230"/>
        <v>1.5707963267948966</v>
      </c>
      <c r="AJ363" s="98" t="str">
        <f t="shared" si="216"/>
        <v>1+1.76907314922344i</v>
      </c>
      <c r="AK363" s="98">
        <f t="shared" si="231"/>
        <v>2.032146600839452</v>
      </c>
      <c r="AL363" s="98">
        <f t="shared" si="232"/>
        <v>1.056306848148608</v>
      </c>
      <c r="AM363" s="98" t="str">
        <f t="shared" si="217"/>
        <v>1+1770.84222237266i</v>
      </c>
      <c r="AN363" s="98">
        <f t="shared" si="233"/>
        <v>1770.8425047241615</v>
      </c>
      <c r="AO363" s="98">
        <f t="shared" si="234"/>
        <v>1.5702316238072054</v>
      </c>
      <c r="AP363" s="168" t="str">
        <f t="shared" si="235"/>
        <v>-0.0240467126105394+0.042596526831155i</v>
      </c>
      <c r="AQ363" s="98">
        <f t="shared" si="236"/>
        <v>-26.211102102340146</v>
      </c>
      <c r="AR363" s="169">
        <f t="shared" si="237"/>
        <v>119.44572063244529</v>
      </c>
      <c r="AS363" s="168" t="str">
        <f t="shared" si="238"/>
        <v>-0.0526232278108012+0.0132341325511539i</v>
      </c>
      <c r="AT363" s="190">
        <f t="shared" si="239"/>
        <v>-25.310111014128196</v>
      </c>
      <c r="AU363" s="169">
        <f t="shared" si="240"/>
        <v>165.88352084470097</v>
      </c>
      <c r="AV363" s="225"/>
      <c r="AX363">
        <f t="shared" si="241"/>
        <v>0</v>
      </c>
      <c r="AY363">
        <f t="shared" si="242"/>
        <v>0</v>
      </c>
    </row>
    <row r="364" spans="14:51" x14ac:dyDescent="0.55000000000000004">
      <c r="N364" s="170">
        <v>46</v>
      </c>
      <c r="O364" s="199">
        <f t="shared" si="208"/>
        <v>28840.315031266062</v>
      </c>
      <c r="P364" s="189" t="str">
        <f t="shared" si="209"/>
        <v>1078.86904761905</v>
      </c>
      <c r="Q364" s="160" t="str">
        <f t="shared" si="210"/>
        <v>1+5662.78261434003i</v>
      </c>
      <c r="R364" s="160">
        <f t="shared" si="218"/>
        <v>5662.7827026358436</v>
      </c>
      <c r="S364" s="160">
        <f t="shared" si="219"/>
        <v>1.5706197351688871</v>
      </c>
      <c r="T364" s="160" t="str">
        <f t="shared" si="211"/>
        <v>1+0.00362418087317762i</v>
      </c>
      <c r="U364" s="160">
        <f t="shared" si="220"/>
        <v>1.000006567321936</v>
      </c>
      <c r="V364" s="160">
        <f t="shared" si="221"/>
        <v>3.6241650058088655E-3</v>
      </c>
      <c r="W364" s="98" t="str">
        <f t="shared" si="212"/>
        <v>1-2.62115257471698i</v>
      </c>
      <c r="X364" s="160">
        <f t="shared" si="222"/>
        <v>2.8054305943910745</v>
      </c>
      <c r="Y364" s="160">
        <f t="shared" si="223"/>
        <v>-1.2063291509433931</v>
      </c>
      <c r="Z364" s="98" t="str">
        <f t="shared" si="213"/>
        <v>-0.50613629896364+0.208204325875648i</v>
      </c>
      <c r="AA364" s="160">
        <f t="shared" si="224"/>
        <v>0.5472869397692075</v>
      </c>
      <c r="AB364" s="160">
        <f t="shared" si="225"/>
        <v>2.7513315292036227</v>
      </c>
      <c r="AC364" s="171" t="str">
        <f t="shared" si="226"/>
        <v>0.708879098209518+0.671773272645983i</v>
      </c>
      <c r="AD364" s="190">
        <f t="shared" si="227"/>
        <v>-0.20547733498585785</v>
      </c>
      <c r="AE364" s="169">
        <f t="shared" si="228"/>
        <v>43.460513596660746</v>
      </c>
      <c r="AF364" s="98" t="str">
        <f t="shared" si="214"/>
        <v>-9.95024875621891E-06</v>
      </c>
      <c r="AG364" s="98" t="str">
        <f t="shared" si="215"/>
        <v>0.18139025270254i</v>
      </c>
      <c r="AH364" s="98">
        <f t="shared" si="229"/>
        <v>0.18139025270254</v>
      </c>
      <c r="AI364" s="98">
        <f t="shared" si="230"/>
        <v>1.5707963267948966</v>
      </c>
      <c r="AJ364" s="98" t="str">
        <f t="shared" si="216"/>
        <v>1+1.81028015643238i</v>
      </c>
      <c r="AK364" s="98">
        <f t="shared" si="231"/>
        <v>2.0681185277379153</v>
      </c>
      <c r="AL364" s="98">
        <f t="shared" si="232"/>
        <v>1.0661118475586642</v>
      </c>
      <c r="AM364" s="98" t="str">
        <f t="shared" si="217"/>
        <v>1+1812.09043658881i</v>
      </c>
      <c r="AN364" s="98">
        <f t="shared" si="233"/>
        <v>1812.0907125132073</v>
      </c>
      <c r="AO364" s="98">
        <f t="shared" si="234"/>
        <v>1.5702444780138998</v>
      </c>
      <c r="AP364" s="168" t="str">
        <f t="shared" si="235"/>
        <v>-0.0232174721118043+0.0420849845230864i</v>
      </c>
      <c r="AQ364" s="98">
        <f t="shared" si="236"/>
        <v>-26.363509969400578</v>
      </c>
      <c r="AR364" s="169">
        <f t="shared" si="237"/>
        <v>118.88467203991338</v>
      </c>
      <c r="AS364" s="168" t="str">
        <f t="shared" si="238"/>
        <v>-0.0447299484756498+0.0142362886537734i</v>
      </c>
      <c r="AT364" s="190">
        <f t="shared" si="239"/>
        <v>-26.568987304386429</v>
      </c>
      <c r="AU364" s="169">
        <f t="shared" si="240"/>
        <v>162.34518563657412</v>
      </c>
      <c r="AV364" s="225"/>
      <c r="AX364">
        <f t="shared" si="241"/>
        <v>0</v>
      </c>
      <c r="AY364">
        <f t="shared" si="242"/>
        <v>0</v>
      </c>
    </row>
    <row r="365" spans="14:51" x14ac:dyDescent="0.55000000000000004">
      <c r="N365" s="170">
        <v>47</v>
      </c>
      <c r="O365" s="199">
        <f t="shared" si="208"/>
        <v>29512.092266663854</v>
      </c>
      <c r="P365" s="189" t="str">
        <f t="shared" si="209"/>
        <v>1078.86904761905</v>
      </c>
      <c r="Q365" s="160" t="str">
        <f t="shared" si="210"/>
        <v>1+5794.68576606347i</v>
      </c>
      <c r="R365" s="160">
        <f t="shared" si="218"/>
        <v>5794.6858523494257</v>
      </c>
      <c r="S365" s="160">
        <f t="shared" si="219"/>
        <v>1.5706237548849702</v>
      </c>
      <c r="T365" s="160" t="str">
        <f t="shared" si="211"/>
        <v>1+0.00370859889028062i</v>
      </c>
      <c r="U365" s="160">
        <f t="shared" si="220"/>
        <v>1.0000068768292192</v>
      </c>
      <c r="V365" s="160">
        <f t="shared" si="221"/>
        <v>3.7085818880949911E-3</v>
      </c>
      <c r="W365" s="98" t="str">
        <f t="shared" si="212"/>
        <v>1-2.68220706140656i</v>
      </c>
      <c r="X365" s="160">
        <f t="shared" si="222"/>
        <v>2.862557374142781</v>
      </c>
      <c r="Y365" s="160">
        <f t="shared" si="223"/>
        <v>-1.2139318541916653</v>
      </c>
      <c r="Z365" s="98" t="str">
        <f t="shared" si="213"/>
        <v>-0.57711831590057+0.21305402763109i</v>
      </c>
      <c r="AA365" s="160">
        <f t="shared" si="224"/>
        <v>0.61518905162375837</v>
      </c>
      <c r="AB365" s="160">
        <f t="shared" si="225"/>
        <v>2.7879441170495549</v>
      </c>
      <c r="AC365" s="171" t="str">
        <f t="shared" si="226"/>
        <v>0.654510048226423+0.567589939786765i</v>
      </c>
      <c r="AD365" s="190">
        <f t="shared" si="227"/>
        <v>-1.2462514853702309</v>
      </c>
      <c r="AE365" s="169">
        <f t="shared" si="228"/>
        <v>40.931770445328695</v>
      </c>
      <c r="AF365" s="98" t="str">
        <f t="shared" si="214"/>
        <v>-9.95024875621891E-06</v>
      </c>
      <c r="AG365" s="98" t="str">
        <f t="shared" si="215"/>
        <v>0.185615374458545i</v>
      </c>
      <c r="AH365" s="98">
        <f t="shared" si="229"/>
        <v>0.18561537445854501</v>
      </c>
      <c r="AI365" s="98">
        <f t="shared" si="230"/>
        <v>1.5707963267948966</v>
      </c>
      <c r="AJ365" s="98" t="str">
        <f t="shared" si="216"/>
        <v>1+1.85244699814217i</v>
      </c>
      <c r="AK365" s="98">
        <f t="shared" si="231"/>
        <v>2.1051270462672642</v>
      </c>
      <c r="AL365" s="98">
        <f t="shared" si="232"/>
        <v>1.0757973939909078</v>
      </c>
      <c r="AM365" s="98" t="str">
        <f t="shared" si="217"/>
        <v>1+1854.29944514031i</v>
      </c>
      <c r="AN365" s="98">
        <f t="shared" si="233"/>
        <v>1854.2997147839019</v>
      </c>
      <c r="AO365" s="98">
        <f t="shared" si="234"/>
        <v>1.5702570396233035</v>
      </c>
      <c r="AP365" s="168" t="str">
        <f t="shared" si="235"/>
        <v>-0.0224083129564449+0.0415638188830692i</v>
      </c>
      <c r="AQ365" s="98">
        <f t="shared" si="236"/>
        <v>-26.517567741980336</v>
      </c>
      <c r="AR365" s="169">
        <f t="shared" si="237"/>
        <v>118.33045083427051</v>
      </c>
      <c r="AS365" s="168" t="str">
        <f t="shared" si="238"/>
        <v>-0.0382576714509448+0.0144852040999604i</v>
      </c>
      <c r="AT365" s="190">
        <f t="shared" si="239"/>
        <v>-27.76381922735056</v>
      </c>
      <c r="AU365" s="169">
        <f t="shared" si="240"/>
        <v>159.2622212795992</v>
      </c>
      <c r="AV365" s="225"/>
      <c r="AX365">
        <f t="shared" si="241"/>
        <v>0</v>
      </c>
      <c r="AY365">
        <f t="shared" si="242"/>
        <v>0</v>
      </c>
    </row>
    <row r="366" spans="14:51" x14ac:dyDescent="0.55000000000000004">
      <c r="N366" s="170">
        <v>48</v>
      </c>
      <c r="O366" s="199">
        <f t="shared" si="208"/>
        <v>30199.517204020212</v>
      </c>
      <c r="P366" s="189" t="str">
        <f t="shared" si="209"/>
        <v>1078.86904761905</v>
      </c>
      <c r="Q366" s="160" t="str">
        <f t="shared" si="210"/>
        <v>1+5929.66133688178i</v>
      </c>
      <c r="R366" s="160">
        <f t="shared" si="218"/>
        <v>5929.6614212036275</v>
      </c>
      <c r="S366" s="160">
        <f t="shared" si="219"/>
        <v>1.5706276831011496</v>
      </c>
      <c r="T366" s="160" t="str">
        <f t="shared" si="211"/>
        <v>1+0.00379498325560434i</v>
      </c>
      <c r="U366" s="160">
        <f t="shared" si="220"/>
        <v>1.0000072009230285</v>
      </c>
      <c r="V366" s="160">
        <f t="shared" si="221"/>
        <v>3.7949650374412922E-3</v>
      </c>
      <c r="W366" s="98" t="str">
        <f t="shared" si="212"/>
        <v>1-2.74468368978328i</v>
      </c>
      <c r="X366" s="160">
        <f t="shared" si="222"/>
        <v>2.9211793092794496</v>
      </c>
      <c r="Y366" s="160">
        <f t="shared" si="223"/>
        <v>-1.2214033784200149</v>
      </c>
      <c r="Z366" s="98" t="str">
        <f t="shared" si="213"/>
        <v>-0.65144561223344+0.218016693452084i</v>
      </c>
      <c r="AA366" s="160">
        <f t="shared" si="224"/>
        <v>0.68695899755515355</v>
      </c>
      <c r="AB366" s="160">
        <f t="shared" si="225"/>
        <v>2.8186431843577999</v>
      </c>
      <c r="AC366" s="171" t="str">
        <f t="shared" si="226"/>
        <v>0.603396520328153+0.484267919860213i</v>
      </c>
      <c r="AD366" s="190">
        <f t="shared" si="227"/>
        <v>-2.2286127132511462</v>
      </c>
      <c r="AE366" s="169">
        <f t="shared" si="228"/>
        <v>38.749480968434412</v>
      </c>
      <c r="AF366" s="98" t="str">
        <f t="shared" si="214"/>
        <v>-9.95024875621891E-06</v>
      </c>
      <c r="AG366" s="98" t="str">
        <f t="shared" si="215"/>
        <v>0.189938911942997i</v>
      </c>
      <c r="AH366" s="98">
        <f t="shared" si="229"/>
        <v>0.189938911942997</v>
      </c>
      <c r="AI366" s="98">
        <f t="shared" si="230"/>
        <v>1.5707963267948966</v>
      </c>
      <c r="AJ366" s="98" t="str">
        <f t="shared" si="216"/>
        <v>1+1.8955960317704i</v>
      </c>
      <c r="AK366" s="98">
        <f t="shared" si="231"/>
        <v>2.1431948851338012</v>
      </c>
      <c r="AL366" s="98">
        <f t="shared" si="232"/>
        <v>1.0853613532909474</v>
      </c>
      <c r="AM366" s="98" t="str">
        <f t="shared" si="217"/>
        <v>1+1897.49162780217i</v>
      </c>
      <c r="AN366" s="98">
        <f t="shared" si="233"/>
        <v>1897.4918913079255</v>
      </c>
      <c r="AO366" s="98">
        <f t="shared" si="234"/>
        <v>1.5702693152957323</v>
      </c>
      <c r="AP366" s="168" t="str">
        <f t="shared" si="235"/>
        <v>-0.021619341166924+0.0410339238989337i</v>
      </c>
      <c r="AQ366" s="98">
        <f t="shared" si="236"/>
        <v>-26.67323486112091</v>
      </c>
      <c r="AR366" s="169">
        <f t="shared" si="237"/>
        <v>117.78317967516426</v>
      </c>
      <c r="AS366" s="168" t="str">
        <f t="shared" si="238"/>
        <v>-0.032916448202148+0.0142901735203723i</v>
      </c>
      <c r="AT366" s="190">
        <f t="shared" si="239"/>
        <v>-28.901847574372063</v>
      </c>
      <c r="AU366" s="169">
        <f t="shared" si="240"/>
        <v>156.5326606435986</v>
      </c>
      <c r="AV366" s="225"/>
      <c r="AX366">
        <f t="shared" si="241"/>
        <v>0</v>
      </c>
      <c r="AY366">
        <f t="shared" si="242"/>
        <v>0</v>
      </c>
    </row>
    <row r="367" spans="14:51" x14ac:dyDescent="0.55000000000000004">
      <c r="N367" s="170">
        <v>49</v>
      </c>
      <c r="O367" s="199">
        <f t="shared" si="208"/>
        <v>30902.954325135954</v>
      </c>
      <c r="P367" s="189" t="str">
        <f t="shared" si="209"/>
        <v>1078.86904761905</v>
      </c>
      <c r="Q367" s="160" t="str">
        <f t="shared" si="210"/>
        <v>1+6067.78089262925i</v>
      </c>
      <c r="R367" s="160">
        <f t="shared" si="218"/>
        <v>6067.7809750316983</v>
      </c>
      <c r="S367" s="160">
        <f t="shared" si="219"/>
        <v>1.5706315219002174</v>
      </c>
      <c r="T367" s="160" t="str">
        <f t="shared" si="211"/>
        <v>1+0.00388337977128272i</v>
      </c>
      <c r="U367" s="160">
        <f t="shared" si="220"/>
        <v>1.000007540290796</v>
      </c>
      <c r="V367" s="160">
        <f t="shared" si="221"/>
        <v>3.8833602501772584E-3</v>
      </c>
      <c r="W367" s="98" t="str">
        <f t="shared" si="212"/>
        <v>1-2.80861558578252i</v>
      </c>
      <c r="X367" s="160">
        <f t="shared" si="222"/>
        <v>2.9813288159309916</v>
      </c>
      <c r="Y367" s="160">
        <f t="shared" si="223"/>
        <v>-1.2287443474409798</v>
      </c>
      <c r="Z367" s="98" t="str">
        <f t="shared" si="213"/>
        <v>-0.72927584612303+0.223094954609739i</v>
      </c>
      <c r="AA367" s="160">
        <f t="shared" si="224"/>
        <v>0.76263662284916711</v>
      </c>
      <c r="AB367" s="160">
        <f t="shared" si="225"/>
        <v>2.8447199646800572</v>
      </c>
      <c r="AC367" s="171" t="str">
        <f t="shared" si="226"/>
        <v>0.556283650336735+0.41675374619121i</v>
      </c>
      <c r="AD367" s="190">
        <f t="shared" si="227"/>
        <v>-3.1593133361753023</v>
      </c>
      <c r="AE367" s="169">
        <f t="shared" si="228"/>
        <v>36.83962969587585</v>
      </c>
      <c r="AF367" s="98" t="str">
        <f t="shared" si="214"/>
        <v>-9.95024875621891E-06</v>
      </c>
      <c r="AG367" s="98" t="str">
        <f t="shared" si="215"/>
        <v>0.1943631575527i</v>
      </c>
      <c r="AH367" s="98">
        <f t="shared" si="229"/>
        <v>0.19436315755270001</v>
      </c>
      <c r="AI367" s="98">
        <f t="shared" si="230"/>
        <v>1.5707963267948966</v>
      </c>
      <c r="AJ367" s="98" t="str">
        <f t="shared" si="216"/>
        <v>1+1.93975013550585i</v>
      </c>
      <c r="AK367" s="98">
        <f t="shared" si="231"/>
        <v>2.1823452037189175</v>
      </c>
      <c r="AL367" s="98">
        <f t="shared" si="232"/>
        <v>1.0948017971073645</v>
      </c>
      <c r="AM367" s="98" t="str">
        <f t="shared" si="217"/>
        <v>1+1941.68988564136i</v>
      </c>
      <c r="AN367" s="98">
        <f t="shared" si="233"/>
        <v>1941.6901431489932</v>
      </c>
      <c r="AO367" s="98">
        <f t="shared" si="234"/>
        <v>1.5702813115398957</v>
      </c>
      <c r="AP367" s="168" t="str">
        <f t="shared" si="235"/>
        <v>-0.0208506158220956+0.0404961789757168i</v>
      </c>
      <c r="AQ367" s="98">
        <f t="shared" si="236"/>
        <v>-26.830470601947532</v>
      </c>
      <c r="AR367" s="169">
        <f t="shared" si="237"/>
        <v>117.24296942191376</v>
      </c>
      <c r="AS367" s="168" t="str">
        <f t="shared" si="238"/>
        <v>-0.0284757909758439+0.0138377900110494i</v>
      </c>
      <c r="AT367" s="190">
        <f t="shared" si="239"/>
        <v>-29.989783938122841</v>
      </c>
      <c r="AU367" s="169">
        <f t="shared" si="240"/>
        <v>154.08259911778964</v>
      </c>
      <c r="AV367" s="225"/>
      <c r="AX367">
        <f t="shared" si="241"/>
        <v>0</v>
      </c>
      <c r="AY367">
        <f t="shared" si="242"/>
        <v>0</v>
      </c>
    </row>
    <row r="368" spans="14:51" x14ac:dyDescent="0.55000000000000004">
      <c r="N368" s="170">
        <v>50</v>
      </c>
      <c r="O368" s="199">
        <f t="shared" si="208"/>
        <v>31622.77660168384</v>
      </c>
      <c r="P368" s="189" t="str">
        <f t="shared" si="209"/>
        <v>1078.86904761905</v>
      </c>
      <c r="Q368" s="160" t="str">
        <f t="shared" si="210"/>
        <v>1+6209.11766612256i</v>
      </c>
      <c r="R368" s="160">
        <f t="shared" si="218"/>
        <v>6209.1177466492982</v>
      </c>
      <c r="S368" s="160">
        <f t="shared" si="219"/>
        <v>1.5706352733175548</v>
      </c>
      <c r="T368" s="160" t="str">
        <f t="shared" si="211"/>
        <v>1+0.00397383530631844i</v>
      </c>
      <c r="U368" s="160">
        <f t="shared" si="220"/>
        <v>1.0000078956523502</v>
      </c>
      <c r="V368" s="160">
        <f t="shared" si="221"/>
        <v>3.9738143890859978E-3</v>
      </c>
      <c r="W368" s="98" t="str">
        <f t="shared" si="212"/>
        <v>1-2.87403664694175i</v>
      </c>
      <c r="X368" s="160">
        <f t="shared" si="222"/>
        <v>3.0430390480511713</v>
      </c>
      <c r="Y368" s="160">
        <f t="shared" si="223"/>
        <v>-1.2359554877402441</v>
      </c>
      <c r="Z368" s="98" t="str">
        <f t="shared" si="213"/>
        <v>-0.81077410593029+0.228291503665338i</v>
      </c>
      <c r="AA368" s="160">
        <f t="shared" si="224"/>
        <v>0.84230140774715689</v>
      </c>
      <c r="AB368" s="160">
        <f t="shared" si="225"/>
        <v>2.8671265830287949</v>
      </c>
      <c r="AC368" s="171" t="str">
        <f t="shared" si="226"/>
        <v>0.513288008216997+0.361382618514124i</v>
      </c>
      <c r="AD368" s="190">
        <f t="shared" si="227"/>
        <v>-4.0443546886664876</v>
      </c>
      <c r="AE368" s="169">
        <f t="shared" si="228"/>
        <v>35.147624826726464</v>
      </c>
      <c r="AF368" s="98" t="str">
        <f t="shared" si="214"/>
        <v>-9.95024875621891E-06</v>
      </c>
      <c r="AG368" s="98" t="str">
        <f t="shared" si="215"/>
        <v>0.198890457081238i</v>
      </c>
      <c r="AH368" s="98">
        <f t="shared" si="229"/>
        <v>0.19889045708123801</v>
      </c>
      <c r="AI368" s="98">
        <f t="shared" si="230"/>
        <v>1.5707963267948966</v>
      </c>
      <c r="AJ368" s="98" t="str">
        <f t="shared" si="216"/>
        <v>1+1.98493272043878i</v>
      </c>
      <c r="AK368" s="98">
        <f t="shared" si="231"/>
        <v>2.2226016072765935</v>
      </c>
      <c r="AL368" s="98">
        <f t="shared" si="232"/>
        <v>1.1041169992138358</v>
      </c>
      <c r="AM368" s="98" t="str">
        <f t="shared" si="217"/>
        <v>1+1986.91765315922i</v>
      </c>
      <c r="AN368" s="98">
        <f t="shared" si="233"/>
        <v>1986.9179048052645</v>
      </c>
      <c r="AO368" s="98">
        <f t="shared" si="234"/>
        <v>1.5702930347163468</v>
      </c>
      <c r="AP368" s="168" t="str">
        <f t="shared" si="235"/>
        <v>-0.0201021511950877+0.0399514464475621i</v>
      </c>
      <c r="AQ368" s="98">
        <f t="shared" si="236"/>
        <v>-26.989234166082724</v>
      </c>
      <c r="AR368" s="169">
        <f t="shared" si="237"/>
        <v>116.70991934443481</v>
      </c>
      <c r="AS368" s="168" t="str">
        <f t="shared" si="238"/>
        <v>-0.0247559514784503+0.0132420303358096i</v>
      </c>
      <c r="AT368" s="190">
        <f t="shared" si="239"/>
        <v>-31.033588854749201</v>
      </c>
      <c r="AU368" s="169">
        <f t="shared" si="240"/>
        <v>151.85754417116121</v>
      </c>
      <c r="AV368" s="225"/>
      <c r="AX368">
        <f t="shared" si="241"/>
        <v>0</v>
      </c>
      <c r="AY368">
        <f t="shared" si="242"/>
        <v>0</v>
      </c>
    </row>
    <row r="369" spans="14:51" x14ac:dyDescent="0.55000000000000004">
      <c r="N369" s="170">
        <v>51</v>
      </c>
      <c r="O369" s="199">
        <f t="shared" si="208"/>
        <v>32359.365692962871</v>
      </c>
      <c r="P369" s="189" t="str">
        <f t="shared" si="209"/>
        <v>1078.86904761905</v>
      </c>
      <c r="Q369" s="160" t="str">
        <f t="shared" si="210"/>
        <v>1+6353.74659598984i</v>
      </c>
      <c r="R369" s="160">
        <f t="shared" si="218"/>
        <v>6353.7466746835671</v>
      </c>
      <c r="S369" s="160">
        <f t="shared" si="219"/>
        <v>1.5706389393422124</v>
      </c>
      <c r="T369" s="160" t="str">
        <f t="shared" si="211"/>
        <v>1+0.0040663978214335i</v>
      </c>
      <c r="U369" s="160">
        <f t="shared" si="220"/>
        <v>1.0000082677614432</v>
      </c>
      <c r="V369" s="160">
        <f t="shared" si="221"/>
        <v>4.0663754082251339E-3</v>
      </c>
      <c r="W369" s="98" t="str">
        <f t="shared" si="212"/>
        <v>1-2.94098156037357i</v>
      </c>
      <c r="X369" s="160">
        <f t="shared" si="222"/>
        <v>3.1063439182513832</v>
      </c>
      <c r="Y369" s="160">
        <f t="shared" si="223"/>
        <v>-1.2430376219511221</v>
      </c>
      <c r="Z369" s="98" t="str">
        <f t="shared" si="213"/>
        <v>-0.89611326039095+0.233609095897977i</v>
      </c>
      <c r="AA369" s="160">
        <f t="shared" si="224"/>
        <v>0.92606273282902851</v>
      </c>
      <c r="AB369" s="160">
        <f t="shared" si="225"/>
        <v>2.8865770044453543</v>
      </c>
      <c r="AC369" s="171" t="str">
        <f t="shared" si="226"/>
        <v>0.474232866323901+0.315467628021055i</v>
      </c>
      <c r="AD369" s="190">
        <f t="shared" si="227"/>
        <v>-4.8889688360895303</v>
      </c>
      <c r="AE369" s="169">
        <f t="shared" si="228"/>
        <v>33.632514677581888</v>
      </c>
      <c r="AF369" s="98" t="str">
        <f t="shared" si="214"/>
        <v>-9.95024875621891E-06</v>
      </c>
      <c r="AG369" s="98" t="str">
        <f t="shared" si="215"/>
        <v>0.203523210962747i</v>
      </c>
      <c r="AH369" s="98">
        <f t="shared" si="229"/>
        <v>0.203523210962747</v>
      </c>
      <c r="AI369" s="98">
        <f t="shared" si="230"/>
        <v>1.5707963267948966</v>
      </c>
      <c r="AJ369" s="98" t="str">
        <f t="shared" si="216"/>
        <v>1+2.03116774297378i</v>
      </c>
      <c r="AK369" s="98">
        <f t="shared" si="231"/>
        <v>2.2639881625346896</v>
      </c>
      <c r="AL369" s="98">
        <f t="shared" si="232"/>
        <v>1.1133054312820869</v>
      </c>
      <c r="AM369" s="98" t="str">
        <f t="shared" si="217"/>
        <v>1+2033.19891071675i</v>
      </c>
      <c r="AN369" s="98">
        <f t="shared" si="233"/>
        <v>2033.1991566346323</v>
      </c>
      <c r="AO369" s="98">
        <f t="shared" si="234"/>
        <v>1.5703044910408566</v>
      </c>
      <c r="AP369" s="168" t="str">
        <f t="shared" si="235"/>
        <v>-0.0193739190028417+0.039400569328509i</v>
      </c>
      <c r="AQ369" s="98">
        <f t="shared" si="236"/>
        <v>-27.149484769637514</v>
      </c>
      <c r="AR369" s="169">
        <f t="shared" si="237"/>
        <v>116.1841173656244</v>
      </c>
      <c r="AS369" s="168" t="str">
        <f t="shared" si="238"/>
        <v>-0.0216173532893886+0.0125732006541539i</v>
      </c>
      <c r="AT369" s="190">
        <f t="shared" si="239"/>
        <v>-32.038453605727035</v>
      </c>
      <c r="AU369" s="169">
        <f t="shared" si="240"/>
        <v>149.81663204320628</v>
      </c>
      <c r="AV369" s="225"/>
      <c r="AX369">
        <f t="shared" si="241"/>
        <v>0</v>
      </c>
      <c r="AY369">
        <f t="shared" si="242"/>
        <v>0</v>
      </c>
    </row>
    <row r="370" spans="14:51" x14ac:dyDescent="0.55000000000000004">
      <c r="N370" s="170">
        <v>52</v>
      </c>
      <c r="O370" s="199">
        <f t="shared" si="208"/>
        <v>33113.11214825909</v>
      </c>
      <c r="P370" s="189" t="str">
        <f t="shared" si="209"/>
        <v>1078.86904761905</v>
      </c>
      <c r="Q370" s="160" t="str">
        <f t="shared" si="210"/>
        <v>1+6501.74436640409i</v>
      </c>
      <c r="R370" s="160">
        <f t="shared" si="218"/>
        <v>6501.7444433065284</v>
      </c>
      <c r="S370" s="160">
        <f t="shared" si="219"/>
        <v>1.5706425219179652</v>
      </c>
      <c r="T370" s="160" t="str">
        <f t="shared" si="211"/>
        <v>1+0.00416111639449862i</v>
      </c>
      <c r="U370" s="160">
        <f t="shared" si="220"/>
        <v>1.000008657407349</v>
      </c>
      <c r="V370" s="160">
        <f t="shared" si="221"/>
        <v>4.1610923783243934E-3</v>
      </c>
      <c r="W370" s="98" t="str">
        <f t="shared" si="212"/>
        <v>1-3.00948582115718i</v>
      </c>
      <c r="X370" s="160">
        <f t="shared" si="222"/>
        <v>3.1712781189523738</v>
      </c>
      <c r="Y370" s="160">
        <f t="shared" si="223"/>
        <v>-1.2499916624678606</v>
      </c>
      <c r="Z370" s="98" t="str">
        <f t="shared" si="213"/>
        <v>-0.98547432529323+0.239050550765442i</v>
      </c>
      <c r="AA370" s="160">
        <f t="shared" si="224"/>
        <v>1.0140536532321198</v>
      </c>
      <c r="AB370" s="160">
        <f t="shared" si="225"/>
        <v>2.9036151885145447</v>
      </c>
      <c r="AC370" s="171" t="str">
        <f t="shared" si="226"/>
        <v>0.438817588779216+0.277013390292925i</v>
      </c>
      <c r="AD370" s="190">
        <f t="shared" si="227"/>
        <v>-5.6976800951440856</v>
      </c>
      <c r="AE370" s="169">
        <f t="shared" si="228"/>
        <v>32.263083083842602</v>
      </c>
      <c r="AF370" s="98" t="str">
        <f t="shared" si="214"/>
        <v>-9.95024875621891E-06</v>
      </c>
      <c r="AG370" s="98" t="str">
        <f t="shared" si="215"/>
        <v>0.208263875544656i</v>
      </c>
      <c r="AH370" s="98">
        <f t="shared" si="229"/>
        <v>0.208263875544656</v>
      </c>
      <c r="AI370" s="98">
        <f t="shared" si="230"/>
        <v>1.5707963267948966</v>
      </c>
      <c r="AJ370" s="98" t="str">
        <f t="shared" si="216"/>
        <v>1+2.07847971753178i</v>
      </c>
      <c r="AK370" s="98">
        <f t="shared" si="231"/>
        <v>2.306529413684332</v>
      </c>
      <c r="AL370" s="98">
        <f t="shared" si="232"/>
        <v>1.1223657581611173</v>
      </c>
      <c r="AM370" s="98" t="str">
        <f t="shared" si="217"/>
        <v>1+2080.55819724931i</v>
      </c>
      <c r="AN370" s="98">
        <f t="shared" si="233"/>
        <v>2080.5584375694184</v>
      </c>
      <c r="AO370" s="98">
        <f t="shared" si="234"/>
        <v>1.5703156865877075</v>
      </c>
      <c r="AP370" s="168" t="str">
        <f t="shared" si="235"/>
        <v>-0.0186658507428019+0.0388443693021869i</v>
      </c>
      <c r="AQ370" s="98">
        <f t="shared" si="236"/>
        <v>-27.311181726580326</v>
      </c>
      <c r="AR370" s="169">
        <f t="shared" si="237"/>
        <v>115.66564033203095</v>
      </c>
      <c r="AS370" s="168" t="str">
        <f t="shared" si="238"/>
        <v>-0.0189513140496583+0.0118749018778698i</v>
      </c>
      <c r="AT370" s="190">
        <f t="shared" si="239"/>
        <v>-33.008861821724402</v>
      </c>
      <c r="AU370" s="169">
        <f t="shared" si="240"/>
        <v>147.92872341587352</v>
      </c>
      <c r="AV370" s="225"/>
      <c r="AX370">
        <f t="shared" si="241"/>
        <v>0</v>
      </c>
      <c r="AY370">
        <f t="shared" si="242"/>
        <v>0</v>
      </c>
    </row>
    <row r="371" spans="14:51" x14ac:dyDescent="0.55000000000000004">
      <c r="N371" s="170">
        <v>53</v>
      </c>
      <c r="O371" s="199">
        <f t="shared" si="208"/>
        <v>33884.41561392029</v>
      </c>
      <c r="P371" s="189" t="str">
        <f t="shared" si="209"/>
        <v>1078.86904761905</v>
      </c>
      <c r="Q371" s="160" t="str">
        <f t="shared" si="210"/>
        <v>1+6653.18944774222i</v>
      </c>
      <c r="R371" s="160">
        <f t="shared" si="218"/>
        <v>6653.1895228941448</v>
      </c>
      <c r="S371" s="160">
        <f t="shared" si="219"/>
        <v>1.5706460229443413</v>
      </c>
      <c r="T371" s="160" t="str">
        <f t="shared" si="211"/>
        <v>1+0.00425804124655502i</v>
      </c>
      <c r="U371" s="160">
        <f t="shared" si="220"/>
        <v>1.0000090654165379</v>
      </c>
      <c r="V371" s="160">
        <f t="shared" si="221"/>
        <v>4.2580155127732982E-3</v>
      </c>
      <c r="W371" s="98" t="str">
        <f t="shared" si="212"/>
        <v>1-3.07958575115845i</v>
      </c>
      <c r="X371" s="160">
        <f t="shared" si="222"/>
        <v>3.2378771438611063</v>
      </c>
      <c r="Y371" s="160">
        <f t="shared" si="223"/>
        <v>-1.2568186052144046</v>
      </c>
      <c r="Z371" s="98" t="str">
        <f t="shared" si="213"/>
        <v>-1.07904684743666+0.244618753399133i</v>
      </c>
      <c r="AA371" s="160">
        <f t="shared" si="224"/>
        <v>1.1064268766970278</v>
      </c>
      <c r="AB371" s="160">
        <f t="shared" si="225"/>
        <v>2.9186617456292043</v>
      </c>
      <c r="AC371" s="171" t="str">
        <f t="shared" si="226"/>
        <v>0.406702534200981+0.244518180791997i</v>
      </c>
      <c r="AD371" s="190">
        <f t="shared" si="227"/>
        <v>-6.4743915027743366</v>
      </c>
      <c r="AE371" s="169">
        <f t="shared" si="228"/>
        <v>31.015176551121396</v>
      </c>
      <c r="AF371" s="98" t="str">
        <f t="shared" si="214"/>
        <v>-9.95024875621891E-06</v>
      </c>
      <c r="AG371" s="98" t="str">
        <f t="shared" si="215"/>
        <v>0.213114964390078i</v>
      </c>
      <c r="AH371" s="98">
        <f t="shared" si="229"/>
        <v>0.21311496439007799</v>
      </c>
      <c r="AI371" s="98">
        <f t="shared" si="230"/>
        <v>1.5707963267948966</v>
      </c>
      <c r="AJ371" s="98" t="str">
        <f t="shared" si="216"/>
        <v>1+2.12689372954796i</v>
      </c>
      <c r="AK371" s="98">
        <f t="shared" si="231"/>
        <v>2.350250398742745</v>
      </c>
      <c r="AL371" s="98">
        <f t="shared" si="232"/>
        <v>1.1312968327178676</v>
      </c>
      <c r="AM371" s="98" t="str">
        <f t="shared" si="217"/>
        <v>1+2129.02062327751i</v>
      </c>
      <c r="AN371" s="98">
        <f t="shared" si="233"/>
        <v>2129.020858127265</v>
      </c>
      <c r="AO371" s="98">
        <f t="shared" si="234"/>
        <v>1.5703266272929155</v>
      </c>
      <c r="AP371" s="168" t="str">
        <f t="shared" si="235"/>
        <v>-0.0179778400933628+0.0382836449480974i</v>
      </c>
      <c r="AQ371" s="98">
        <f t="shared" si="236"/>
        <v>-27.474284527331939</v>
      </c>
      <c r="AR371" s="169">
        <f t="shared" si="237"/>
        <v>115.15455430964573</v>
      </c>
      <c r="AS371" s="168" t="str">
        <f t="shared" si="238"/>
        <v>-0.0166726803422262+0.0111741466646433i</v>
      </c>
      <c r="AT371" s="190">
        <f t="shared" si="239"/>
        <v>-33.948676030106256</v>
      </c>
      <c r="AU371" s="169">
        <f t="shared" si="240"/>
        <v>146.1697308607672</v>
      </c>
      <c r="AV371" s="225"/>
      <c r="AX371">
        <f t="shared" si="241"/>
        <v>0</v>
      </c>
      <c r="AY371">
        <f t="shared" si="242"/>
        <v>0</v>
      </c>
    </row>
    <row r="372" spans="14:51" x14ac:dyDescent="0.55000000000000004">
      <c r="N372" s="170">
        <v>54</v>
      </c>
      <c r="O372" s="199">
        <f t="shared" si="208"/>
        <v>34673.685045253202</v>
      </c>
      <c r="P372" s="189" t="str">
        <f t="shared" si="209"/>
        <v>1078.86904761905</v>
      </c>
      <c r="Q372" s="160" t="str">
        <f t="shared" si="210"/>
        <v>1+6808.16213819084i</v>
      </c>
      <c r="R372" s="160">
        <f t="shared" si="218"/>
        <v>6808.1622116320987</v>
      </c>
      <c r="S372" s="160">
        <f t="shared" si="219"/>
        <v>1.5706494442776313</v>
      </c>
      <c r="T372" s="160" t="str">
        <f t="shared" si="211"/>
        <v>1+0.00435722376844214i</v>
      </c>
      <c r="U372" s="160">
        <f t="shared" si="220"/>
        <v>1.000009492654429</v>
      </c>
      <c r="V372" s="160">
        <f t="shared" si="221"/>
        <v>4.3571961942123648E-3</v>
      </c>
      <c r="W372" s="98" t="str">
        <f t="shared" si="212"/>
        <v>1-3.15131851828809i</v>
      </c>
      <c r="X372" s="160">
        <f t="shared" si="222"/>
        <v>3.3061773097802001</v>
      </c>
      <c r="Y372" s="160">
        <f t="shared" si="223"/>
        <v>-1.2635195235827563</v>
      </c>
      <c r="Z372" s="98" t="str">
        <f t="shared" si="213"/>
        <v>-1.17702930668613+0.250316656133785i</v>
      </c>
      <c r="AA372" s="160">
        <f t="shared" si="224"/>
        <v>1.2033521584041935</v>
      </c>
      <c r="AB372" s="160">
        <f t="shared" si="225"/>
        <v>2.9320463721736827</v>
      </c>
      <c r="AC372" s="171" t="str">
        <f t="shared" si="226"/>
        <v>0.377550529955346+0.216836864719536i</v>
      </c>
      <c r="AD372" s="190">
        <f t="shared" si="227"/>
        <v>-7.2224727778468125</v>
      </c>
      <c r="AE372" s="169">
        <f t="shared" si="228"/>
        <v>29.869846204893751</v>
      </c>
      <c r="AF372" s="98" t="str">
        <f t="shared" si="214"/>
        <v>-9.95024875621891E-06</v>
      </c>
      <c r="AG372" s="98" t="str">
        <f t="shared" si="215"/>
        <v>0.21807904961053i</v>
      </c>
      <c r="AH372" s="98">
        <f t="shared" si="229"/>
        <v>0.21807904961053001</v>
      </c>
      <c r="AI372" s="98">
        <f t="shared" si="230"/>
        <v>1.5707963267948966</v>
      </c>
      <c r="AJ372" s="98" t="str">
        <f t="shared" si="216"/>
        <v>1+2.1764354487723i</v>
      </c>
      <c r="AK372" s="98">
        <f t="shared" si="231"/>
        <v>2.3951766662759306</v>
      </c>
      <c r="AL372" s="98">
        <f t="shared" si="232"/>
        <v>1.1400976902936799</v>
      </c>
      <c r="AM372" s="98" t="str">
        <f t="shared" si="217"/>
        <v>1+2178.61188422107i</v>
      </c>
      <c r="AN372" s="98">
        <f t="shared" si="233"/>
        <v>2178.6121137249929</v>
      </c>
      <c r="AO372" s="98">
        <f t="shared" si="234"/>
        <v>1.570337318957377</v>
      </c>
      <c r="AP372" s="168" t="str">
        <f t="shared" si="235"/>
        <v>-0.0173097453559992+0.0377191702000717i</v>
      </c>
      <c r="AQ372" s="98">
        <f t="shared" si="236"/>
        <v>-27.638752912479724</v>
      </c>
      <c r="AR372" s="169">
        <f t="shared" si="237"/>
        <v>114.65091490170552</v>
      </c>
      <c r="AS372" s="168" t="str">
        <f t="shared" si="238"/>
        <v>-0.0147142101385557+0.0104875017864245i</v>
      </c>
      <c r="AT372" s="190">
        <f t="shared" si="239"/>
        <v>-34.861225690326542</v>
      </c>
      <c r="AU372" s="169">
        <f t="shared" si="240"/>
        <v>144.52076110659942</v>
      </c>
      <c r="AV372" s="225"/>
      <c r="AX372">
        <f t="shared" si="241"/>
        <v>0</v>
      </c>
      <c r="AY372">
        <f t="shared" si="242"/>
        <v>0</v>
      </c>
    </row>
    <row r="373" spans="14:51" x14ac:dyDescent="0.55000000000000004">
      <c r="N373" s="170">
        <v>55</v>
      </c>
      <c r="O373" s="199">
        <f t="shared" si="208"/>
        <v>35481.33892335758</v>
      </c>
      <c r="P373" s="189" t="str">
        <f t="shared" si="209"/>
        <v>1078.86904761905</v>
      </c>
      <c r="Q373" s="160" t="str">
        <f t="shared" si="210"/>
        <v>1+6966.74460632187i</v>
      </c>
      <c r="R373" s="160">
        <f t="shared" si="218"/>
        <v>6966.7446780914024</v>
      </c>
      <c r="S373" s="160">
        <f t="shared" si="219"/>
        <v>1.5706527877318708</v>
      </c>
      <c r="T373" s="160" t="str">
        <f t="shared" si="211"/>
        <v>1+0.004458716548046i</v>
      </c>
      <c r="U373" s="160">
        <f t="shared" si="220"/>
        <v>1.0000099400272258</v>
      </c>
      <c r="V373" s="160">
        <f t="shared" si="221"/>
        <v>4.4586870017423305E-3</v>
      </c>
      <c r="W373" s="98" t="str">
        <f t="shared" si="212"/>
        <v>1-3.22472215620879i</v>
      </c>
      <c r="X373" s="160">
        <f t="shared" si="222"/>
        <v>3.3762157787593887</v>
      </c>
      <c r="Y373" s="160">
        <f t="shared" si="223"/>
        <v>-1.2700955625528987</v>
      </c>
      <c r="Z373" s="98" t="str">
        <f t="shared" si="213"/>
        <v>-1.27962953697452+0.256147280072855i</v>
      </c>
      <c r="AA373" s="160">
        <f t="shared" si="224"/>
        <v>1.3050146286484097</v>
      </c>
      <c r="AB373" s="160">
        <f t="shared" si="225"/>
        <v>2.9440307555500098</v>
      </c>
      <c r="AC373" s="171" t="str">
        <f t="shared" si="226"/>
        <v>0.351045917790894+0.193085166627732i</v>
      </c>
      <c r="AD373" s="190">
        <f t="shared" si="227"/>
        <v>-7.9448405770490744</v>
      </c>
      <c r="AE373" s="169">
        <f t="shared" si="228"/>
        <v>28.812035767574674</v>
      </c>
      <c r="AF373" s="98" t="str">
        <f t="shared" si="214"/>
        <v>-9.95024875621891E-06</v>
      </c>
      <c r="AG373" s="98" t="str">
        <f t="shared" si="215"/>
        <v>0.223158763229702i</v>
      </c>
      <c r="AH373" s="98">
        <f t="shared" si="229"/>
        <v>0.22315876322970199</v>
      </c>
      <c r="AI373" s="98">
        <f t="shared" si="230"/>
        <v>1.5707963267948966</v>
      </c>
      <c r="AJ373" s="98" t="str">
        <f t="shared" si="216"/>
        <v>1+2.22713114288012i</v>
      </c>
      <c r="AK373" s="98">
        <f t="shared" si="231"/>
        <v>2.4413342924692865</v>
      </c>
      <c r="AL373" s="98">
        <f t="shared" si="232"/>
        <v>1.1487675428297524</v>
      </c>
      <c r="AM373" s="98" t="str">
        <f t="shared" si="217"/>
        <v>1+2229.358274023i</v>
      </c>
      <c r="AN373" s="98">
        <f t="shared" si="233"/>
        <v>2229.3584983027763</v>
      </c>
      <c r="AO373" s="98">
        <f t="shared" si="234"/>
        <v>1.5703477672499444</v>
      </c>
      <c r="AP373" s="168" t="str">
        <f t="shared" si="235"/>
        <v>-0.0166613919184495+0.0371516930306406i</v>
      </c>
      <c r="AQ373" s="98">
        <f t="shared" si="236"/>
        <v>-27.804546941549283</v>
      </c>
      <c r="AR373" s="169">
        <f t="shared" si="237"/>
        <v>114.15476758545512</v>
      </c>
      <c r="AS373" s="168" t="str">
        <f t="shared" si="238"/>
        <v>-0.0130223544570095+0.00982488254260302i</v>
      </c>
      <c r="AT373" s="190">
        <f t="shared" si="239"/>
        <v>-35.749387518598347</v>
      </c>
      <c r="AU373" s="169">
        <f t="shared" si="240"/>
        <v>142.96680335302983</v>
      </c>
      <c r="AV373" s="225"/>
      <c r="AX373">
        <f t="shared" si="241"/>
        <v>0</v>
      </c>
      <c r="AY373">
        <f t="shared" si="242"/>
        <v>0</v>
      </c>
    </row>
    <row r="374" spans="14:51" x14ac:dyDescent="0.55000000000000004">
      <c r="N374" s="170">
        <v>56</v>
      </c>
      <c r="O374" s="199">
        <f t="shared" si="208"/>
        <v>36307.805477010232</v>
      </c>
      <c r="P374" s="189" t="str">
        <f t="shared" si="209"/>
        <v>1078.86904761905</v>
      </c>
      <c r="Q374" s="160" t="str">
        <f t="shared" si="210"/>
        <v>1+7129.02093465891i</v>
      </c>
      <c r="R374" s="160">
        <f t="shared" si="218"/>
        <v>7129.0210047947667</v>
      </c>
      <c r="S374" s="160">
        <f t="shared" si="219"/>
        <v>1.5706560550798032</v>
      </c>
      <c r="T374" s="160" t="str">
        <f t="shared" si="211"/>
        <v>1+0.0045625733981817i</v>
      </c>
      <c r="U374" s="160">
        <f t="shared" si="220"/>
        <v>1.0000104084838386</v>
      </c>
      <c r="V374" s="160">
        <f t="shared" si="221"/>
        <v>4.5625417387647168E-3</v>
      </c>
      <c r="W374" s="98" t="str">
        <f t="shared" si="212"/>
        <v>1-3.29983558450093i</v>
      </c>
      <c r="X374" s="160">
        <f t="shared" si="222"/>
        <v>3.4480305805979441</v>
      </c>
      <c r="Y374" s="160">
        <f t="shared" si="223"/>
        <v>-1.2765479330039693</v>
      </c>
      <c r="Z374" s="98" t="str">
        <f t="shared" si="213"/>
        <v>-1.38706516714607+0.262113716690328i</v>
      </c>
      <c r="AA374" s="160">
        <f t="shared" si="224"/>
        <v>1.4116137497159673</v>
      </c>
      <c r="AB374" s="160">
        <f t="shared" si="225"/>
        <v>2.9548249986995816</v>
      </c>
      <c r="AC374" s="171" t="str">
        <f t="shared" si="226"/>
        <v>0.326902055999565+0.172572088276483i</v>
      </c>
      <c r="AD374" s="190">
        <f t="shared" si="227"/>
        <v>-8.6440282292300523</v>
      </c>
      <c r="AE374" s="169">
        <f t="shared" si="228"/>
        <v>27.829640830232108</v>
      </c>
      <c r="AF374" s="98" t="str">
        <f t="shared" si="214"/>
        <v>-9.95024875621891E-06</v>
      </c>
      <c r="AG374" s="98" t="str">
        <f t="shared" si="215"/>
        <v>0.228356798578994i</v>
      </c>
      <c r="AH374" s="98">
        <f t="shared" si="229"/>
        <v>0.22835679857899399</v>
      </c>
      <c r="AI374" s="98">
        <f t="shared" si="230"/>
        <v>1.5707963267948966</v>
      </c>
      <c r="AJ374" s="98" t="str">
        <f t="shared" si="216"/>
        <v>1+2.27900769139945i</v>
      </c>
      <c r="AK374" s="98">
        <f t="shared" si="231"/>
        <v>2.4887498985349756</v>
      </c>
      <c r="AL374" s="98">
        <f t="shared" si="232"/>
        <v>1.1573057727130129</v>
      </c>
      <c r="AM374" s="98" t="str">
        <f t="shared" si="217"/>
        <v>1+2281.28669909085i</v>
      </c>
      <c r="AN374" s="98">
        <f t="shared" si="233"/>
        <v>2281.2869182653958</v>
      </c>
      <c r="AO374" s="98">
        <f t="shared" si="234"/>
        <v>1.5703579777104311</v>
      </c>
      <c r="AP374" s="168" t="str">
        <f t="shared" si="235"/>
        <v>-0.0160325747199035+0.0365819343534612i</v>
      </c>
      <c r="AQ374" s="98">
        <f t="shared" si="236"/>
        <v>-27.971627056810174</v>
      </c>
      <c r="AR374" s="169">
        <f t="shared" si="237"/>
        <v>113.66614806492454</v>
      </c>
      <c r="AS374" s="168" t="str">
        <f t="shared" si="238"/>
        <v>-0.0115541024434731+0.00919193465272509i</v>
      </c>
      <c r="AT374" s="190">
        <f t="shared" si="239"/>
        <v>-36.61565528604023</v>
      </c>
      <c r="AU374" s="169">
        <f t="shared" si="240"/>
        <v>141.49578889515661</v>
      </c>
      <c r="AV374" s="225"/>
      <c r="AX374">
        <f t="shared" si="241"/>
        <v>0</v>
      </c>
      <c r="AY374">
        <f t="shared" si="242"/>
        <v>0</v>
      </c>
    </row>
    <row r="375" spans="14:51" x14ac:dyDescent="0.55000000000000004">
      <c r="N375" s="170">
        <v>57</v>
      </c>
      <c r="O375" s="199">
        <f t="shared" si="208"/>
        <v>37153.522909717351</v>
      </c>
      <c r="P375" s="189" t="str">
        <f t="shared" si="209"/>
        <v>1078.86904761905</v>
      </c>
      <c r="Q375" s="160" t="str">
        <f t="shared" si="210"/>
        <v>1+7295.07716425925i</v>
      </c>
      <c r="R375" s="160">
        <f t="shared" si="218"/>
        <v>7295.0772327986215</v>
      </c>
      <c r="S375" s="160">
        <f t="shared" si="219"/>
        <v>1.5706592480538195</v>
      </c>
      <c r="T375" s="160" t="str">
        <f t="shared" si="211"/>
        <v>1+0.00466884938512592i</v>
      </c>
      <c r="U375" s="160">
        <f t="shared" si="220"/>
        <v>1.0000108990178962</v>
      </c>
      <c r="V375" s="160">
        <f t="shared" si="221"/>
        <v>4.6688154614693989E-3</v>
      </c>
      <c r="W375" s="98" t="str">
        <f t="shared" si="212"/>
        <v>1-3.37669862929847i</v>
      </c>
      <c r="X375" s="160">
        <f t="shared" si="222"/>
        <v>3.5216606357095461</v>
      </c>
      <c r="Y375" s="160">
        <f t="shared" si="223"/>
        <v>-1.2828779062245579</v>
      </c>
      <c r="Z375" s="98" t="str">
        <f t="shared" si="213"/>
        <v>-1.49956408257654+0.268219129469875i</v>
      </c>
      <c r="AA375" s="160">
        <f t="shared" si="224"/>
        <v>1.523362707685598</v>
      </c>
      <c r="AB375" s="160">
        <f t="shared" si="225"/>
        <v>2.9645995711766933</v>
      </c>
      <c r="AC375" s="171" t="str">
        <f t="shared" si="226"/>
        <v>0.30486298040623+0.154751627212081i</v>
      </c>
      <c r="AD375" s="190">
        <f t="shared" si="227"/>
        <v>-9.3222448812733862</v>
      </c>
      <c r="AE375" s="169">
        <f t="shared" si="228"/>
        <v>26.9128244226271</v>
      </c>
      <c r="AF375" s="98" t="str">
        <f t="shared" si="214"/>
        <v>-9.95024875621891E-06</v>
      </c>
      <c r="AG375" s="98" t="str">
        <f t="shared" si="215"/>
        <v>0.233675911725553i</v>
      </c>
      <c r="AH375" s="98">
        <f t="shared" si="229"/>
        <v>0.23367591172555299</v>
      </c>
      <c r="AI375" s="98">
        <f t="shared" si="230"/>
        <v>1.5707963267948966</v>
      </c>
      <c r="AJ375" s="98" t="str">
        <f t="shared" si="216"/>
        <v>1+2.332092599963i</v>
      </c>
      <c r="AK375" s="98">
        <f t="shared" si="231"/>
        <v>2.5374506684470113</v>
      </c>
      <c r="AL375" s="98">
        <f t="shared" si="232"/>
        <v>1.1657119263920039</v>
      </c>
      <c r="AM375" s="98" t="str">
        <f t="shared" si="217"/>
        <v>1+2334.42469256296i</v>
      </c>
      <c r="AN375" s="98">
        <f t="shared" si="233"/>
        <v>2334.4249067484843</v>
      </c>
      <c r="AO375" s="98">
        <f t="shared" si="234"/>
        <v>1.5703679557525501</v>
      </c>
      <c r="AP375" s="168" t="str">
        <f t="shared" si="235"/>
        <v>-0.015423060700787+0.0360105871346003i</v>
      </c>
      <c r="AQ375" s="98">
        <f t="shared" si="236"/>
        <v>-28.139954142129007</v>
      </c>
      <c r="AR375" s="169">
        <f t="shared" si="237"/>
        <v>113.18508263688122</v>
      </c>
      <c r="AS375" s="168" t="str">
        <f t="shared" si="238"/>
        <v>-0.0102746172081699+0.008591551179995i</v>
      </c>
      <c r="AT375" s="190">
        <f t="shared" si="239"/>
        <v>-37.46219902340242</v>
      </c>
      <c r="AU375" s="169">
        <f t="shared" si="240"/>
        <v>140.09790705950817</v>
      </c>
      <c r="AV375" s="225"/>
      <c r="AX375">
        <f t="shared" si="241"/>
        <v>0</v>
      </c>
      <c r="AY375">
        <f t="shared" si="242"/>
        <v>0</v>
      </c>
    </row>
    <row r="376" spans="14:51" x14ac:dyDescent="0.55000000000000004">
      <c r="N376" s="170">
        <v>58</v>
      </c>
      <c r="O376" s="199">
        <f t="shared" si="208"/>
        <v>38018.939632056143</v>
      </c>
      <c r="P376" s="189" t="str">
        <f t="shared" si="209"/>
        <v>1078.86904761905</v>
      </c>
      <c r="Q376" s="160" t="str">
        <f t="shared" si="210"/>
        <v>1+7465.00134033384i</v>
      </c>
      <c r="R376" s="160">
        <f t="shared" si="218"/>
        <v>7465.0014073130642</v>
      </c>
      <c r="S376" s="160">
        <f t="shared" si="219"/>
        <v>1.5706623683468766</v>
      </c>
      <c r="T376" s="160" t="str">
        <f t="shared" si="211"/>
        <v>1+0.00477760085781366i</v>
      </c>
      <c r="U376" s="160">
        <f t="shared" si="220"/>
        <v>1.0000114126698538</v>
      </c>
      <c r="V376" s="160">
        <f t="shared" si="221"/>
        <v>4.7775645079831987E-3</v>
      </c>
      <c r="W376" s="98" t="str">
        <f t="shared" si="212"/>
        <v>1-3.45535204440515i</v>
      </c>
      <c r="X376" s="160">
        <f t="shared" si="222"/>
        <v>3.5971457783602334</v>
      </c>
      <c r="Y376" s="160">
        <f t="shared" si="223"/>
        <v>-1.2890868086280052</v>
      </c>
      <c r="Z376" s="98" t="str">
        <f t="shared" si="213"/>
        <v>-1.61736490854855+0.274466755582168i</v>
      </c>
      <c r="AA376" s="160">
        <f t="shared" si="224"/>
        <v>1.6404881125214108</v>
      </c>
      <c r="AB376" s="160">
        <f t="shared" si="225"/>
        <v>2.9734941261197076</v>
      </c>
      <c r="AC376" s="171" t="str">
        <f t="shared" si="226"/>
        <v>0.284702229096374+0.139187860075083i</v>
      </c>
      <c r="AD376" s="190">
        <f t="shared" si="227"/>
        <v>-9.9814250648798737</v>
      </c>
      <c r="AE376" s="169">
        <f t="shared" si="228"/>
        <v>26.053512142387223</v>
      </c>
      <c r="AF376" s="98" t="str">
        <f t="shared" si="214"/>
        <v>-9.95024875621891E-06</v>
      </c>
      <c r="AG376" s="98" t="str">
        <f t="shared" si="215"/>
        <v>0.239118922933574i</v>
      </c>
      <c r="AH376" s="98">
        <f t="shared" si="229"/>
        <v>0.23911892293357401</v>
      </c>
      <c r="AI376" s="98">
        <f t="shared" si="230"/>
        <v>1.5707963267948966</v>
      </c>
      <c r="AJ376" s="98" t="str">
        <f t="shared" si="216"/>
        <v>1+2.38641401489194i</v>
      </c>
      <c r="AK376" s="98">
        <f t="shared" si="231"/>
        <v>2.5874643669957407</v>
      </c>
      <c r="AL376" s="98">
        <f t="shared" si="232"/>
        <v>1.1739857078099609</v>
      </c>
      <c r="AM376" s="98" t="str">
        <f t="shared" si="217"/>
        <v>1+2388.80042890683i</v>
      </c>
      <c r="AN376" s="98">
        <f t="shared" si="233"/>
        <v>2388.8006382168974</v>
      </c>
      <c r="AO376" s="98">
        <f t="shared" si="234"/>
        <v>1.5703777066667834</v>
      </c>
      <c r="AP376" s="168" t="str">
        <f t="shared" si="235"/>
        <v>-0.0148325912214259+0.0354383157023635i</v>
      </c>
      <c r="AQ376" s="98">
        <f t="shared" si="236"/>
        <v>-28.309489576917684</v>
      </c>
      <c r="AR376" s="169">
        <f t="shared" si="237"/>
        <v>112.71158856725052</v>
      </c>
      <c r="AS376" s="168" t="str">
        <f t="shared" si="238"/>
        <v>-0.00915545511129245+0.00802485084440519i</v>
      </c>
      <c r="AT376" s="190">
        <f t="shared" si="239"/>
        <v>-38.290914641797556</v>
      </c>
      <c r="AU376" s="169">
        <f t="shared" si="240"/>
        <v>138.76510070963772</v>
      </c>
      <c r="AV376" s="225"/>
      <c r="AX376">
        <f t="shared" si="241"/>
        <v>0</v>
      </c>
      <c r="AY376">
        <f t="shared" si="242"/>
        <v>0</v>
      </c>
    </row>
    <row r="377" spans="14:51" x14ac:dyDescent="0.55000000000000004">
      <c r="N377" s="170">
        <v>59</v>
      </c>
      <c r="O377" s="199">
        <f t="shared" si="208"/>
        <v>38904.514499428085</v>
      </c>
      <c r="P377" s="189" t="str">
        <f t="shared" si="209"/>
        <v>1078.86904761905</v>
      </c>
      <c r="Q377" s="160" t="str">
        <f t="shared" si="210"/>
        <v>1+7638.88355893006i</v>
      </c>
      <c r="R377" s="160">
        <f t="shared" si="218"/>
        <v>7638.8836243846499</v>
      </c>
      <c r="S377" s="160">
        <f t="shared" si="219"/>
        <v>1.5706654176133947</v>
      </c>
      <c r="T377" s="160" t="str">
        <f t="shared" si="211"/>
        <v>1+0.00488888547771524i</v>
      </c>
      <c r="U377" s="160">
        <f t="shared" si="220"/>
        <v>1.0000119505291996</v>
      </c>
      <c r="V377" s="160">
        <f t="shared" si="221"/>
        <v>4.888846528195297E-3</v>
      </c>
      <c r="W377" s="98" t="str">
        <f t="shared" si="212"/>
        <v>1-3.53583753290277i</v>
      </c>
      <c r="X377" s="160">
        <f t="shared" si="222"/>
        <v>3.674526780292116</v>
      </c>
      <c r="Y377" s="160">
        <f t="shared" si="223"/>
        <v>-1.2951760166770243</v>
      </c>
      <c r="Z377" s="98" t="str">
        <f t="shared" si="213"/>
        <v>-1.74071751640782+0.280859907601267i</v>
      </c>
      <c r="AA377" s="160">
        <f t="shared" si="224"/>
        <v>1.7632299225077825</v>
      </c>
      <c r="AB377" s="160">
        <f t="shared" si="225"/>
        <v>2.9816240898449697</v>
      </c>
      <c r="AC377" s="171" t="str">
        <f t="shared" si="226"/>
        <v>0.266220412731552+0.125529383972006i</v>
      </c>
      <c r="AD377" s="190">
        <f t="shared" si="227"/>
        <v>-10.623270013050746</v>
      </c>
      <c r="AE377" s="169">
        <f t="shared" si="228"/>
        <v>25.24501489154115</v>
      </c>
      <c r="AF377" s="98" t="str">
        <f t="shared" si="214"/>
        <v>-9.95024875621891E-06</v>
      </c>
      <c r="AG377" s="98" t="str">
        <f t="shared" si="215"/>
        <v>0.244688718159648i</v>
      </c>
      <c r="AH377" s="98">
        <f t="shared" si="229"/>
        <v>0.24468871815964799</v>
      </c>
      <c r="AI377" s="98">
        <f t="shared" si="230"/>
        <v>1.5707963267948966</v>
      </c>
      <c r="AJ377" s="98" t="str">
        <f t="shared" si="216"/>
        <v>1+2.4420007381195i</v>
      </c>
      <c r="AK377" s="98">
        <f t="shared" si="231"/>
        <v>2.6388193581554953</v>
      </c>
      <c r="AL377" s="98">
        <f t="shared" si="232"/>
        <v>1.1821269716998921</v>
      </c>
      <c r="AM377" s="98" t="str">
        <f t="shared" si="217"/>
        <v>1+2444.44273885762i</v>
      </c>
      <c r="AN377" s="98">
        <f t="shared" si="233"/>
        <v>2444.4429434032086</v>
      </c>
      <c r="AO377" s="98">
        <f t="shared" si="234"/>
        <v>1.5703872356231876</v>
      </c>
      <c r="AP377" s="168" t="str">
        <f t="shared" si="235"/>
        <v>-0.0142608844355782+0.0348657552444878i</v>
      </c>
      <c r="AQ377" s="98">
        <f t="shared" si="236"/>
        <v>-28.480195285253785</v>
      </c>
      <c r="AR377" s="169">
        <f t="shared" si="237"/>
        <v>112.2456744754403</v>
      </c>
      <c r="AS377" s="168" t="str">
        <f t="shared" si="238"/>
        <v>-0.00817321531791589+0.00749181571329072i</v>
      </c>
      <c r="AT377" s="190">
        <f t="shared" si="239"/>
        <v>-39.103465298304528</v>
      </c>
      <c r="AU377" s="169">
        <f t="shared" si="240"/>
        <v>137.49068936698146</v>
      </c>
      <c r="AV377" s="225"/>
      <c r="AX377">
        <f t="shared" si="241"/>
        <v>0</v>
      </c>
      <c r="AY377">
        <f t="shared" si="242"/>
        <v>0</v>
      </c>
    </row>
    <row r="378" spans="14:51" x14ac:dyDescent="0.55000000000000004">
      <c r="N378" s="170">
        <v>60</v>
      </c>
      <c r="O378" s="199">
        <f t="shared" si="208"/>
        <v>39810.717055349742</v>
      </c>
      <c r="P378" s="189" t="str">
        <f t="shared" si="209"/>
        <v>1078.86904761905</v>
      </c>
      <c r="Q378" s="160" t="str">
        <f t="shared" si="210"/>
        <v>1+7816.81601470178i</v>
      </c>
      <c r="R378" s="160">
        <f t="shared" si="218"/>
        <v>7816.8160786664421</v>
      </c>
      <c r="S378" s="160">
        <f t="shared" si="219"/>
        <v>1.5706683974701352</v>
      </c>
      <c r="T378" s="160" t="str">
        <f t="shared" si="211"/>
        <v>1+0.00500276224940914i</v>
      </c>
      <c r="U378" s="160">
        <f t="shared" si="220"/>
        <v>1.0000125137367653</v>
      </c>
      <c r="V378" s="160">
        <f t="shared" si="221"/>
        <v>5.0027205142747985E-3</v>
      </c>
      <c r="W378" s="98" t="str">
        <f t="shared" si="212"/>
        <v>1-3.61819776926267i</v>
      </c>
      <c r="X378" s="160">
        <f t="shared" si="222"/>
        <v>3.7538453747453908</v>
      </c>
      <c r="Y378" s="160">
        <f t="shared" si="223"/>
        <v>-1.3011469520203491</v>
      </c>
      <c r="Z378" s="98" t="str">
        <f t="shared" si="213"/>
        <v>-1.86988355357378+0.287401975260996i</v>
      </c>
      <c r="AA378" s="160">
        <f t="shared" si="224"/>
        <v>1.8918415365219226</v>
      </c>
      <c r="AB378" s="160">
        <f t="shared" si="225"/>
        <v>2.9890856467569011</v>
      </c>
      <c r="AC378" s="171" t="str">
        <f t="shared" si="226"/>
        <v>0.249242353643301+0.113490387140285i</v>
      </c>
      <c r="AD378" s="190">
        <f t="shared" si="227"/>
        <v>-11.249282046726602</v>
      </c>
      <c r="AE378" s="169">
        <f t="shared" si="228"/>
        <v>24.481743542556831</v>
      </c>
      <c r="AF378" s="98" t="str">
        <f t="shared" si="214"/>
        <v>-9.95024875621891E-06</v>
      </c>
      <c r="AG378" s="98" t="str">
        <f t="shared" si="215"/>
        <v>0.250388250582928i</v>
      </c>
      <c r="AH378" s="98">
        <f t="shared" si="229"/>
        <v>0.25038825058292802</v>
      </c>
      <c r="AI378" s="98">
        <f t="shared" si="230"/>
        <v>1.5707963267948966</v>
      </c>
      <c r="AJ378" s="98" t="str">
        <f t="shared" si="216"/>
        <v>1+2.49888224246211i</v>
      </c>
      <c r="AK378" s="98">
        <f t="shared" si="231"/>
        <v>2.6915446237602048</v>
      </c>
      <c r="AL378" s="98">
        <f t="shared" si="232"/>
        <v>1.1901357167837054</v>
      </c>
      <c r="AM378" s="98" t="str">
        <f t="shared" si="217"/>
        <v>1+2501.38112470457i</v>
      </c>
      <c r="AN378" s="98">
        <f t="shared" si="233"/>
        <v>2501.3813245941328</v>
      </c>
      <c r="AO378" s="98">
        <f t="shared" si="234"/>
        <v>1.5703965476741344</v>
      </c>
      <c r="AP378" s="168" t="str">
        <f t="shared" si="235"/>
        <v>-0.0137076376065167+0.0342935114808611i</v>
      </c>
      <c r="AQ378" s="98">
        <f t="shared" si="236"/>
        <v>-28.652033780276209</v>
      </c>
      <c r="AR378" s="169">
        <f t="shared" si="237"/>
        <v>111.78734072415946</v>
      </c>
      <c r="AS378" s="168" t="str">
        <f t="shared" si="238"/>
        <v>-0.00730850775430038+0.00699171041744108i</v>
      </c>
      <c r="AT378" s="190">
        <f t="shared" si="239"/>
        <v>-39.901315827002811</v>
      </c>
      <c r="AU378" s="169">
        <f t="shared" si="240"/>
        <v>136.26908426671628</v>
      </c>
      <c r="AV378" s="225"/>
      <c r="AX378">
        <f t="shared" si="241"/>
        <v>0</v>
      </c>
      <c r="AY378">
        <f t="shared" si="242"/>
        <v>0</v>
      </c>
    </row>
    <row r="379" spans="14:51" x14ac:dyDescent="0.55000000000000004">
      <c r="N379" s="170">
        <v>61</v>
      </c>
      <c r="O379" s="199">
        <f t="shared" si="208"/>
        <v>40738.027780411358</v>
      </c>
      <c r="P379" s="189" t="str">
        <f t="shared" si="209"/>
        <v>1078.86904761905</v>
      </c>
      <c r="Q379" s="160" t="str">
        <f t="shared" si="210"/>
        <v>1+7998.89304979231i</v>
      </c>
      <c r="R379" s="160">
        <f t="shared" si="218"/>
        <v>7998.8931123009597</v>
      </c>
      <c r="S379" s="160">
        <f t="shared" si="219"/>
        <v>1.5706713094970575</v>
      </c>
      <c r="T379" s="160" t="str">
        <f t="shared" si="211"/>
        <v>1+0.00511929155186708i</v>
      </c>
      <c r="U379" s="160">
        <f t="shared" si="220"/>
        <v>1.0000131034871458</v>
      </c>
      <c r="V379" s="160">
        <f t="shared" si="221"/>
        <v>5.1192468318965734E-3</v>
      </c>
      <c r="W379" s="98" t="str">
        <f t="shared" si="212"/>
        <v>1-3.70247642197235i</v>
      </c>
      <c r="X379" s="160">
        <f t="shared" si="222"/>
        <v>3.8351442808923339</v>
      </c>
      <c r="Y379" s="160">
        <f t="shared" si="223"/>
        <v>-1.3070010768427702</v>
      </c>
      <c r="Z379" s="98" t="str">
        <f t="shared" si="213"/>
        <v>-2.00513699852887+0.294096427252224i</v>
      </c>
      <c r="AA379" s="160">
        <f t="shared" si="224"/>
        <v>2.026590015615366</v>
      </c>
      <c r="AB379" s="160">
        <f t="shared" si="225"/>
        <v>2.9959595532004877</v>
      </c>
      <c r="AC379" s="171" t="str">
        <f t="shared" si="226"/>
        <v>0.233614209930816+0.102836470968799i</v>
      </c>
      <c r="AD379" s="190">
        <f t="shared" si="227"/>
        <v>-11.860793216035839</v>
      </c>
      <c r="AE379" s="169">
        <f t="shared" si="228"/>
        <v>23.758990688853288</v>
      </c>
      <c r="AF379" s="98" t="str">
        <f t="shared" si="214"/>
        <v>-9.95024875621891E-06</v>
      </c>
      <c r="AG379" s="98" t="str">
        <f t="shared" si="215"/>
        <v>0.256220542170948i</v>
      </c>
      <c r="AH379" s="98">
        <f t="shared" si="229"/>
        <v>0.25622054217094797</v>
      </c>
      <c r="AI379" s="98">
        <f t="shared" si="230"/>
        <v>1.5707963267948966</v>
      </c>
      <c r="AJ379" s="98" t="str">
        <f t="shared" si="216"/>
        <v>1+2.55708868724629i</v>
      </c>
      <c r="AK379" s="98">
        <f t="shared" si="231"/>
        <v>2.7456697824834939</v>
      </c>
      <c r="AL379" s="98">
        <f t="shared" si="232"/>
        <v>1.1980120789146824</v>
      </c>
      <c r="AM379" s="98" t="str">
        <f t="shared" si="217"/>
        <v>1+2559.64577593354i</v>
      </c>
      <c r="AN379" s="98">
        <f t="shared" si="233"/>
        <v>2559.6459712730611</v>
      </c>
      <c r="AO379" s="98">
        <f t="shared" si="234"/>
        <v>1.5704056477569901</v>
      </c>
      <c r="AP379" s="168" t="str">
        <f t="shared" si="235"/>
        <v>-0.0131725293550001+0.0337221604994749i</v>
      </c>
      <c r="AQ379" s="98">
        <f t="shared" si="236"/>
        <v>-28.824968203983275</v>
      </c>
      <c r="AR379" s="169">
        <f t="shared" si="237"/>
        <v>111.3365798124787</v>
      </c>
      <c r="AS379" s="168" t="str">
        <f t="shared" si="238"/>
        <v>-0.00654515801726826+0.00652335944964388i</v>
      </c>
      <c r="AT379" s="190">
        <f t="shared" si="239"/>
        <v>-40.685761420019105</v>
      </c>
      <c r="AU379" s="169">
        <f t="shared" si="240"/>
        <v>135.09557050133199</v>
      </c>
      <c r="AV379" s="225"/>
      <c r="AX379">
        <f t="shared" si="241"/>
        <v>0</v>
      </c>
      <c r="AY379">
        <f t="shared" si="242"/>
        <v>0</v>
      </c>
    </row>
    <row r="380" spans="14:51" x14ac:dyDescent="0.55000000000000004">
      <c r="N380" s="170">
        <v>62</v>
      </c>
      <c r="O380" s="199">
        <f t="shared" si="208"/>
        <v>41686.938347033625</v>
      </c>
      <c r="P380" s="189" t="str">
        <f t="shared" si="209"/>
        <v>1078.86904761905</v>
      </c>
      <c r="Q380" s="160" t="str">
        <f t="shared" si="210"/>
        <v>1+8185.21120385572i</v>
      </c>
      <c r="R380" s="160">
        <f t="shared" si="218"/>
        <v>8185.2112649414985</v>
      </c>
      <c r="S380" s="160">
        <f t="shared" si="219"/>
        <v>1.5706741552381562</v>
      </c>
      <c r="T380" s="160" t="str">
        <f t="shared" si="211"/>
        <v>1+0.00523853517046766i</v>
      </c>
      <c r="U380" s="160">
        <f t="shared" si="220"/>
        <v>1.0000137210312328</v>
      </c>
      <c r="V380" s="160">
        <f t="shared" si="221"/>
        <v>5.2384872521914431E-3</v>
      </c>
      <c r="W380" s="98" t="str">
        <f t="shared" si="212"/>
        <v>1-3.78871817668903i</v>
      </c>
      <c r="X380" s="160">
        <f t="shared" si="222"/>
        <v>3.9184672286971916</v>
      </c>
      <c r="Y380" s="160">
        <f t="shared" si="223"/>
        <v>-1.3127398894286371</v>
      </c>
      <c r="Z380" s="98" t="str">
        <f t="shared" si="213"/>
        <v>-2.14676474196359+0.300946813062008i</v>
      </c>
      <c r="AA380" s="160">
        <f t="shared" si="224"/>
        <v>2.1677564073553506</v>
      </c>
      <c r="AB380" s="160">
        <f t="shared" si="225"/>
        <v>3.0023140862789863</v>
      </c>
      <c r="AC380" s="171" t="str">
        <f t="shared" si="226"/>
        <v>0.219200782396845+0.0933739165960474i</v>
      </c>
      <c r="AD380" s="190">
        <f t="shared" si="227"/>
        <v>-12.45898920828671</v>
      </c>
      <c r="AE380" s="169">
        <f t="shared" si="228"/>
        <v>23.072761945968239</v>
      </c>
      <c r="AF380" s="98" t="str">
        <f t="shared" si="214"/>
        <v>-9.95024875621891E-06</v>
      </c>
      <c r="AG380" s="98" t="str">
        <f t="shared" si="215"/>
        <v>0.262188685281906i</v>
      </c>
      <c r="AH380" s="98">
        <f t="shared" si="229"/>
        <v>0.26218868528190598</v>
      </c>
      <c r="AI380" s="98">
        <f t="shared" si="230"/>
        <v>1.5707963267948966</v>
      </c>
      <c r="AJ380" s="98" t="str">
        <f t="shared" si="216"/>
        <v>1+2.61665093429953i</v>
      </c>
      <c r="AK380" s="98">
        <f t="shared" si="231"/>
        <v>2.8012251091211153</v>
      </c>
      <c r="AL380" s="98">
        <f t="shared" si="232"/>
        <v>1.2057563241996858</v>
      </c>
      <c r="AM380" s="98" t="str">
        <f t="shared" si="217"/>
        <v>1+2619.26758523383i</v>
      </c>
      <c r="AN380" s="98">
        <f t="shared" si="233"/>
        <v>2619.2677761268815</v>
      </c>
      <c r="AO380" s="98">
        <f t="shared" si="234"/>
        <v>1.5704145406967329</v>
      </c>
      <c r="AP380" s="168" t="str">
        <f t="shared" si="235"/>
        <v>-0.012655221830077+0.0331522487430509i</v>
      </c>
      <c r="AQ380" s="98">
        <f t="shared" si="236"/>
        <v>-28.998962362579718</v>
      </c>
      <c r="AR380" s="169">
        <f t="shared" si="237"/>
        <v>110.89337677004863</v>
      </c>
      <c r="AS380" s="168" t="str">
        <f t="shared" si="238"/>
        <v>-0.00586958983566356+0.00608533123502549i</v>
      </c>
      <c r="AT380" s="190">
        <f t="shared" si="239"/>
        <v>-41.457951570866442</v>
      </c>
      <c r="AU380" s="169">
        <f t="shared" si="240"/>
        <v>133.96613871601687</v>
      </c>
      <c r="AV380" s="225"/>
      <c r="AX380">
        <f t="shared" si="241"/>
        <v>0</v>
      </c>
      <c r="AY380">
        <f t="shared" si="242"/>
        <v>0</v>
      </c>
    </row>
    <row r="381" spans="14:51" x14ac:dyDescent="0.55000000000000004">
      <c r="N381" s="170">
        <v>63</v>
      </c>
      <c r="O381" s="199">
        <f t="shared" si="208"/>
        <v>42657.951880159271</v>
      </c>
      <c r="P381" s="189" t="str">
        <f t="shared" si="209"/>
        <v>1078.86904761905</v>
      </c>
      <c r="Q381" s="160" t="str">
        <f t="shared" si="210"/>
        <v>1+8375.86926524347i</v>
      </c>
      <c r="R381" s="160">
        <f t="shared" si="218"/>
        <v>8375.8693249387652</v>
      </c>
      <c r="S381" s="160">
        <f t="shared" si="219"/>
        <v>1.570676936202281</v>
      </c>
      <c r="T381" s="160" t="str">
        <f t="shared" si="211"/>
        <v>1+0.00536055632975582i</v>
      </c>
      <c r="U381" s="160">
        <f t="shared" si="220"/>
        <v>1.0000143676788671</v>
      </c>
      <c r="V381" s="160">
        <f t="shared" si="221"/>
        <v>5.360504984437622E-3</v>
      </c>
      <c r="W381" s="98" t="str">
        <f t="shared" si="212"/>
        <v>1-3.8769687599326i</v>
      </c>
      <c r="X381" s="160">
        <f t="shared" si="222"/>
        <v>4.0038589842167669</v>
      </c>
      <c r="Y381" s="160">
        <f t="shared" si="223"/>
        <v>-1.3183649199378118</v>
      </c>
      <c r="Z381" s="98" t="str">
        <f t="shared" si="213"/>
        <v>-2.29506719531009+0.307956764855579i</v>
      </c>
      <c r="AA381" s="160">
        <f t="shared" si="224"/>
        <v>2.3156361544959601</v>
      </c>
      <c r="AB381" s="160">
        <f t="shared" si="225"/>
        <v>3.008207346367934</v>
      </c>
      <c r="AC381" s="171" t="str">
        <f t="shared" si="226"/>
        <v>0.205883085880883+0.0849414764890714i</v>
      </c>
      <c r="AD381" s="190">
        <f t="shared" si="227"/>
        <v>-13.044929365874038</v>
      </c>
      <c r="AE381" s="169">
        <f t="shared" si="228"/>
        <v>22.41964427106662</v>
      </c>
      <c r="AF381" s="98" t="str">
        <f t="shared" si="214"/>
        <v>-9.95024875621891E-06</v>
      </c>
      <c r="AG381" s="98" t="str">
        <f t="shared" si="215"/>
        <v>0.268295844304278i</v>
      </c>
      <c r="AH381" s="98">
        <f t="shared" si="229"/>
        <v>0.268295844304278</v>
      </c>
      <c r="AI381" s="98">
        <f t="shared" si="230"/>
        <v>1.5707963267948966</v>
      </c>
      <c r="AJ381" s="98" t="str">
        <f t="shared" si="216"/>
        <v>1+2.6776005643136i</v>
      </c>
      <c r="AK381" s="98">
        <f t="shared" si="231"/>
        <v>2.8582415541749633</v>
      </c>
      <c r="AL381" s="98">
        <f t="shared" si="232"/>
        <v>1.2133688421345667</v>
      </c>
      <c r="AM381" s="98" t="str">
        <f t="shared" si="217"/>
        <v>1+2680.27816487791i</v>
      </c>
      <c r="AN381" s="98">
        <f t="shared" si="233"/>
        <v>2680.2783514257053</v>
      </c>
      <c r="AO381" s="98">
        <f t="shared" si="234"/>
        <v>1.5704232312085116</v>
      </c>
      <c r="AP381" s="168" t="str">
        <f t="shared" si="235"/>
        <v>-0.0121553627952024+0.032584293133683i</v>
      </c>
      <c r="AQ381" s="98">
        <f t="shared" si="236"/>
        <v>-29.173980757535677</v>
      </c>
      <c r="AR381" s="169">
        <f t="shared" si="237"/>
        <v>110.45770955055906</v>
      </c>
      <c r="AS381" s="168" t="str">
        <f t="shared" si="238"/>
        <v>-0.00527034157140569+0.00567606035852511i</v>
      </c>
      <c r="AT381" s="190">
        <f t="shared" si="239"/>
        <v>-42.218910123409714</v>
      </c>
      <c r="AU381" s="169">
        <f t="shared" si="240"/>
        <v>132.87735382162563</v>
      </c>
      <c r="AV381" s="225"/>
      <c r="AX381">
        <f t="shared" si="241"/>
        <v>0</v>
      </c>
      <c r="AY381">
        <f t="shared" si="242"/>
        <v>0</v>
      </c>
    </row>
    <row r="382" spans="14:51" x14ac:dyDescent="0.55000000000000004">
      <c r="N382" s="170">
        <v>64</v>
      </c>
      <c r="O382" s="199">
        <f t="shared" si="208"/>
        <v>43651.583224016598</v>
      </c>
      <c r="P382" s="189" t="str">
        <f t="shared" si="209"/>
        <v>1078.86904761905</v>
      </c>
      <c r="Q382" s="160" t="str">
        <f t="shared" si="210"/>
        <v>1+8570.96832338337i</v>
      </c>
      <c r="R382" s="160">
        <f t="shared" si="218"/>
        <v>8570.9683817198347</v>
      </c>
      <c r="S382" s="160">
        <f t="shared" si="219"/>
        <v>1.5706796538639356</v>
      </c>
      <c r="T382" s="160" t="str">
        <f t="shared" si="211"/>
        <v>1+0.00548541972696536i</v>
      </c>
      <c r="U382" s="160">
        <f t="shared" si="220"/>
        <v>1.0000150448016174</v>
      </c>
      <c r="V382" s="160">
        <f t="shared" si="221"/>
        <v>5.4853647095103814E-3</v>
      </c>
      <c r="W382" s="98" t="str">
        <f t="shared" si="212"/>
        <v>1-3.96727496333043i</v>
      </c>
      <c r="X382" s="160">
        <f t="shared" si="222"/>
        <v>4.0913653753567969</v>
      </c>
      <c r="Y382" s="160">
        <f t="shared" si="223"/>
        <v>-1.3238777263920598</v>
      </c>
      <c r="Z382" s="98" t="str">
        <f t="shared" si="213"/>
        <v>-2.45035892795519+0.315129999402165i</v>
      </c>
      <c r="AA382" s="160">
        <f t="shared" si="224"/>
        <v>2.470539575139997</v>
      </c>
      <c r="AB382" s="160">
        <f t="shared" si="225"/>
        <v>3.0136890715578959</v>
      </c>
      <c r="AC382" s="171" t="str">
        <f t="shared" si="226"/>
        <v>0.193556205910039+0.0774040366450464i</v>
      </c>
      <c r="AD382" s="190">
        <f t="shared" si="227"/>
        <v>-13.619563506973201</v>
      </c>
      <c r="AE382" s="169">
        <f t="shared" si="228"/>
        <v>21.796702234865194</v>
      </c>
      <c r="AF382" s="98" t="str">
        <f t="shared" si="214"/>
        <v>-9.95024875621891E-06</v>
      </c>
      <c r="AG382" s="98" t="str">
        <f t="shared" si="215"/>
        <v>0.274545257334616i</v>
      </c>
      <c r="AH382" s="98">
        <f t="shared" si="229"/>
        <v>0.27454525733461599</v>
      </c>
      <c r="AI382" s="98">
        <f t="shared" si="230"/>
        <v>1.5707963267948966</v>
      </c>
      <c r="AJ382" s="98" t="str">
        <f t="shared" si="216"/>
        <v>1+2.73996989358909i</v>
      </c>
      <c r="AK382" s="98">
        <f t="shared" si="231"/>
        <v>2.9167507637394405</v>
      </c>
      <c r="AL382" s="98">
        <f t="shared" si="232"/>
        <v>1.2208501387833235</v>
      </c>
      <c r="AM382" s="98" t="str">
        <f t="shared" si="217"/>
        <v>1+2742.70986348268i</v>
      </c>
      <c r="AN382" s="98">
        <f t="shared" si="233"/>
        <v>2742.7100457841293</v>
      </c>
      <c r="AO382" s="98">
        <f t="shared" si="234"/>
        <v>1.5704317239001455</v>
      </c>
      <c r="AP382" s="168" t="str">
        <f t="shared" si="235"/>
        <v>-0.011672587623595+0.0320187813228846i</v>
      </c>
      <c r="AQ382" s="98">
        <f t="shared" si="236"/>
        <v>-29.34998861253467</v>
      </c>
      <c r="AR382" s="169">
        <f t="shared" si="237"/>
        <v>110.0295494226873</v>
      </c>
      <c r="AS382" s="168" t="str">
        <f t="shared" si="238"/>
        <v>-0.00473768469642181+0.0052939284305615i</v>
      </c>
      <c r="AT382" s="190">
        <f t="shared" si="239"/>
        <v>-42.969552119507874</v>
      </c>
      <c r="AU382" s="169">
        <f t="shared" si="240"/>
        <v>131.82625165755246</v>
      </c>
      <c r="AV382" s="225"/>
      <c r="AX382">
        <f t="shared" si="241"/>
        <v>0</v>
      </c>
      <c r="AY382">
        <f t="shared" si="242"/>
        <v>0</v>
      </c>
    </row>
    <row r="383" spans="14:51" x14ac:dyDescent="0.55000000000000004">
      <c r="N383" s="170">
        <v>65</v>
      </c>
      <c r="O383" s="199">
        <f t="shared" si="208"/>
        <v>44668.359215096389</v>
      </c>
      <c r="P383" s="189" t="str">
        <f t="shared" si="209"/>
        <v>1078.86904761905</v>
      </c>
      <c r="Q383" s="160" t="str">
        <f t="shared" si="210"/>
        <v>1+8770.61182237856i</v>
      </c>
      <c r="R383" s="160">
        <f t="shared" si="218"/>
        <v>8770.6118793871246</v>
      </c>
      <c r="S383" s="160">
        <f t="shared" si="219"/>
        <v>1.5706823096640603</v>
      </c>
      <c r="T383" s="160" t="str">
        <f t="shared" si="211"/>
        <v>1+0.00561319156632228i</v>
      </c>
      <c r="U383" s="160">
        <f t="shared" si="220"/>
        <v>1.0000157538356884</v>
      </c>
      <c r="V383" s="160">
        <f t="shared" si="221"/>
        <v>5.6131326141073039E-3</v>
      </c>
      <c r="W383" s="98" t="str">
        <f t="shared" si="212"/>
        <v>1-4.05968466842693i</v>
      </c>
      <c r="X383" s="160">
        <f t="shared" si="222"/>
        <v>4.1810333180998054</v>
      </c>
      <c r="Y383" s="160">
        <f t="shared" si="223"/>
        <v>-1.3292798908689927</v>
      </c>
      <c r="Z383" s="98" t="str">
        <f t="shared" si="213"/>
        <v>-2.6129693344842+0.322470320045675i</v>
      </c>
      <c r="AA383" s="160">
        <f t="shared" si="224"/>
        <v>2.6327924054632872</v>
      </c>
      <c r="AB383" s="160">
        <f t="shared" si="225"/>
        <v>3.0188020798024913</v>
      </c>
      <c r="AC383" s="171" t="str">
        <f t="shared" si="226"/>
        <v>0.182127431300767+0.070647678727847i</v>
      </c>
      <c r="AD383" s="190">
        <f t="shared" si="227"/>
        <v>-14.183746114390992</v>
      </c>
      <c r="AE383" s="169">
        <f t="shared" si="228"/>
        <v>21.201395612622921</v>
      </c>
      <c r="AF383" s="98" t="str">
        <f t="shared" si="214"/>
        <v>-9.95024875621891E-06</v>
      </c>
      <c r="AG383" s="98" t="str">
        <f t="shared" si="215"/>
        <v>0.28094023789443i</v>
      </c>
      <c r="AH383" s="98">
        <f t="shared" si="229"/>
        <v>0.28094023789443001</v>
      </c>
      <c r="AI383" s="98">
        <f t="shared" si="230"/>
        <v>1.5707963267948966</v>
      </c>
      <c r="AJ383" s="98" t="str">
        <f t="shared" si="216"/>
        <v>1+2.80379199116997i</v>
      </c>
      <c r="AK383" s="98">
        <f t="shared" si="231"/>
        <v>2.9767850996920933</v>
      </c>
      <c r="AL383" s="98">
        <f t="shared" si="232"/>
        <v>1.2282008300286269</v>
      </c>
      <c r="AM383" s="98" t="str">
        <f t="shared" si="217"/>
        <v>1+2806.59578316114i</v>
      </c>
      <c r="AN383" s="98">
        <f t="shared" si="233"/>
        <v>2806.5959613129016</v>
      </c>
      <c r="AO383" s="98">
        <f t="shared" si="234"/>
        <v>1.570440023274567</v>
      </c>
      <c r="AP383" s="168" t="str">
        <f t="shared" si="235"/>
        <v>-0.011206521198126+0.0314561720546119i</v>
      </c>
      <c r="AQ383" s="98">
        <f t="shared" si="236"/>
        <v>-29.526951896498449</v>
      </c>
      <c r="AR383" s="169">
        <f t="shared" si="237"/>
        <v>109.60886135695461</v>
      </c>
      <c r="AS383" s="168" t="str">
        <f t="shared" si="238"/>
        <v>-0.00426332045695438+0.00493731710559942i</v>
      </c>
      <c r="AT383" s="190">
        <f t="shared" si="239"/>
        <v>-43.710698010889445</v>
      </c>
      <c r="AU383" s="169">
        <f t="shared" si="240"/>
        <v>130.81025696957755</v>
      </c>
      <c r="AV383" s="225"/>
      <c r="AX383">
        <f t="shared" si="241"/>
        <v>0</v>
      </c>
      <c r="AY383">
        <f t="shared" si="242"/>
        <v>0</v>
      </c>
    </row>
    <row r="384" spans="14:51" x14ac:dyDescent="0.55000000000000004">
      <c r="N384" s="170">
        <v>66</v>
      </c>
      <c r="O384" s="199">
        <f t="shared" ref="O384:O418" si="243">10^(4+(N384/100))</f>
        <v>45708.818961487581</v>
      </c>
      <c r="P384" s="189" t="str">
        <f t="shared" si="209"/>
        <v>1078.86904761905</v>
      </c>
      <c r="Q384" s="160" t="str">
        <f t="shared" si="210"/>
        <v>1+8974.90561585469i</v>
      </c>
      <c r="R384" s="160">
        <f t="shared" si="218"/>
        <v>8974.9056715655825</v>
      </c>
      <c r="S384" s="160">
        <f t="shared" si="219"/>
        <v>1.5706849050107949</v>
      </c>
      <c r="T384" s="160" t="str">
        <f t="shared" si="211"/>
        <v>1+0.005743939594147i</v>
      </c>
      <c r="U384" s="160">
        <f t="shared" si="220"/>
        <v>1.0000164962849669</v>
      </c>
      <c r="V384" s="160">
        <f t="shared" si="221"/>
        <v>5.7438764257668447E-3</v>
      </c>
      <c r="W384" s="98" t="str">
        <f t="shared" si="212"/>
        <v>1-4.15424687207088i</v>
      </c>
      <c r="X384" s="160">
        <f t="shared" si="222"/>
        <v>4.2729108432204264</v>
      </c>
      <c r="Y384" s="160">
        <f t="shared" si="223"/>
        <v>-1.3345730158999243</v>
      </c>
      <c r="Z384" s="98" t="str">
        <f t="shared" si="213"/>
        <v>-2.78324333337084+0.32998161872127i</v>
      </c>
      <c r="AA384" s="160">
        <f t="shared" si="224"/>
        <v>2.8027363988515108</v>
      </c>
      <c r="AB384" s="160">
        <f t="shared" si="225"/>
        <v>3.0235834243980113</v>
      </c>
      <c r="AC384" s="171" t="str">
        <f t="shared" si="226"/>
        <v>0.171514639526714+0.0645758000129339i</v>
      </c>
      <c r="AD384" s="190">
        <f t="shared" si="227"/>
        <v>-14.738248352485888</v>
      </c>
      <c r="AE384" s="169">
        <f t="shared" si="228"/>
        <v>20.631513388385734</v>
      </c>
      <c r="AF384" s="98" t="str">
        <f t="shared" si="214"/>
        <v>-9.95024875621891E-06</v>
      </c>
      <c r="AG384" s="98" t="str">
        <f t="shared" si="215"/>
        <v>0.287484176687058i</v>
      </c>
      <c r="AH384" s="98">
        <f t="shared" si="229"/>
        <v>0.287484176687058</v>
      </c>
      <c r="AI384" s="98">
        <f t="shared" si="230"/>
        <v>1.5707963267948966</v>
      </c>
      <c r="AJ384" s="98" t="str">
        <f t="shared" si="216"/>
        <v>1+2.86910069637712i</v>
      </c>
      <c r="AK384" s="98">
        <f t="shared" si="231"/>
        <v>3.0383776601916481</v>
      </c>
      <c r="AL384" s="98">
        <f t="shared" si="232"/>
        <v>1.2354216349184868</v>
      </c>
      <c r="AM384" s="98" t="str">
        <f t="shared" si="217"/>
        <v>1+2871.9697970735i</v>
      </c>
      <c r="AN384" s="98">
        <f t="shared" si="233"/>
        <v>2871.9699711700327</v>
      </c>
      <c r="AO384" s="98">
        <f t="shared" si="234"/>
        <v>1.5704481337322098</v>
      </c>
      <c r="AP384" s="168" t="str">
        <f t="shared" si="235"/>
        <v>-0.0107567797122893+0.0308968956291279i</v>
      </c>
      <c r="AQ384" s="98">
        <f t="shared" si="236"/>
        <v>-29.704837342884339</v>
      </c>
      <c r="AR384" s="169">
        <f t="shared" si="237"/>
        <v>109.1956044070711</v>
      </c>
      <c r="AS384" s="168" t="str">
        <f t="shared" si="238"/>
        <v>-0.00384013694798862+0.0046046422608404i</v>
      </c>
      <c r="AT384" s="190">
        <f t="shared" si="239"/>
        <v>-44.443085695370229</v>
      </c>
      <c r="AU384" s="169">
        <f t="shared" si="240"/>
        <v>129.82711779545679</v>
      </c>
      <c r="AV384" s="225"/>
      <c r="AX384">
        <f t="shared" si="241"/>
        <v>0</v>
      </c>
      <c r="AY384">
        <f t="shared" si="242"/>
        <v>0</v>
      </c>
    </row>
    <row r="385" spans="14:51" x14ac:dyDescent="0.55000000000000004">
      <c r="N385" s="170">
        <v>67</v>
      </c>
      <c r="O385" s="199">
        <f t="shared" si="243"/>
        <v>46773.514128719893</v>
      </c>
      <c r="P385" s="189" t="str">
        <f t="shared" si="209"/>
        <v>1078.86904761905</v>
      </c>
      <c r="Q385" s="160" t="str">
        <f t="shared" si="210"/>
        <v>1+9183.95802308531i</v>
      </c>
      <c r="R385" s="160">
        <f t="shared" si="218"/>
        <v>9183.9580775280665</v>
      </c>
      <c r="S385" s="160">
        <f t="shared" si="219"/>
        <v>1.570687441280227</v>
      </c>
      <c r="T385" s="160" t="str">
        <f t="shared" si="211"/>
        <v>1+0.0058777331347746i</v>
      </c>
      <c r="U385" s="160">
        <f t="shared" si="220"/>
        <v>1.000017273724211</v>
      </c>
      <c r="V385" s="160">
        <f t="shared" si="221"/>
        <v>5.8776654486989285E-3</v>
      </c>
      <c r="W385" s="98" t="str">
        <f t="shared" si="212"/>
        <v>1-4.25101171239438i</v>
      </c>
      <c r="X385" s="160">
        <f t="shared" si="222"/>
        <v>4.3670471235051034</v>
      </c>
      <c r="Y385" s="160">
        <f t="shared" si="223"/>
        <v>-1.3397587210673754</v>
      </c>
      <c r="Z385" s="98" t="str">
        <f t="shared" si="213"/>
        <v>-2.96154209859588+0.337667878018936i</v>
      </c>
      <c r="AA385" s="160">
        <f t="shared" si="224"/>
        <v>2.9807299773044686</v>
      </c>
      <c r="AB385" s="160">
        <f t="shared" si="225"/>
        <v>3.0280653267664799</v>
      </c>
      <c r="AC385" s="171" t="str">
        <f t="shared" si="226"/>
        <v>0.161644906651884+0.0591060399547945i</v>
      </c>
      <c r="AD385" s="190">
        <f t="shared" si="227"/>
        <v>-15.28376828607081</v>
      </c>
      <c r="AE385" s="169">
        <f t="shared" si="228"/>
        <v>20.08512050741372</v>
      </c>
      <c r="AF385" s="98" t="str">
        <f t="shared" si="214"/>
        <v>-9.95024875621891E-06</v>
      </c>
      <c r="AG385" s="98" t="str">
        <f t="shared" si="215"/>
        <v>0.294180543395468i</v>
      </c>
      <c r="AH385" s="98">
        <f t="shared" si="229"/>
        <v>0.29418054339546801</v>
      </c>
      <c r="AI385" s="98">
        <f t="shared" si="230"/>
        <v>1.5707963267948966</v>
      </c>
      <c r="AJ385" s="98" t="str">
        <f t="shared" si="216"/>
        <v>1+2.93593063675055i</v>
      </c>
      <c r="AK385" s="98">
        <f t="shared" si="231"/>
        <v>3.1015623004883341</v>
      </c>
      <c r="AL385" s="98">
        <f t="shared" si="232"/>
        <v>1.2425133691311112</v>
      </c>
      <c r="AM385" s="98" t="str">
        <f t="shared" si="217"/>
        <v>1+2938.8665673873i</v>
      </c>
      <c r="AN385" s="98">
        <f t="shared" si="233"/>
        <v>2938.8667375209125</v>
      </c>
      <c r="AO385" s="98">
        <f t="shared" si="234"/>
        <v>1.5704560595733414</v>
      </c>
      <c r="AP385" s="168" t="str">
        <f t="shared" si="235"/>
        <v>-0.0103229723699561+0.0303413544559582i</v>
      </c>
      <c r="AQ385" s="98">
        <f t="shared" si="236"/>
        <v>-29.883612465457428</v>
      </c>
      <c r="AR385" s="169">
        <f t="shared" si="237"/>
        <v>108.78973208450502</v>
      </c>
      <c r="AS385" s="168" t="str">
        <f t="shared" si="238"/>
        <v>-0.00346201321386798+0.00429437539137422i</v>
      </c>
      <c r="AT385" s="190">
        <f t="shared" si="239"/>
        <v>-45.167380751528235</v>
      </c>
      <c r="AU385" s="169">
        <f t="shared" si="240"/>
        <v>128.87485259191877</v>
      </c>
      <c r="AV385" s="225"/>
      <c r="AX385">
        <f t="shared" si="241"/>
        <v>0</v>
      </c>
      <c r="AY385">
        <f t="shared" si="242"/>
        <v>0</v>
      </c>
    </row>
    <row r="386" spans="14:51" x14ac:dyDescent="0.55000000000000004">
      <c r="N386" s="170">
        <v>68</v>
      </c>
      <c r="O386" s="199">
        <f t="shared" si="243"/>
        <v>47863.009232263823</v>
      </c>
      <c r="P386" s="189" t="str">
        <f t="shared" si="209"/>
        <v>1078.86904761905</v>
      </c>
      <c r="Q386" s="160" t="str">
        <f t="shared" si="210"/>
        <v>1+9397.87988642378i</v>
      </c>
      <c r="R386" s="160">
        <f t="shared" si="218"/>
        <v>9397.879939627268</v>
      </c>
      <c r="S386" s="160">
        <f t="shared" si="219"/>
        <v>1.5706899198171196</v>
      </c>
      <c r="T386" s="160" t="str">
        <f t="shared" si="211"/>
        <v>1+0.00601464312731122i</v>
      </c>
      <c r="U386" s="160">
        <f t="shared" si="220"/>
        <v>1.0000180878023901</v>
      </c>
      <c r="V386" s="160">
        <f t="shared" si="221"/>
        <v>6.0145706004452928E-3</v>
      </c>
      <c r="W386" s="98" t="str">
        <f t="shared" si="212"/>
        <v>1-4.35003049539657i</v>
      </c>
      <c r="X386" s="160">
        <f t="shared" si="222"/>
        <v>4.4634925014925395</v>
      </c>
      <c r="Y386" s="160">
        <f t="shared" si="223"/>
        <v>-1.3448386397973597</v>
      </c>
      <c r="Z386" s="98" t="str">
        <f t="shared" si="213"/>
        <v>-3.14824382574519+0.345533173295089i</v>
      </c>
      <c r="AA386" s="160">
        <f t="shared" si="224"/>
        <v>3.1671489324296207</v>
      </c>
      <c r="AB386" s="160">
        <f t="shared" si="225"/>
        <v>3.0322759347941228</v>
      </c>
      <c r="AC386" s="171" t="str">
        <f t="shared" si="226"/>
        <v>0.152453313171818+0.0541678271830204i</v>
      </c>
      <c r="AD386" s="190">
        <f t="shared" si="227"/>
        <v>-15.820939605595816</v>
      </c>
      <c r="AE386" s="169">
        <f t="shared" si="228"/>
        <v>19.560514612433618</v>
      </c>
      <c r="AF386" s="98" t="str">
        <f t="shared" si="214"/>
        <v>-9.95024875621891E-06</v>
      </c>
      <c r="AG386" s="98" t="str">
        <f t="shared" si="215"/>
        <v>0.301032888521927i</v>
      </c>
      <c r="AH386" s="98">
        <f t="shared" si="229"/>
        <v>0.301032888521927</v>
      </c>
      <c r="AI386" s="98">
        <f t="shared" si="230"/>
        <v>1.5707963267948966</v>
      </c>
      <c r="AJ386" s="98" t="str">
        <f t="shared" si="216"/>
        <v>1+3.0043172464092i</v>
      </c>
      <c r="AK386" s="98">
        <f t="shared" si="231"/>
        <v>3.1663736540515486</v>
      </c>
      <c r="AL386" s="98">
        <f t="shared" si="232"/>
        <v>1.24947693857723</v>
      </c>
      <c r="AM386" s="98" t="str">
        <f t="shared" si="217"/>
        <v>1+3007.32156365561i</v>
      </c>
      <c r="AN386" s="98">
        <f t="shared" si="233"/>
        <v>3007.321729916509</v>
      </c>
      <c r="AO386" s="98">
        <f t="shared" si="234"/>
        <v>1.5704638050003441</v>
      </c>
      <c r="AP386" s="168" t="str">
        <f t="shared" si="235"/>
        <v>-0.00990470298267365+0.0297899236846599i</v>
      </c>
      <c r="AQ386" s="98">
        <f t="shared" si="236"/>
        <v>-30.063245570741898</v>
      </c>
      <c r="AR386" s="169">
        <f t="shared" si="237"/>
        <v>108.39119272517398</v>
      </c>
      <c r="AS386" s="168" t="str">
        <f t="shared" si="238"/>
        <v>-0.00312366022363741+0.0040050563253974i</v>
      </c>
      <c r="AT386" s="190">
        <f t="shared" si="239"/>
        <v>-45.884185176337709</v>
      </c>
      <c r="AU386" s="169">
        <f t="shared" si="240"/>
        <v>127.95170733760762</v>
      </c>
      <c r="AV386" s="225"/>
      <c r="AX386">
        <f t="shared" si="241"/>
        <v>0</v>
      </c>
      <c r="AY386">
        <f t="shared" si="242"/>
        <v>0</v>
      </c>
    </row>
    <row r="387" spans="14:51" x14ac:dyDescent="0.55000000000000004">
      <c r="N387" s="170">
        <v>69</v>
      </c>
      <c r="O387" s="199">
        <f t="shared" si="243"/>
        <v>48977.881936844598</v>
      </c>
      <c r="P387" s="189" t="str">
        <f t="shared" si="209"/>
        <v>1078.86904761905</v>
      </c>
      <c r="Q387" s="160" t="str">
        <f t="shared" si="210"/>
        <v>1+9616.78463007369i</v>
      </c>
      <c r="R387" s="160">
        <f t="shared" si="218"/>
        <v>9616.7846820661198</v>
      </c>
      <c r="S387" s="160">
        <f t="shared" si="219"/>
        <v>1.5706923419356258</v>
      </c>
      <c r="T387" s="160" t="str">
        <f t="shared" si="211"/>
        <v>1+0.00615474216324716i</v>
      </c>
      <c r="U387" s="160">
        <f t="shared" si="220"/>
        <v>1.0000189402461817</v>
      </c>
      <c r="V387" s="160">
        <f t="shared" si="221"/>
        <v>6.1546644493896659E-3</v>
      </c>
      <c r="W387" s="98" t="str">
        <f t="shared" si="212"/>
        <v>1-4.45135572214688i</v>
      </c>
      <c r="X387" s="160">
        <f t="shared" si="222"/>
        <v>4.5622985177528408</v>
      </c>
      <c r="Y387" s="160">
        <f t="shared" si="223"/>
        <v>-1.3498144163411967</v>
      </c>
      <c r="Z387" s="98" t="str">
        <f t="shared" si="213"/>
        <v>-3.34374453421365+0.353581674833396i</v>
      </c>
      <c r="AA387" s="160">
        <f t="shared" si="224"/>
        <v>3.3623871744434264</v>
      </c>
      <c r="AB387" s="160">
        <f t="shared" si="225"/>
        <v>3.0362399434493339</v>
      </c>
      <c r="AC387" s="171" t="str">
        <f t="shared" si="226"/>
        <v>0.143881918868922+0.04970040764146i</v>
      </c>
      <c r="AD387" s="190">
        <f t="shared" si="227"/>
        <v>-16.350339106774229</v>
      </c>
      <c r="AE387" s="169">
        <f t="shared" si="228"/>
        <v>19.056190659887037</v>
      </c>
      <c r="AF387" s="98" t="str">
        <f t="shared" si="214"/>
        <v>-9.95024875621891E-06</v>
      </c>
      <c r="AG387" s="98" t="str">
        <f t="shared" si="215"/>
        <v>0.308044845270521i</v>
      </c>
      <c r="AH387" s="98">
        <f t="shared" si="229"/>
        <v>0.30804484527052101</v>
      </c>
      <c r="AI387" s="98">
        <f t="shared" si="230"/>
        <v>1.5707963267948966</v>
      </c>
      <c r="AJ387" s="98" t="str">
        <f t="shared" si="216"/>
        <v>1+3.07429678483874i</v>
      </c>
      <c r="AK387" s="98">
        <f t="shared" si="231"/>
        <v>3.2328471540222581</v>
      </c>
      <c r="AL387" s="98">
        <f t="shared" si="232"/>
        <v>1.256313333156744</v>
      </c>
      <c r="AM387" s="98" t="str">
        <f t="shared" si="217"/>
        <v>1+3077.37108162358i</v>
      </c>
      <c r="AN387" s="98">
        <f t="shared" si="233"/>
        <v>3077.3712440999188</v>
      </c>
      <c r="AO387" s="98">
        <f t="shared" si="234"/>
        <v>1.5704713741199419</v>
      </c>
      <c r="AP387" s="168" t="str">
        <f t="shared" si="235"/>
        <v>-0.00950157146420229+0.0292429519026494i</v>
      </c>
      <c r="AQ387" s="98">
        <f t="shared" si="236"/>
        <v>-30.243705767359323</v>
      </c>
      <c r="AR387" s="169">
        <f t="shared" si="237"/>
        <v>107.99992984728924</v>
      </c>
      <c r="AS387" s="168" t="str">
        <f t="shared" si="238"/>
        <v>-0.0028204909647409+0.00373530005813947i</v>
      </c>
      <c r="AT387" s="190">
        <f t="shared" si="239"/>
        <v>-46.594044874133552</v>
      </c>
      <c r="AU387" s="169">
        <f t="shared" si="240"/>
        <v>127.05612050717625</v>
      </c>
      <c r="AV387" s="225"/>
      <c r="AX387">
        <f t="shared" si="241"/>
        <v>0</v>
      </c>
      <c r="AY387">
        <f t="shared" si="242"/>
        <v>0</v>
      </c>
    </row>
    <row r="388" spans="14:51" x14ac:dyDescent="0.55000000000000004">
      <c r="N388" s="170">
        <v>70</v>
      </c>
      <c r="O388" s="199">
        <f t="shared" si="243"/>
        <v>50118.723362727294</v>
      </c>
      <c r="P388" s="189" t="str">
        <f t="shared" si="209"/>
        <v>1078.86904761905</v>
      </c>
      <c r="Q388" s="160" t="str">
        <f t="shared" si="210"/>
        <v>1+9840.78832022769i</v>
      </c>
      <c r="R388" s="160">
        <f t="shared" si="218"/>
        <v>9840.7883710366259</v>
      </c>
      <c r="S388" s="160">
        <f t="shared" si="219"/>
        <v>1.570694708919985</v>
      </c>
      <c r="T388" s="160" t="str">
        <f t="shared" si="211"/>
        <v>1+0.00629810452494572i</v>
      </c>
      <c r="U388" s="160">
        <f t="shared" si="220"/>
        <v>1.0000198328636323</v>
      </c>
      <c r="V388" s="160">
        <f t="shared" si="221"/>
        <v>6.2980212531363253E-3</v>
      </c>
      <c r="W388" s="98" t="str">
        <f t="shared" si="212"/>
        <v>1-4.55504111662175i</v>
      </c>
      <c r="X388" s="160">
        <f t="shared" si="222"/>
        <v>4.6635179397226212</v>
      </c>
      <c r="Y388" s="160">
        <f t="shared" si="223"/>
        <v>-1.3546877029411537</v>
      </c>
      <c r="Z388" s="98" t="str">
        <f t="shared" si="213"/>
        <v>-3.54845890721519+0.361817650055907i</v>
      </c>
      <c r="AA388" s="160">
        <f t="shared" si="224"/>
        <v>3.566857528425659</v>
      </c>
      <c r="AB388" s="160">
        <f t="shared" si="225"/>
        <v>3.0399791058688486</v>
      </c>
      <c r="AC388" s="171" t="str">
        <f t="shared" si="226"/>
        <v>0.135878882496523+0.0456512487645312i</v>
      </c>
      <c r="AD388" s="190">
        <f t="shared" si="227"/>
        <v>-16.872493127582516</v>
      </c>
      <c r="AE388" s="169">
        <f t="shared" si="228"/>
        <v>18.570811801404929</v>
      </c>
      <c r="AF388" s="98" t="str">
        <f t="shared" si="214"/>
        <v>-9.95024875621891E-06</v>
      </c>
      <c r="AG388" s="98" t="str">
        <f t="shared" si="215"/>
        <v>0.315220131473534i</v>
      </c>
      <c r="AH388" s="98">
        <f t="shared" si="229"/>
        <v>0.315220131473534</v>
      </c>
      <c r="AI388" s="98">
        <f t="shared" si="230"/>
        <v>1.5707963267948966</v>
      </c>
      <c r="AJ388" s="98" t="str">
        <f t="shared" si="216"/>
        <v>1+3.14590635611674i</v>
      </c>
      <c r="AK388" s="98">
        <f t="shared" si="231"/>
        <v>3.3010190549973668</v>
      </c>
      <c r="AL388" s="98">
        <f t="shared" si="232"/>
        <v>1.2630236206839913</v>
      </c>
      <c r="AM388" s="98" t="str">
        <f t="shared" si="217"/>
        <v>1+3149.05226247286i</v>
      </c>
      <c r="AN388" s="98">
        <f t="shared" si="233"/>
        <v>3149.0524212507858</v>
      </c>
      <c r="AO388" s="98">
        <f t="shared" si="234"/>
        <v>1.5704787709453787</v>
      </c>
      <c r="AP388" s="168" t="str">
        <f t="shared" si="235"/>
        <v>-0.00911317522283371+0.0287007618899152i</v>
      </c>
      <c r="AQ388" s="98">
        <f t="shared" si="236"/>
        <v>-30.424962972459852</v>
      </c>
      <c r="AR388" s="169">
        <f t="shared" si="237"/>
        <v>107.61588249953806</v>
      </c>
      <c r="AS388" s="168" t="str">
        <f t="shared" si="238"/>
        <v>-0.00254851368604174+0.00348379962326813i</v>
      </c>
      <c r="AT388" s="190">
        <f t="shared" si="239"/>
        <v>-47.297456100042368</v>
      </c>
      <c r="AU388" s="169">
        <f t="shared" si="240"/>
        <v>126.18669430094296</v>
      </c>
      <c r="AV388" s="225"/>
      <c r="AX388">
        <f t="shared" si="241"/>
        <v>0</v>
      </c>
      <c r="AY388">
        <f t="shared" si="242"/>
        <v>0</v>
      </c>
    </row>
    <row r="389" spans="14:51" x14ac:dyDescent="0.55000000000000004">
      <c r="N389" s="170">
        <v>71</v>
      </c>
      <c r="O389" s="199">
        <f t="shared" si="243"/>
        <v>51286.138399136544</v>
      </c>
      <c r="P389" s="189" t="str">
        <f t="shared" si="209"/>
        <v>1078.86904761905</v>
      </c>
      <c r="Q389" s="160" t="str">
        <f t="shared" si="210"/>
        <v>1+10070.0097266073i</v>
      </c>
      <c r="R389" s="160">
        <f t="shared" si="218"/>
        <v>10070.009776259687</v>
      </c>
      <c r="S389" s="160">
        <f t="shared" si="219"/>
        <v>1.570697022025203</v>
      </c>
      <c r="T389" s="160" t="str">
        <f t="shared" si="211"/>
        <v>1+0.00644480622502868i</v>
      </c>
      <c r="U389" s="160">
        <f t="shared" si="220"/>
        <v>1.0000207675479935</v>
      </c>
      <c r="V389" s="160">
        <f t="shared" si="221"/>
        <v>6.4447169977774089E-3</v>
      </c>
      <c r="W389" s="98" t="str">
        <f t="shared" si="212"/>
        <v>1-4.66114165418974i</v>
      </c>
      <c r="X389" s="160">
        <f t="shared" si="222"/>
        <v>4.767204791114251</v>
      </c>
      <c r="Y389" s="160">
        <f t="shared" si="223"/>
        <v>-1.3594601571739628</v>
      </c>
      <c r="Z389" s="98" t="str">
        <f t="shared" si="213"/>
        <v>-3.76282117138145+0.370245465785701i</v>
      </c>
      <c r="AA389" s="160">
        <f t="shared" si="224"/>
        <v>3.7809925777143936</v>
      </c>
      <c r="AB389" s="160">
        <f t="shared" si="225"/>
        <v>3.0435126567236277</v>
      </c>
      <c r="AC389" s="171" t="str">
        <f t="shared" si="226"/>
        <v>0.128397705079863+0.0419747397171729i</v>
      </c>
      <c r="AD389" s="190">
        <f t="shared" si="227"/>
        <v>-17.387883109112835</v>
      </c>
      <c r="AE389" s="169">
        <f t="shared" si="228"/>
        <v>18.103185281145805</v>
      </c>
      <c r="AF389" s="98" t="str">
        <f t="shared" si="214"/>
        <v>-9.95024875621891E-06</v>
      </c>
      <c r="AG389" s="98" t="str">
        <f t="shared" si="215"/>
        <v>0.322562551562685i</v>
      </c>
      <c r="AH389" s="98">
        <f t="shared" si="229"/>
        <v>0.32256255156268498</v>
      </c>
      <c r="AI389" s="98">
        <f t="shared" si="230"/>
        <v>1.5707963267948966</v>
      </c>
      <c r="AJ389" s="98" t="str">
        <f t="shared" si="216"/>
        <v>1+3.21918392858575i</v>
      </c>
      <c r="AK389" s="98">
        <f t="shared" si="231"/>
        <v>3.3709264551551379</v>
      </c>
      <c r="AL389" s="98">
        <f t="shared" si="232"/>
        <v>1.2696089409937341</v>
      </c>
      <c r="AM389" s="98" t="str">
        <f t="shared" si="217"/>
        <v>1+3222.40311251434i</v>
      </c>
      <c r="AN389" s="98">
        <f t="shared" si="233"/>
        <v>3222.4032676780394</v>
      </c>
      <c r="AO389" s="98">
        <f t="shared" si="234"/>
        <v>1.5704859993985458</v>
      </c>
      <c r="AP389" s="168" t="str">
        <f t="shared" si="235"/>
        <v>-0.00873911045276247+0.0281636514210541i</v>
      </c>
      <c r="AQ389" s="98">
        <f t="shared" si="236"/>
        <v>-30.606987915450993</v>
      </c>
      <c r="AR389" s="169">
        <f t="shared" si="237"/>
        <v>107.23898559890688</v>
      </c>
      <c r="AS389" s="168" t="str">
        <f t="shared" si="238"/>
        <v>-0.00230424366445808+0.00324932632251824i</v>
      </c>
      <c r="AT389" s="190">
        <f t="shared" si="239"/>
        <v>-47.994871024563821</v>
      </c>
      <c r="AU389" s="169">
        <f t="shared" si="240"/>
        <v>125.34217088005273</v>
      </c>
      <c r="AV389" s="225"/>
      <c r="AX389">
        <f t="shared" si="241"/>
        <v>0</v>
      </c>
      <c r="AY389">
        <f t="shared" si="242"/>
        <v>0</v>
      </c>
    </row>
    <row r="390" spans="14:51" x14ac:dyDescent="0.55000000000000004">
      <c r="N390" s="170">
        <v>72</v>
      </c>
      <c r="O390" s="199">
        <f t="shared" si="243"/>
        <v>52480.746024977314</v>
      </c>
      <c r="P390" s="189" t="str">
        <f t="shared" si="209"/>
        <v>1078.86904761905</v>
      </c>
      <c r="Q390" s="160" t="str">
        <f t="shared" si="210"/>
        <v>1+10304.5703854363i</v>
      </c>
      <c r="R390" s="160">
        <f t="shared" si="218"/>
        <v>10304.570433958459</v>
      </c>
      <c r="S390" s="160">
        <f t="shared" si="219"/>
        <v>1.5706992824777193</v>
      </c>
      <c r="T390" s="160" t="str">
        <f t="shared" si="211"/>
        <v>1+0.00659492504667922i</v>
      </c>
      <c r="U390" s="160">
        <f t="shared" si="220"/>
        <v>1.0000217462817353</v>
      </c>
      <c r="V390" s="160">
        <f t="shared" si="221"/>
        <v>6.5948294380692189E-3</v>
      </c>
      <c r="W390" s="98" t="str">
        <f t="shared" si="212"/>
        <v>1-4.76971359076028i</v>
      </c>
      <c r="X390" s="160">
        <f t="shared" si="222"/>
        <v>4.873414381917808</v>
      </c>
      <c r="Y390" s="160">
        <f t="shared" si="223"/>
        <v>-1.3641334394660229</v>
      </c>
      <c r="Z390" s="98" t="str">
        <f t="shared" si="213"/>
        <v>-3.98728601781472+0.378869590562231i</v>
      </c>
      <c r="AA390" s="160">
        <f t="shared" si="224"/>
        <v>4.0052455548335058</v>
      </c>
      <c r="AB390" s="160">
        <f t="shared" si="225"/>
        <v>3.0468576648699623</v>
      </c>
      <c r="AC390" s="171" t="str">
        <f t="shared" si="226"/>
        <v>0.121396578515126+0.0386311263663916i</v>
      </c>
      <c r="AD390" s="190">
        <f t="shared" si="227"/>
        <v>-17.896950417320223</v>
      </c>
      <c r="AE390" s="169">
        <f t="shared" si="228"/>
        <v>17.652242375007919</v>
      </c>
      <c r="AF390" s="98" t="str">
        <f t="shared" si="214"/>
        <v>-9.95024875621891E-06</v>
      </c>
      <c r="AG390" s="98" t="str">
        <f t="shared" si="215"/>
        <v>0.330075998586295i</v>
      </c>
      <c r="AH390" s="98">
        <f t="shared" si="229"/>
        <v>0.33007599858629499</v>
      </c>
      <c r="AI390" s="98">
        <f t="shared" si="230"/>
        <v>1.5707963267948966</v>
      </c>
      <c r="AJ390" s="98" t="str">
        <f t="shared" si="216"/>
        <v>1+3.29416835498463i</v>
      </c>
      <c r="AK390" s="98">
        <f t="shared" si="231"/>
        <v>3.4426073187312762</v>
      </c>
      <c r="AL390" s="98">
        <f t="shared" si="232"/>
        <v>1.276070500237785</v>
      </c>
      <c r="AM390" s="98" t="str">
        <f t="shared" si="217"/>
        <v>1+3297.46252333961i</v>
      </c>
      <c r="AN390" s="98">
        <f t="shared" si="233"/>
        <v>3297.462674971353</v>
      </c>
      <c r="AO390" s="98">
        <f t="shared" si="234"/>
        <v>1.5704930633120622</v>
      </c>
      <c r="AP390" s="168" t="str">
        <f t="shared" si="235"/>
        <v>-0.00837897332642619+0.0276318941057007i</v>
      </c>
      <c r="AQ390" s="98">
        <f t="shared" si="236"/>
        <v>-30.789752139225904</v>
      </c>
      <c r="AR390" s="169">
        <f t="shared" si="237"/>
        <v>106.86917025758041</v>
      </c>
      <c r="AS390" s="168" t="str">
        <f t="shared" si="238"/>
        <v>-0.00208462988623772+0.00303072822493055i</v>
      </c>
      <c r="AT390" s="190">
        <f t="shared" si="239"/>
        <v>-48.686702556546123</v>
      </c>
      <c r="AU390" s="169">
        <f t="shared" si="240"/>
        <v>124.52141263258834</v>
      </c>
      <c r="AV390" s="225"/>
      <c r="AX390">
        <f t="shared" si="241"/>
        <v>0</v>
      </c>
      <c r="AY390">
        <f t="shared" si="242"/>
        <v>0</v>
      </c>
    </row>
    <row r="391" spans="14:51" x14ac:dyDescent="0.55000000000000004">
      <c r="N391" s="170">
        <v>73</v>
      </c>
      <c r="O391" s="199">
        <f t="shared" si="243"/>
        <v>53703.179637025423</v>
      </c>
      <c r="P391" s="189" t="str">
        <f t="shared" si="209"/>
        <v>1078.86904761905</v>
      </c>
      <c r="Q391" s="160" t="str">
        <f t="shared" si="210"/>
        <v>1+10544.5946638808i</v>
      </c>
      <c r="R391" s="160">
        <f t="shared" si="218"/>
        <v>10544.59471129846</v>
      </c>
      <c r="S391" s="160">
        <f t="shared" si="219"/>
        <v>1.5707014914760553</v>
      </c>
      <c r="T391" s="160" t="str">
        <f t="shared" si="211"/>
        <v>1+0.00674854058488368i</v>
      </c>
      <c r="U391" s="160">
        <f t="shared" si="220"/>
        <v>1.0000227711407506</v>
      </c>
      <c r="V391" s="160">
        <f t="shared" si="221"/>
        <v>6.7484381385383065E-3</v>
      </c>
      <c r="W391" s="98" t="str">
        <f t="shared" si="212"/>
        <v>1-4.88081449261128i</v>
      </c>
      <c r="X391" s="160">
        <f t="shared" si="222"/>
        <v>4.9822033390142062</v>
      </c>
      <c r="Y391" s="160">
        <f t="shared" si="223"/>
        <v>-1.3687092107739083</v>
      </c>
      <c r="Z391" s="98" t="str">
        <f t="shared" si="213"/>
        <v>-4.22232956654889+0.38769459701061i</v>
      </c>
      <c r="AA391" s="160">
        <f t="shared" si="224"/>
        <v>4.2400912807514128</v>
      </c>
      <c r="AB391" s="160">
        <f t="shared" si="225"/>
        <v>3.0500293286397948</v>
      </c>
      <c r="AC391" s="171" t="str">
        <f t="shared" si="226"/>
        <v>0.114837823797944+0.0355856335946743i</v>
      </c>
      <c r="AD391" s="190">
        <f t="shared" si="227"/>
        <v>-18.400100538885162</v>
      </c>
      <c r="AE391" s="169">
        <f t="shared" si="228"/>
        <v>17.217021606954852</v>
      </c>
      <c r="AF391" s="98" t="str">
        <f t="shared" si="214"/>
        <v>-9.95024875621891E-06</v>
      </c>
      <c r="AG391" s="98" t="str">
        <f t="shared" si="215"/>
        <v>0.337764456273428i</v>
      </c>
      <c r="AH391" s="98">
        <f t="shared" si="229"/>
        <v>0.33776445627342799</v>
      </c>
      <c r="AI391" s="98">
        <f t="shared" si="230"/>
        <v>1.5707963267948966</v>
      </c>
      <c r="AJ391" s="98" t="str">
        <f t="shared" si="216"/>
        <v>1+3.37089939304879i</v>
      </c>
      <c r="AK391" s="98">
        <f t="shared" si="231"/>
        <v>3.5161004988561837</v>
      </c>
      <c r="AL391" s="98">
        <f t="shared" si="232"/>
        <v>1.2824095653801957</v>
      </c>
      <c r="AM391" s="98" t="str">
        <f t="shared" si="217"/>
        <v>1+3374.27029244184i</v>
      </c>
      <c r="AN391" s="98">
        <f t="shared" si="233"/>
        <v>3374.2704406220228</v>
      </c>
      <c r="AO391" s="98">
        <f t="shared" si="234"/>
        <v>1.5704999664313053</v>
      </c>
      <c r="AP391" s="168" t="str">
        <f t="shared" si="235"/>
        <v>-0.00803236109027304+0.0271057402590705i</v>
      </c>
      <c r="AQ391" s="98">
        <f t="shared" si="236"/>
        <v>-30.973227999088031</v>
      </c>
      <c r="AR391" s="169">
        <f t="shared" si="237"/>
        <v>106.50636409845983</v>
      </c>
      <c r="AS391" s="168" t="str">
        <f t="shared" si="238"/>
        <v>-0.00188699380873793+0.0028269275651254i</v>
      </c>
      <c r="AT391" s="190">
        <f t="shared" si="239"/>
        <v>-49.373328537973194</v>
      </c>
      <c r="AU391" s="169">
        <f t="shared" si="240"/>
        <v>123.72338570541466</v>
      </c>
      <c r="AV391" s="225"/>
      <c r="AX391">
        <f t="shared" si="241"/>
        <v>0</v>
      </c>
      <c r="AY391">
        <f t="shared" si="242"/>
        <v>0</v>
      </c>
    </row>
    <row r="392" spans="14:51" x14ac:dyDescent="0.55000000000000004">
      <c r="N392" s="170">
        <v>74</v>
      </c>
      <c r="O392" s="199">
        <f t="shared" si="243"/>
        <v>54954.087385762505</v>
      </c>
      <c r="P392" s="189" t="str">
        <f t="shared" si="209"/>
        <v>1078.86904761905</v>
      </c>
      <c r="Q392" s="160" t="str">
        <f t="shared" si="210"/>
        <v>1+10790.2098259902i</v>
      </c>
      <c r="R392" s="160">
        <f t="shared" si="218"/>
        <v>10790.2098723285</v>
      </c>
      <c r="S392" s="160">
        <f t="shared" si="219"/>
        <v>1.5707036501914511</v>
      </c>
      <c r="T392" s="160" t="str">
        <f t="shared" si="211"/>
        <v>1+0.00690573428863372i</v>
      </c>
      <c r="U392" s="160">
        <f t="shared" si="220"/>
        <v>1.0000238442987572</v>
      </c>
      <c r="V392" s="160">
        <f t="shared" si="221"/>
        <v>6.9056245155382648E-3</v>
      </c>
      <c r="W392" s="98" t="str">
        <f t="shared" si="212"/>
        <v>1-4.99450326691145i</v>
      </c>
      <c r="X392" s="160">
        <f t="shared" si="222"/>
        <v>5.0936296374186014</v>
      </c>
      <c r="Y392" s="160">
        <f t="shared" si="223"/>
        <v>-1.3731891304237147</v>
      </c>
      <c r="Z392" s="98" t="str">
        <f t="shared" si="213"/>
        <v>-4.46845037646363+0.396725164266068i</v>
      </c>
      <c r="AA392" s="160">
        <f t="shared" si="224"/>
        <v>4.4860271536048346</v>
      </c>
      <c r="AB392" s="160">
        <f t="shared" si="225"/>
        <v>3.0530412243283469</v>
      </c>
      <c r="AC392" s="171" t="str">
        <f t="shared" si="226"/>
        <v>0.108687405559735+0.0328077380763194i</v>
      </c>
      <c r="AD392" s="190">
        <f t="shared" si="227"/>
        <v>-18.897706745075997</v>
      </c>
      <c r="AE392" s="169">
        <f t="shared" si="228"/>
        <v>16.796654637893109</v>
      </c>
      <c r="AF392" s="98" t="str">
        <f t="shared" si="214"/>
        <v>-9.95024875621891E-06</v>
      </c>
      <c r="AG392" s="98" t="str">
        <f t="shared" si="215"/>
        <v>0.345632001146118i</v>
      </c>
      <c r="AH392" s="98">
        <f t="shared" si="229"/>
        <v>0.34563200114611797</v>
      </c>
      <c r="AI392" s="98">
        <f t="shared" si="230"/>
        <v>1.5707963267948966</v>
      </c>
      <c r="AJ392" s="98" t="str">
        <f t="shared" si="216"/>
        <v>1+3.44941772659027i</v>
      </c>
      <c r="AK392" s="98">
        <f t="shared" si="231"/>
        <v>3.5914457607647625</v>
      </c>
      <c r="AL392" s="98">
        <f t="shared" si="232"/>
        <v>1.2886274588970956</v>
      </c>
      <c r="AM392" s="98" t="str">
        <f t="shared" si="217"/>
        <v>1+3452.86714431686i</v>
      </c>
      <c r="AN392" s="98">
        <f t="shared" si="233"/>
        <v>3452.8672891240503</v>
      </c>
      <c r="AO392" s="98">
        <f t="shared" si="234"/>
        <v>1.5705067124163976</v>
      </c>
      <c r="AP392" s="168" t="str">
        <f t="shared" si="235"/>
        <v>-0.0076988730668758+0.0265854177949867i</v>
      </c>
      <c r="AQ392" s="98">
        <f t="shared" si="236"/>
        <v>-31.157388659563289</v>
      </c>
      <c r="AR392" s="169">
        <f t="shared" si="237"/>
        <v>106.15049155895409</v>
      </c>
      <c r="AS392" s="168" t="str">
        <f t="shared" si="238"/>
        <v>-0.0017089779630399+0.00263691747479782i</v>
      </c>
      <c r="AT392" s="190">
        <f t="shared" si="239"/>
        <v>-50.055095404639289</v>
      </c>
      <c r="AU392" s="169">
        <f t="shared" si="240"/>
        <v>122.9471461968473</v>
      </c>
      <c r="AV392" s="225"/>
      <c r="AX392">
        <f t="shared" si="241"/>
        <v>0</v>
      </c>
      <c r="AY392">
        <f t="shared" si="242"/>
        <v>0</v>
      </c>
    </row>
    <row r="393" spans="14:51" x14ac:dyDescent="0.55000000000000004">
      <c r="N393" s="170">
        <v>75</v>
      </c>
      <c r="O393" s="199">
        <f t="shared" si="243"/>
        <v>56234.132519034953</v>
      </c>
      <c r="P393" s="189" t="str">
        <f t="shared" si="209"/>
        <v>1078.86904761905</v>
      </c>
      <c r="Q393" s="160" t="str">
        <f t="shared" si="210"/>
        <v>1+11041.5461001747i</v>
      </c>
      <c r="R393" s="160">
        <f t="shared" si="218"/>
        <v>11041.546145458215</v>
      </c>
      <c r="S393" s="160">
        <f t="shared" si="219"/>
        <v>1.5707057597684861</v>
      </c>
      <c r="T393" s="160" t="str">
        <f t="shared" si="211"/>
        <v>1+0.0070665895041118i</v>
      </c>
      <c r="U393" s="160">
        <f t="shared" si="220"/>
        <v>1.0000249680319084</v>
      </c>
      <c r="V393" s="160">
        <f t="shared" si="221"/>
        <v>7.0664718802794348E-3</v>
      </c>
      <c r="W393" s="98" t="str">
        <f t="shared" si="212"/>
        <v>1-5.11084019295382i</v>
      </c>
      <c r="X393" s="160">
        <f t="shared" si="222"/>
        <v>5.2077526321737135</v>
      </c>
      <c r="Y393" s="160">
        <f t="shared" si="223"/>
        <v>-1.3775748541027164</v>
      </c>
      <c r="Z393" s="98" t="str">
        <f t="shared" si="213"/>
        <v>-4.72617050279475+0.405966080454898i</v>
      </c>
      <c r="AA393" s="160">
        <f t="shared" si="224"/>
        <v>4.7435741883064386</v>
      </c>
      <c r="AB393" s="160">
        <f t="shared" si="225"/>
        <v>3.0559055162806401</v>
      </c>
      <c r="AC393" s="171" t="str">
        <f t="shared" si="226"/>
        <v>0.102914511625617+0.0302705626217617i</v>
      </c>
      <c r="AD393" s="190">
        <f t="shared" si="227"/>
        <v>-19.390113301755171</v>
      </c>
      <c r="AE393" s="169">
        <f t="shared" si="228"/>
        <v>16.390354346100974</v>
      </c>
      <c r="AF393" s="98" t="str">
        <f t="shared" si="214"/>
        <v>-9.95024875621891E-06</v>
      </c>
      <c r="AG393" s="98" t="str">
        <f t="shared" si="215"/>
        <v>0.353682804680796i</v>
      </c>
      <c r="AH393" s="98">
        <f t="shared" si="229"/>
        <v>0.35368280468079599</v>
      </c>
      <c r="AI393" s="98">
        <f t="shared" si="230"/>
        <v>1.5707963267948966</v>
      </c>
      <c r="AJ393" s="98" t="str">
        <f t="shared" si="216"/>
        <v>1+3.52976498706883i</v>
      </c>
      <c r="AK393" s="98">
        <f t="shared" si="231"/>
        <v>3.6686838053908404</v>
      </c>
      <c r="AL393" s="98">
        <f t="shared" si="232"/>
        <v>1.2947255536855691</v>
      </c>
      <c r="AM393" s="98" t="str">
        <f t="shared" si="217"/>
        <v>1+3533.2947520559i</v>
      </c>
      <c r="AN393" s="98">
        <f t="shared" si="233"/>
        <v>3533.2948935668765</v>
      </c>
      <c r="AO393" s="98">
        <f t="shared" si="234"/>
        <v>1.5705133048441473</v>
      </c>
      <c r="AP393" s="168" t="str">
        <f t="shared" si="235"/>
        <v>-0.00737811156668506+0.0260711331344031i</v>
      </c>
      <c r="AQ393" s="98">
        <f t="shared" si="236"/>
        <v>-31.342208089285698</v>
      </c>
      <c r="AR393" s="169">
        <f t="shared" si="237"/>
        <v>105.80147418279066</v>
      </c>
      <c r="AS393" s="168" t="str">
        <f t="shared" si="238"/>
        <v>-0.00154850261676994+0.00245975834584385i</v>
      </c>
      <c r="AT393" s="190">
        <f t="shared" si="239"/>
        <v>-50.732321391040884</v>
      </c>
      <c r="AU393" s="169">
        <f t="shared" si="240"/>
        <v>122.19182852889158</v>
      </c>
      <c r="AV393" s="225"/>
      <c r="AX393">
        <f t="shared" si="241"/>
        <v>0</v>
      </c>
      <c r="AY393">
        <f t="shared" si="242"/>
        <v>0</v>
      </c>
    </row>
    <row r="394" spans="14:51" x14ac:dyDescent="0.55000000000000004">
      <c r="N394" s="170">
        <v>76</v>
      </c>
      <c r="O394" s="199">
        <f t="shared" si="243"/>
        <v>57543.993733715732</v>
      </c>
      <c r="P394" s="189" t="str">
        <f t="shared" si="209"/>
        <v>1078.86904761905</v>
      </c>
      <c r="Q394" s="160" t="str">
        <f t="shared" si="210"/>
        <v>1+11298.7367482537i</v>
      </c>
      <c r="R394" s="160">
        <f t="shared" si="218"/>
        <v>11298.736792506434</v>
      </c>
      <c r="S394" s="160">
        <f t="shared" si="219"/>
        <v>1.5707078213256862</v>
      </c>
      <c r="T394" s="160" t="str">
        <f t="shared" si="211"/>
        <v>1+0.00723119151888234i</v>
      </c>
      <c r="U394" s="160">
        <f t="shared" si="220"/>
        <v>1.0000261447236181</v>
      </c>
      <c r="V394" s="160">
        <f t="shared" si="221"/>
        <v>7.231065482853169E-3</v>
      </c>
      <c r="W394" s="98" t="str">
        <f t="shared" si="212"/>
        <v>1-5.22988695411647i</v>
      </c>
      <c r="X394" s="160">
        <f t="shared" si="222"/>
        <v>5.3246330909122408</v>
      </c>
      <c r="Y394" s="160">
        <f t="shared" si="223"/>
        <v>-1.3818680319967589</v>
      </c>
      <c r="Z394" s="98" t="str">
        <f t="shared" si="213"/>
        <v>-4.99603660448337+0.415422245233182i</v>
      </c>
      <c r="AA394" s="160">
        <f t="shared" si="224"/>
        <v>5.013278108700165</v>
      </c>
      <c r="AB394" s="160">
        <f t="shared" si="225"/>
        <v>3.0586331353034582</v>
      </c>
      <c r="AC394" s="171" t="str">
        <f t="shared" si="226"/>
        <v>0.0974911880499727+0.0279503693036978i</v>
      </c>
      <c r="AD394" s="190">
        <f t="shared" si="227"/>
        <v>-19.877638290806821</v>
      </c>
      <c r="AE394" s="169">
        <f t="shared" si="228"/>
        <v>15.997404714181862</v>
      </c>
      <c r="AF394" s="98" t="str">
        <f t="shared" si="214"/>
        <v>-9.95024875621891E-06</v>
      </c>
      <c r="AG394" s="98" t="str">
        <f t="shared" si="215"/>
        <v>0.361921135520061i</v>
      </c>
      <c r="AH394" s="98">
        <f t="shared" si="229"/>
        <v>0.361921135520061</v>
      </c>
      <c r="AI394" s="98">
        <f t="shared" si="230"/>
        <v>1.5707963267948966</v>
      </c>
      <c r="AJ394" s="98" t="str">
        <f t="shared" si="216"/>
        <v>1+3.6119837756655i</v>
      </c>
      <c r="AK394" s="98">
        <f t="shared" si="231"/>
        <v>3.7478562933590185</v>
      </c>
      <c r="AL394" s="98">
        <f t="shared" si="232"/>
        <v>1.300705268184416</v>
      </c>
      <c r="AM394" s="98" t="str">
        <f t="shared" si="217"/>
        <v>1+3615.59575944117i</v>
      </c>
      <c r="AN394" s="98">
        <f t="shared" si="233"/>
        <v>3615.5958977309633</v>
      </c>
      <c r="AO394" s="98">
        <f t="shared" si="234"/>
        <v>1.5705197472099444</v>
      </c>
      <c r="AP394" s="168" t="str">
        <f t="shared" si="235"/>
        <v>-0.00706968271301708+0.0255630721230695i</v>
      </c>
      <c r="AQ394" s="98">
        <f t="shared" si="236"/>
        <v>-31.52766105413507</v>
      </c>
      <c r="AR394" s="169">
        <f t="shared" si="237"/>
        <v>105.4592308996838</v>
      </c>
      <c r="AS394" s="168" t="str">
        <f t="shared" si="238"/>
        <v>-0.00140372907320524+0.00229457402879639i</v>
      </c>
      <c r="AT394" s="190">
        <f t="shared" si="239"/>
        <v>-51.405299344941895</v>
      </c>
      <c r="AU394" s="169">
        <f t="shared" si="240"/>
        <v>121.45663561386556</v>
      </c>
      <c r="AV394" s="225"/>
      <c r="AX394">
        <f t="shared" si="241"/>
        <v>0</v>
      </c>
      <c r="AY394">
        <f t="shared" si="242"/>
        <v>0</v>
      </c>
    </row>
    <row r="395" spans="14:51" x14ac:dyDescent="0.55000000000000004">
      <c r="N395" s="170">
        <v>77</v>
      </c>
      <c r="O395" s="199">
        <f t="shared" si="243"/>
        <v>58884.365535558936</v>
      </c>
      <c r="P395" s="189" t="str">
        <f t="shared" si="209"/>
        <v>1078.86904761905</v>
      </c>
      <c r="Q395" s="160" t="str">
        <f t="shared" si="210"/>
        <v>1+11561.918136113i</v>
      </c>
      <c r="R395" s="160">
        <f t="shared" si="218"/>
        <v>11561.918179358418</v>
      </c>
      <c r="S395" s="160">
        <f t="shared" si="219"/>
        <v>1.5707098359561158</v>
      </c>
      <c r="T395" s="160" t="str">
        <f t="shared" si="211"/>
        <v>1+0.00739962760711232i</v>
      </c>
      <c r="U395" s="160">
        <f t="shared" si="220"/>
        <v>1.0000273768696155</v>
      </c>
      <c r="V395" s="160">
        <f t="shared" si="221"/>
        <v>7.3994925572735855E-3</v>
      </c>
      <c r="W395" s="98" t="str">
        <f t="shared" si="212"/>
        <v>1-5.35170667056792i</v>
      </c>
      <c r="X395" s="160">
        <f t="shared" si="222"/>
        <v>5.4443332271088236</v>
      </c>
      <c r="Y395" s="160">
        <f t="shared" si="223"/>
        <v>-1.3860703070668732</v>
      </c>
      <c r="Z395" s="98" t="str">
        <f t="shared" si="213"/>
        <v>-5.2786211037127+0.425098672384652i</v>
      </c>
      <c r="AA395" s="160">
        <f t="shared" si="224"/>
        <v>5.2957104941475297</v>
      </c>
      <c r="AB395" s="160">
        <f t="shared" si="225"/>
        <v>3.0612339308196521</v>
      </c>
      <c r="AC395" s="171" t="str">
        <f t="shared" si="226"/>
        <v>0.0923920215645659+0.0258261332850173i</v>
      </c>
      <c r="AD395" s="190">
        <f t="shared" si="227"/>
        <v>-20.360576097722252</v>
      </c>
      <c r="AE395" s="169">
        <f t="shared" si="228"/>
        <v>15.61715221255597</v>
      </c>
      <c r="AF395" s="98" t="str">
        <f t="shared" si="214"/>
        <v>-9.95024875621891E-06</v>
      </c>
      <c r="AG395" s="98" t="str">
        <f t="shared" si="215"/>
        <v>0.370351361735972i</v>
      </c>
      <c r="AH395" s="98">
        <f t="shared" si="229"/>
        <v>0.370351361735972</v>
      </c>
      <c r="AI395" s="98">
        <f t="shared" si="230"/>
        <v>1.5707963267948966</v>
      </c>
      <c r="AJ395" s="98" t="str">
        <f t="shared" si="216"/>
        <v>1+3.69611768587029i</v>
      </c>
      <c r="AK395" s="98">
        <f t="shared" si="231"/>
        <v>3.8290058693873981</v>
      </c>
      <c r="AL395" s="98">
        <f t="shared" si="232"/>
        <v>1.3065680617082365</v>
      </c>
      <c r="AM395" s="98" t="str">
        <f t="shared" si="217"/>
        <v>1+3699.81380355616i</v>
      </c>
      <c r="AN395" s="98">
        <f t="shared" si="233"/>
        <v>3699.8139386980934</v>
      </c>
      <c r="AO395" s="98">
        <f t="shared" si="234"/>
        <v>1.5705260429296146</v>
      </c>
      <c r="AP395" s="168" t="str">
        <f t="shared" si="235"/>
        <v>-0.00677319718410473+0.0250614009526041i</v>
      </c>
      <c r="AQ395" s="98">
        <f t="shared" si="236"/>
        <v>-31.713723108796881</v>
      </c>
      <c r="AR395" s="169">
        <f t="shared" si="237"/>
        <v>105.12367829277845</v>
      </c>
      <c r="AS395" s="168" t="str">
        <f t="shared" si="238"/>
        <v>-0.00127302846160607+0.00214054800400884i</v>
      </c>
      <c r="AT395" s="190">
        <f t="shared" si="239"/>
        <v>-52.074299206519129</v>
      </c>
      <c r="AU395" s="169">
        <f t="shared" si="240"/>
        <v>120.74083050533432</v>
      </c>
      <c r="AV395" s="225"/>
      <c r="AX395">
        <f t="shared" si="241"/>
        <v>0</v>
      </c>
      <c r="AY395">
        <f t="shared" si="242"/>
        <v>0</v>
      </c>
    </row>
    <row r="396" spans="14:51" x14ac:dyDescent="0.55000000000000004">
      <c r="N396" s="170">
        <v>78</v>
      </c>
      <c r="O396" s="199">
        <f t="shared" si="243"/>
        <v>60255.95860743591</v>
      </c>
      <c r="P396" s="189" t="str">
        <f t="shared" si="209"/>
        <v>1078.86904761905</v>
      </c>
      <c r="Q396" s="160" t="str">
        <f t="shared" si="210"/>
        <v>1+11831.2298060082i</v>
      </c>
      <c r="R396" s="160">
        <f t="shared" si="218"/>
        <v>11831.229848269231</v>
      </c>
      <c r="S396" s="160">
        <f t="shared" si="219"/>
        <v>1.5707118047279589</v>
      </c>
      <c r="T396" s="160" t="str">
        <f t="shared" si="211"/>
        <v>1+0.00757198707584526i</v>
      </c>
      <c r="U396" s="160">
        <f t="shared" si="220"/>
        <v>1.0000286670832377</v>
      </c>
      <c r="V396" s="160">
        <f t="shared" si="221"/>
        <v>7.5718423675599283E-3</v>
      </c>
      <c r="W396" s="98" t="str">
        <f t="shared" si="212"/>
        <v>1-5.47636393273433i</v>
      </c>
      <c r="X396" s="160">
        <f t="shared" si="222"/>
        <v>5.5669167340416914</v>
      </c>
      <c r="Y396" s="160">
        <f t="shared" si="223"/>
        <v>-1.390183313458629</v>
      </c>
      <c r="Z396" s="98" t="str">
        <f t="shared" si="213"/>
        <v>-5.57452340009244+0.435000492479068i</v>
      </c>
      <c r="AA396" s="160">
        <f t="shared" si="224"/>
        <v>5.5914699826284693</v>
      </c>
      <c r="AB396" s="160">
        <f t="shared" si="225"/>
        <v>3.0637168011512133</v>
      </c>
      <c r="AC396" s="171" t="str">
        <f t="shared" si="226"/>
        <v>0.0875938626228597+0.0238791829182169i</v>
      </c>
      <c r="AD396" s="190">
        <f t="shared" si="227"/>
        <v>-20.839199611400481</v>
      </c>
      <c r="AE396" s="169">
        <f t="shared" si="228"/>
        <v>15.248998428533177</v>
      </c>
      <c r="AF396" s="98" t="str">
        <f t="shared" si="214"/>
        <v>-9.95024875621891E-06</v>
      </c>
      <c r="AG396" s="98" t="str">
        <f t="shared" si="215"/>
        <v>0.378977953146055i</v>
      </c>
      <c r="AH396" s="98">
        <f t="shared" si="229"/>
        <v>0.37897795314605498</v>
      </c>
      <c r="AI396" s="98">
        <f t="shared" si="230"/>
        <v>1.5707963267948966</v>
      </c>
      <c r="AJ396" s="98" t="str">
        <f t="shared" si="216"/>
        <v>1+3.78221132659603i</v>
      </c>
      <c r="AK396" s="98">
        <f t="shared" si="231"/>
        <v>3.9121761871152092</v>
      </c>
      <c r="AL396" s="98">
        <f t="shared" si="232"/>
        <v>1.312315429995023</v>
      </c>
      <c r="AM396" s="98" t="str">
        <f t="shared" si="217"/>
        <v>1+3785.99353792263i</v>
      </c>
      <c r="AN396" s="98">
        <f t="shared" si="233"/>
        <v>3785.9936699883574</v>
      </c>
      <c r="AO396" s="98">
        <f t="shared" si="234"/>
        <v>1.5705321953412297</v>
      </c>
      <c r="AP396" s="168" t="str">
        <f t="shared" si="235"/>
        <v>-0.00648827087620724+0.0245662670798268i</v>
      </c>
      <c r="AQ396" s="98">
        <f t="shared" si="236"/>
        <v>-31.900370586907979</v>
      </c>
      <c r="AR396" s="169">
        <f t="shared" si="237"/>
        <v>104.79473085385757</v>
      </c>
      <c r="AS396" s="168" t="str">
        <f t="shared" si="238"/>
        <v>-0.00115495509300735+0.00199691961667094i</v>
      </c>
      <c r="AT396" s="190">
        <f t="shared" si="239"/>
        <v>-52.739570198308463</v>
      </c>
      <c r="AU396" s="169">
        <f t="shared" si="240"/>
        <v>120.04372928239066</v>
      </c>
      <c r="AV396" s="225"/>
      <c r="AX396">
        <f t="shared" si="241"/>
        <v>0</v>
      </c>
      <c r="AY396">
        <f t="shared" si="242"/>
        <v>0</v>
      </c>
    </row>
    <row r="397" spans="14:51" x14ac:dyDescent="0.55000000000000004">
      <c r="N397" s="170">
        <v>79</v>
      </c>
      <c r="O397" s="199">
        <f t="shared" si="243"/>
        <v>61659.500186148245</v>
      </c>
      <c r="P397" s="189" t="str">
        <f t="shared" si="209"/>
        <v>1078.86904761905</v>
      </c>
      <c r="Q397" s="160" t="str">
        <f t="shared" si="210"/>
        <v>1+12106.8145505514i</v>
      </c>
      <c r="R397" s="160">
        <f t="shared" si="218"/>
        <v>12106.814591850454</v>
      </c>
      <c r="S397" s="160">
        <f t="shared" si="219"/>
        <v>1.5707137286850841</v>
      </c>
      <c r="T397" s="160" t="str">
        <f t="shared" si="211"/>
        <v>1+0.00774836131235288i</v>
      </c>
      <c r="U397" s="160">
        <f t="shared" si="220"/>
        <v>1.0000300181009703</v>
      </c>
      <c r="V397" s="160">
        <f t="shared" si="221"/>
        <v>7.7482062548828966E-3</v>
      </c>
      <c r="W397" s="98" t="str">
        <f t="shared" si="212"/>
        <v>1-5.6039248355461i</v>
      </c>
      <c r="X397" s="160">
        <f t="shared" si="222"/>
        <v>5.6924488194844916</v>
      </c>
      <c r="Y397" s="160">
        <f t="shared" si="223"/>
        <v>-1.3942086750378297</v>
      </c>
      <c r="Z397" s="98" t="str">
        <f t="shared" si="213"/>
        <v>-5.88437114206543+0.445132955592506i</v>
      </c>
      <c r="AA397" s="160">
        <f t="shared" si="224"/>
        <v>5.9011835326252084</v>
      </c>
      <c r="AB397" s="160">
        <f t="shared" si="225"/>
        <v>3.0660898055018464</v>
      </c>
      <c r="AC397" s="171" t="str">
        <f t="shared" si="226"/>
        <v>0.0830755832751865+0.0220928945341933i</v>
      </c>
      <c r="AD397" s="190">
        <f t="shared" si="227"/>
        <v>-21.313762175056322</v>
      </c>
      <c r="AE397" s="169">
        <f t="shared" si="228"/>
        <v>14.892393736752261</v>
      </c>
      <c r="AF397" s="98" t="str">
        <f t="shared" si="214"/>
        <v>-9.95024875621891E-06</v>
      </c>
      <c r="AG397" s="98" t="str">
        <f t="shared" si="215"/>
        <v>0.387805483683261i</v>
      </c>
      <c r="AH397" s="98">
        <f t="shared" si="229"/>
        <v>0.38780548368326101</v>
      </c>
      <c r="AI397" s="98">
        <f t="shared" si="230"/>
        <v>1.5707963267948966</v>
      </c>
      <c r="AJ397" s="98" t="str">
        <f t="shared" si="216"/>
        <v>1+3.87031034583061i</v>
      </c>
      <c r="AK397" s="98">
        <f t="shared" si="231"/>
        <v>3.9974119343699686</v>
      </c>
      <c r="AL397" s="98">
        <f t="shared" si="232"/>
        <v>1.3179489009663123</v>
      </c>
      <c r="AM397" s="98" t="str">
        <f t="shared" si="217"/>
        <v>1+3874.18065617644i</v>
      </c>
      <c r="AN397" s="98">
        <f t="shared" si="233"/>
        <v>3874.1807852359852</v>
      </c>
      <c r="AO397" s="98">
        <f t="shared" si="234"/>
        <v>1.5705382077068781</v>
      </c>
      <c r="AP397" s="168" t="str">
        <f t="shared" si="235"/>
        <v>-0.00621452549189142+0.0240778001397768i</v>
      </c>
      <c r="AQ397" s="98">
        <f t="shared" si="236"/>
        <v>-32.087580589942839</v>
      </c>
      <c r="AR397" s="169">
        <f t="shared" si="237"/>
        <v>104.47230122636981</v>
      </c>
      <c r="AS397" s="168" t="str">
        <f t="shared" si="238"/>
        <v>-0.00104822362912087+0.00186298043432291i</v>
      </c>
      <c r="AT397" s="190">
        <f t="shared" si="239"/>
        <v>-53.401342764999164</v>
      </c>
      <c r="AU397" s="169">
        <f t="shared" si="240"/>
        <v>119.36469496312212</v>
      </c>
      <c r="AV397" s="225"/>
      <c r="AX397">
        <f t="shared" si="241"/>
        <v>0</v>
      </c>
      <c r="AY397">
        <f t="shared" si="242"/>
        <v>0</v>
      </c>
    </row>
    <row r="398" spans="14:51" x14ac:dyDescent="0.55000000000000004">
      <c r="N398" s="170">
        <v>80</v>
      </c>
      <c r="O398" s="199">
        <f t="shared" si="243"/>
        <v>63095.734448019342</v>
      </c>
      <c r="P398" s="189" t="str">
        <f t="shared" si="209"/>
        <v>1078.86904761905</v>
      </c>
      <c r="Q398" s="160" t="str">
        <f t="shared" si="210"/>
        <v>1+12388.8184884219i</v>
      </c>
      <c r="R398" s="160">
        <f t="shared" si="218"/>
        <v>12388.818528780874</v>
      </c>
      <c r="S398" s="160">
        <f t="shared" si="219"/>
        <v>1.5707156088475991</v>
      </c>
      <c r="T398" s="160" t="str">
        <f t="shared" si="211"/>
        <v>1+0.00792884383259i</v>
      </c>
      <c r="U398" s="160">
        <f t="shared" si="220"/>
        <v>1.0000314327882507</v>
      </c>
      <c r="V398" s="160">
        <f t="shared" si="221"/>
        <v>7.9286776857995407E-3</v>
      </c>
      <c r="W398" s="98" t="str">
        <f t="shared" si="212"/>
        <v>1-5.73445701348239i</v>
      </c>
      <c r="X398" s="160">
        <f t="shared" si="222"/>
        <v>5.8209962411495653</v>
      </c>
      <c r="Y398" s="160">
        <f t="shared" si="223"/>
        <v>-1.3981480040462779</v>
      </c>
      <c r="Z398" s="98" t="str">
        <f t="shared" si="213"/>
        <v>-6.20882155823447+0.455501434091031i</v>
      </c>
      <c r="AA398" s="160">
        <f t="shared" si="224"/>
        <v>6.2255077462369357</v>
      </c>
      <c r="AB398" s="160">
        <f t="shared" si="225"/>
        <v>3.0683602605604126</v>
      </c>
      <c r="AC398" s="171" t="str">
        <f t="shared" si="226"/>
        <v>0.0788178649925085+0.0204524325744234i</v>
      </c>
      <c r="AD398" s="190">
        <f t="shared" si="227"/>
        <v>-21.784499321194719</v>
      </c>
      <c r="AE398" s="169">
        <f t="shared" si="228"/>
        <v>14.546831843962117</v>
      </c>
      <c r="AF398" s="98" t="str">
        <f t="shared" si="214"/>
        <v>-9.95024875621891E-06</v>
      </c>
      <c r="AG398" s="98" t="str">
        <f t="shared" si="215"/>
        <v>0.39683863382113i</v>
      </c>
      <c r="AH398" s="98">
        <f t="shared" si="229"/>
        <v>0.39683863382112999</v>
      </c>
      <c r="AI398" s="98">
        <f t="shared" si="230"/>
        <v>1.5707963267948966</v>
      </c>
      <c r="AJ398" s="98" t="str">
        <f t="shared" si="216"/>
        <v>1+3.96046145484016i</v>
      </c>
      <c r="AK398" s="98">
        <f t="shared" si="231"/>
        <v>4.0847588588893027</v>
      </c>
      <c r="AL398" s="98">
        <f t="shared" si="232"/>
        <v>1.3234700306979552</v>
      </c>
      <c r="AM398" s="98" t="str">
        <f t="shared" si="217"/>
        <v>1+3964.421916295i</v>
      </c>
      <c r="AN398" s="98">
        <f t="shared" si="233"/>
        <v>3964.4220424167906</v>
      </c>
      <c r="AO398" s="98">
        <f t="shared" si="234"/>
        <v>1.5705440832143935</v>
      </c>
      <c r="AP398" s="168" t="str">
        <f t="shared" si="235"/>
        <v>-0.005951589057658+0.0235961128483764i</v>
      </c>
      <c r="AQ398" s="98">
        <f t="shared" si="236"/>
        <v>-32.275330974986801</v>
      </c>
      <c r="AR398" s="169">
        <f t="shared" si="237"/>
        <v>104.15630043638562</v>
      </c>
      <c r="AS398" s="168" t="str">
        <f t="shared" si="238"/>
        <v>-0.000951689449887283+0.0017380707629189i</v>
      </c>
      <c r="AT398" s="190">
        <f t="shared" si="239"/>
        <v>-54.059830296181524</v>
      </c>
      <c r="AU398" s="169">
        <f t="shared" si="240"/>
        <v>118.70313228034775</v>
      </c>
      <c r="AV398" s="225"/>
      <c r="AX398">
        <f t="shared" si="241"/>
        <v>0</v>
      </c>
      <c r="AY398">
        <f t="shared" si="242"/>
        <v>0</v>
      </c>
    </row>
    <row r="399" spans="14:51" x14ac:dyDescent="0.55000000000000004">
      <c r="N399" s="170">
        <v>81</v>
      </c>
      <c r="O399" s="199">
        <f t="shared" si="243"/>
        <v>64565.422903465682</v>
      </c>
      <c r="P399" s="189" t="str">
        <f t="shared" si="209"/>
        <v>1078.86904761905</v>
      </c>
      <c r="Q399" s="160" t="str">
        <f t="shared" si="210"/>
        <v>1+12677.3911418404i</v>
      </c>
      <c r="R399" s="160">
        <f t="shared" si="218"/>
        <v>12677.391181280693</v>
      </c>
      <c r="S399" s="160">
        <f t="shared" si="219"/>
        <v>1.5707174462123905</v>
      </c>
      <c r="T399" s="160" t="str">
        <f t="shared" si="211"/>
        <v>1+0.00811353033077784i</v>
      </c>
      <c r="U399" s="160">
        <f t="shared" si="220"/>
        <v>1.0000329141455437</v>
      </c>
      <c r="V399" s="160">
        <f t="shared" si="221"/>
        <v>8.1133523016008232E-3</v>
      </c>
      <c r="W399" s="98" t="str">
        <f t="shared" si="212"/>
        <v>1-5.86802967643177i</v>
      </c>
      <c r="X399" s="160">
        <f t="shared" si="222"/>
        <v>5.9526273429036314</v>
      </c>
      <c r="Y399" s="160">
        <f t="shared" si="223"/>
        <v>-1.4020028998714484</v>
      </c>
      <c r="Z399" s="98" t="str">
        <f t="shared" si="213"/>
        <v>-6.54856285143213+0.466111425479187i</v>
      </c>
      <c r="AA399" s="160">
        <f t="shared" si="224"/>
        <v>6.565130256142611</v>
      </c>
      <c r="AB399" s="160">
        <f t="shared" si="225"/>
        <v>3.0705348241267756</v>
      </c>
      <c r="AC399" s="171" t="str">
        <f t="shared" si="226"/>
        <v>0.074803012298122+0.0189445274863011i</v>
      </c>
      <c r="AD399" s="190">
        <f t="shared" si="227"/>
        <v>-22.251630318668564</v>
      </c>
      <c r="AE399" s="169">
        <f t="shared" si="228"/>
        <v>14.211845070902339</v>
      </c>
      <c r="AF399" s="98" t="str">
        <f t="shared" si="214"/>
        <v>-9.95024875621891E-06</v>
      </c>
      <c r="AG399" s="98" t="str">
        <f t="shared" si="215"/>
        <v>0.406082193055431i</v>
      </c>
      <c r="AH399" s="98">
        <f t="shared" si="229"/>
        <v>0.40608219305543097</v>
      </c>
      <c r="AI399" s="98">
        <f t="shared" si="230"/>
        <v>1.5707963267948966</v>
      </c>
      <c r="AJ399" s="98" t="str">
        <f t="shared" si="216"/>
        <v>1+4.05271245293598i</v>
      </c>
      <c r="AK399" s="98">
        <f t="shared" si="231"/>
        <v>4.1742637945130356</v>
      </c>
      <c r="AL399" s="98">
        <f t="shared" si="232"/>
        <v>1.3288803995986815</v>
      </c>
      <c r="AM399" s="98" t="str">
        <f t="shared" si="217"/>
        <v>1+4056.76516538892i</v>
      </c>
      <c r="AN399" s="98">
        <f t="shared" si="233"/>
        <v>4056.7652886398282</v>
      </c>
      <c r="AO399" s="98">
        <f t="shared" si="234"/>
        <v>1.5705498249790466</v>
      </c>
      <c r="AP399" s="168" t="str">
        <f t="shared" si="235"/>
        <v>-0.00569909637510971+0.0231213018912107i</v>
      </c>
      <c r="AQ399" s="98">
        <f t="shared" si="236"/>
        <v>-32.463600341534558</v>
      </c>
      <c r="AR399" s="169">
        <f t="shared" si="237"/>
        <v>103.84663811164663</v>
      </c>
      <c r="AS399" s="168" t="str">
        <f t="shared" si="238"/>
        <v>-0.000864331715432621+0.00162157634179148i</v>
      </c>
      <c r="AT399" s="190">
        <f t="shared" si="239"/>
        <v>-54.715230660203119</v>
      </c>
      <c r="AU399" s="169">
        <f t="shared" si="240"/>
        <v>118.05848318254897</v>
      </c>
      <c r="AV399" s="225"/>
      <c r="AX399">
        <f t="shared" si="241"/>
        <v>0</v>
      </c>
      <c r="AY399">
        <f t="shared" si="242"/>
        <v>0</v>
      </c>
    </row>
    <row r="400" spans="14:51" x14ac:dyDescent="0.55000000000000004">
      <c r="N400" s="170">
        <v>82</v>
      </c>
      <c r="O400" s="199">
        <f t="shared" si="243"/>
        <v>66069.344800759733</v>
      </c>
      <c r="P400" s="189" t="str">
        <f t="shared" si="209"/>
        <v>1078.86904761905</v>
      </c>
      <c r="Q400" s="160" t="str">
        <f t="shared" si="210"/>
        <v>1+12972.6855158474i</v>
      </c>
      <c r="R400" s="160">
        <f t="shared" si="218"/>
        <v>12972.685554389922</v>
      </c>
      <c r="S400" s="160">
        <f t="shared" si="219"/>
        <v>1.5707192417536537</v>
      </c>
      <c r="T400" s="160" t="str">
        <f t="shared" si="211"/>
        <v>1+0.00830251873014232i</v>
      </c>
      <c r="U400" s="160">
        <f t="shared" si="220"/>
        <v>1.0000344653147033</v>
      </c>
      <c r="V400" s="160">
        <f t="shared" si="221"/>
        <v>8.3023279687973271E-3</v>
      </c>
      <c r="W400" s="98" t="str">
        <f t="shared" si="212"/>
        <v>1-6.00471364638813i</v>
      </c>
      <c r="X400" s="160">
        <f t="shared" si="222"/>
        <v>6.0874120917775754</v>
      </c>
      <c r="Y400" s="160">
        <f t="shared" si="223"/>
        <v>-1.4057749479240735</v>
      </c>
      <c r="Z400" s="98" t="str">
        <f t="shared" si="213"/>
        <v>-6.90431565849109+0.476968555314845i</v>
      </c>
      <c r="AA400" s="160">
        <f t="shared" si="224"/>
        <v>6.9207711791999289</v>
      </c>
      <c r="AB400" s="160">
        <f t="shared" si="225"/>
        <v>3.0726195677433457</v>
      </c>
      <c r="AC400" s="171" t="str">
        <f t="shared" si="226"/>
        <v>0.0710147886894112+0.0175572852033713i</v>
      </c>
      <c r="AD400" s="190">
        <f t="shared" si="227"/>
        <v>-22.715359555720781</v>
      </c>
      <c r="AE400" s="169">
        <f t="shared" si="228"/>
        <v>13.887000257994732</v>
      </c>
      <c r="AF400" s="98" t="str">
        <f t="shared" si="214"/>
        <v>-9.95024875621891E-06</v>
      </c>
      <c r="AG400" s="98" t="str">
        <f t="shared" si="215"/>
        <v>0.415541062443623i</v>
      </c>
      <c r="AH400" s="98">
        <f t="shared" si="229"/>
        <v>0.41554106244362299</v>
      </c>
      <c r="AI400" s="98">
        <f t="shared" si="230"/>
        <v>1.5707963267948966</v>
      </c>
      <c r="AJ400" s="98" t="str">
        <f t="shared" si="216"/>
        <v>1+4.14711225281834i</v>
      </c>
      <c r="AK400" s="98">
        <f t="shared" si="231"/>
        <v>4.2659746878616156</v>
      </c>
      <c r="AL400" s="98">
        <f t="shared" si="232"/>
        <v>1.3341816087928788</v>
      </c>
      <c r="AM400" s="98" t="str">
        <f t="shared" si="217"/>
        <v>1+4151.25936507116i</v>
      </c>
      <c r="AN400" s="98">
        <f t="shared" si="233"/>
        <v>4151.2594855165353</v>
      </c>
      <c r="AO400" s="98">
        <f t="shared" si="234"/>
        <v>1.5705554360451952</v>
      </c>
      <c r="AP400" s="168" t="str">
        <f t="shared" si="235"/>
        <v>-0.00545668940983834+0.0226534487953703i</v>
      </c>
      <c r="AQ400" s="98">
        <f t="shared" si="236"/>
        <v>-32.652368017443173</v>
      </c>
      <c r="AR400" s="169">
        <f t="shared" si="237"/>
        <v>103.54322268891212</v>
      </c>
      <c r="AS400" s="168" t="str">
        <f t="shared" si="238"/>
        <v>-0.000785238706723702+0.00151292522705487i</v>
      </c>
      <c r="AT400" s="190">
        <f t="shared" si="239"/>
        <v>-55.367727573163961</v>
      </c>
      <c r="AU400" s="169">
        <f t="shared" si="240"/>
        <v>117.43022294690689</v>
      </c>
      <c r="AV400" s="225"/>
      <c r="AX400">
        <f t="shared" si="241"/>
        <v>0</v>
      </c>
      <c r="AY400">
        <f t="shared" si="242"/>
        <v>0</v>
      </c>
    </row>
    <row r="401" spans="14:51" x14ac:dyDescent="0.55000000000000004">
      <c r="N401" s="170">
        <v>83</v>
      </c>
      <c r="O401" s="199">
        <f t="shared" si="243"/>
        <v>67608.297539198305</v>
      </c>
      <c r="P401" s="189" t="str">
        <f t="shared" si="209"/>
        <v>1078.86904761905</v>
      </c>
      <c r="Q401" s="160" t="str">
        <f t="shared" si="210"/>
        <v>1+13274.8581794287i</v>
      </c>
      <c r="R401" s="160">
        <f t="shared" si="218"/>
        <v>13274.858217093884</v>
      </c>
      <c r="S401" s="160">
        <f t="shared" si="219"/>
        <v>1.5707209964234086</v>
      </c>
      <c r="T401" s="160" t="str">
        <f t="shared" si="211"/>
        <v>1+0.00849590923483434i</v>
      </c>
      <c r="U401" s="160">
        <f t="shared" si="220"/>
        <v>1.0000360895856342</v>
      </c>
      <c r="V401" s="160">
        <f t="shared" si="221"/>
        <v>8.4957048307688875E-3</v>
      </c>
      <c r="W401" s="98" t="str">
        <f t="shared" si="212"/>
        <v>1-6.14458139500159i</v>
      </c>
      <c r="X401" s="160">
        <f t="shared" si="222"/>
        <v>6.2254221157926048</v>
      </c>
      <c r="Y401" s="160">
        <f t="shared" si="223"/>
        <v>-1.4094657186178101</v>
      </c>
      <c r="Z401" s="98" t="str">
        <f t="shared" si="213"/>
        <v>-7.27683457881178+0.488078580191956i</v>
      </c>
      <c r="AA401" s="160">
        <f t="shared" si="224"/>
        <v>7.2931846396367215</v>
      </c>
      <c r="AB401" s="160">
        <f t="shared" si="225"/>
        <v>3.0746200399773498</v>
      </c>
      <c r="AC401" s="171" t="str">
        <f t="shared" si="226"/>
        <v>0.0674382718551685+0.01628002315126i</v>
      </c>
      <c r="AD401" s="190">
        <f t="shared" si="227"/>
        <v>-23.175877779460762</v>
      </c>
      <c r="AE401" s="169">
        <f t="shared" si="228"/>
        <v>13.571895200926638</v>
      </c>
      <c r="AF401" s="98" t="str">
        <f t="shared" si="214"/>
        <v>-9.95024875621891E-06</v>
      </c>
      <c r="AG401" s="98" t="str">
        <f t="shared" si="215"/>
        <v>0.425220257203458i</v>
      </c>
      <c r="AH401" s="98">
        <f t="shared" si="229"/>
        <v>0.42522025720345802</v>
      </c>
      <c r="AI401" s="98">
        <f t="shared" si="230"/>
        <v>1.5707963267948966</v>
      </c>
      <c r="AJ401" s="98" t="str">
        <f t="shared" si="216"/>
        <v>1+4.24371090651066i</v>
      </c>
      <c r="AK401" s="98">
        <f t="shared" si="231"/>
        <v>4.3599406255174546</v>
      </c>
      <c r="AL401" s="98">
        <f t="shared" si="232"/>
        <v>1.3393752767033449</v>
      </c>
      <c r="AM401" s="98" t="str">
        <f t="shared" si="217"/>
        <v>1+4247.95461741717i</v>
      </c>
      <c r="AN401" s="98">
        <f t="shared" si="233"/>
        <v>4247.9547351208739</v>
      </c>
      <c r="AO401" s="98">
        <f t="shared" si="234"/>
        <v>1.5705609193878995</v>
      </c>
      <c r="AP401" s="168" t="str">
        <f t="shared" si="235"/>
        <v>-0.00522401762215673+0.022192620781747i</v>
      </c>
      <c r="AQ401" s="98">
        <f t="shared" si="236"/>
        <v>-32.841614044161211</v>
      </c>
      <c r="AR401" s="169">
        <f t="shared" si="237"/>
        <v>103.24596160984451</v>
      </c>
      <c r="AS401" s="168" t="str">
        <f t="shared" si="238"/>
        <v>-0.000713595100693171+0.00141158486562681i</v>
      </c>
      <c r="AT401" s="190">
        <f t="shared" si="239"/>
        <v>-56.017491823621995</v>
      </c>
      <c r="AU401" s="169">
        <f t="shared" si="240"/>
        <v>116.8178568107712</v>
      </c>
      <c r="AV401" s="225"/>
      <c r="AX401">
        <f t="shared" si="241"/>
        <v>0</v>
      </c>
      <c r="AY401">
        <f t="shared" si="242"/>
        <v>0</v>
      </c>
    </row>
    <row r="402" spans="14:51" x14ac:dyDescent="0.55000000000000004">
      <c r="N402" s="170">
        <v>84</v>
      </c>
      <c r="O402" s="199">
        <f t="shared" si="243"/>
        <v>69183.097091893651</v>
      </c>
      <c r="P402" s="189" t="str">
        <f t="shared" si="209"/>
        <v>1078.86904761905</v>
      </c>
      <c r="Q402" s="160" t="str">
        <f t="shared" si="210"/>
        <v>1+13584.0693485302i</v>
      </c>
      <c r="R402" s="160">
        <f t="shared" si="218"/>
        <v>13584.069385338022</v>
      </c>
      <c r="S402" s="160">
        <f t="shared" si="219"/>
        <v>1.5707227111520037</v>
      </c>
      <c r="T402" s="160" t="str">
        <f t="shared" si="211"/>
        <v>1+0.0086938043830593i</v>
      </c>
      <c r="U402" s="160">
        <f t="shared" si="220"/>
        <v>1.0000377904032682</v>
      </c>
      <c r="V402" s="160">
        <f t="shared" si="221"/>
        <v>8.6935853606041093E-3</v>
      </c>
      <c r="W402" s="98" t="str">
        <f t="shared" si="212"/>
        <v>1-6.28770708200381i</v>
      </c>
      <c r="X402" s="160">
        <f t="shared" si="222"/>
        <v>6.3667307426245747</v>
      </c>
      <c r="Y402" s="160">
        <f t="shared" si="223"/>
        <v>-1.4130767664453083</v>
      </c>
      <c r="Z402" s="98" t="str">
        <f t="shared" si="213"/>
        <v>-7.6669097749686+0.499447390792767i</v>
      </c>
      <c r="AA402" s="160">
        <f t="shared" si="224"/>
        <v>7.6831603649591207</v>
      </c>
      <c r="AB402" s="160">
        <f t="shared" si="225"/>
        <v>3.0765413217240232</v>
      </c>
      <c r="AC402" s="171" t="str">
        <f t="shared" si="226"/>
        <v>0.0640597256343535+0.01510312861785i</v>
      </c>
      <c r="AD402" s="190">
        <f t="shared" si="227"/>
        <v>-23.633363209326461</v>
      </c>
      <c r="AE402" s="169">
        <f t="shared" si="228"/>
        <v>13.266155537947068</v>
      </c>
      <c r="AF402" s="98" t="str">
        <f t="shared" si="214"/>
        <v>-9.95024875621891E-06</v>
      </c>
      <c r="AG402" s="98" t="str">
        <f t="shared" si="215"/>
        <v>0.435124909372118i</v>
      </c>
      <c r="AH402" s="98">
        <f t="shared" si="229"/>
        <v>0.43512490937211801</v>
      </c>
      <c r="AI402" s="98">
        <f t="shared" si="230"/>
        <v>1.5707963267948966</v>
      </c>
      <c r="AJ402" s="98" t="str">
        <f t="shared" si="216"/>
        <v>1+4.34255963189775i</v>
      </c>
      <c r="AK402" s="98">
        <f t="shared" si="231"/>
        <v>4.4562118617260467</v>
      </c>
      <c r="AL402" s="98">
        <f t="shared" si="232"/>
        <v>1.3444630358292211</v>
      </c>
      <c r="AM402" s="98" t="str">
        <f t="shared" si="217"/>
        <v>1+4346.90219152965i</v>
      </c>
      <c r="AN402" s="98">
        <f t="shared" si="233"/>
        <v>4346.9023065540905</v>
      </c>
      <c r="AO402" s="98">
        <f t="shared" si="234"/>
        <v>1.5705662779144991</v>
      </c>
      <c r="AP402" s="168" t="str">
        <f t="shared" si="235"/>
        <v>-0.00500073824372493+0.0217388715955827i</v>
      </c>
      <c r="AQ402" s="98">
        <f t="shared" si="236"/>
        <v>-33.031319161347156</v>
      </c>
      <c r="AR402" s="169">
        <f t="shared" si="237"/>
        <v>102.95476150571116</v>
      </c>
      <c r="AS402" s="168" t="str">
        <f t="shared" si="238"/>
        <v>-0.000648670893577249+0.00131705935713429i</v>
      </c>
      <c r="AT402" s="190">
        <f t="shared" si="239"/>
        <v>-56.664682370673617</v>
      </c>
      <c r="AU402" s="169">
        <f t="shared" si="240"/>
        <v>116.22091704365822</v>
      </c>
      <c r="AV402" s="225"/>
      <c r="AX402">
        <f t="shared" si="241"/>
        <v>0</v>
      </c>
      <c r="AY402">
        <f t="shared" si="242"/>
        <v>0</v>
      </c>
    </row>
    <row r="403" spans="14:51" x14ac:dyDescent="0.55000000000000004">
      <c r="N403" s="170">
        <v>85</v>
      </c>
      <c r="O403" s="199">
        <f t="shared" si="243"/>
        <v>70794.578438413781</v>
      </c>
      <c r="P403" s="189" t="str">
        <f t="shared" ref="P403:P466" si="244">COMPLEX(Adc,0)</f>
        <v>1078.86904761905</v>
      </c>
      <c r="Q403" s="160" t="str">
        <f t="shared" ref="Q403:Q466" si="245">IMSUM(COMPLEX(1,0),IMDIV(COMPLEX(0,2*PI()*O403),COMPLEX(wp_lf,0)))</f>
        <v>1+13900.4829710067i</v>
      </c>
      <c r="R403" s="160">
        <f t="shared" si="218"/>
        <v>13900.483006976672</v>
      </c>
      <c r="S403" s="160">
        <f t="shared" si="219"/>
        <v>1.5707243868486112</v>
      </c>
      <c r="T403" s="160" t="str">
        <f t="shared" ref="T403:T466" si="246">IMSUM(COMPLEX(1,0),IMDIV(COMPLEX(0,2*PI()*O403),COMPLEX(wz_esr,0)))</f>
        <v>1+0.00889630910144428i</v>
      </c>
      <c r="U403" s="160">
        <f t="shared" si="220"/>
        <v>1.0000395713748673</v>
      </c>
      <c r="V403" s="160">
        <f t="shared" si="221"/>
        <v>8.896074415156812E-3</v>
      </c>
      <c r="W403" s="98" t="str">
        <f t="shared" ref="W403:W466" si="247">IMSUB(COMPLEX(1,0),IMDIV(COMPLEX(0,2*PI()*O403),COMPLEX(wz_rhp,0)))</f>
        <v>1-6.43416659452856i</v>
      </c>
      <c r="X403" s="160">
        <f t="shared" si="222"/>
        <v>6.5114130391296206</v>
      </c>
      <c r="Y403" s="160">
        <f t="shared" si="223"/>
        <v>-1.4166096291452213</v>
      </c>
      <c r="Z403" s="98" t="str">
        <f t="shared" ref="Z403:Z466" si="248">IF(Dc_Mode_Loop="CCM",IMSUM(COMPLEX(1,0),IMDIV(COMPLEX(0,2*PI()*O403),COMPLEX(Q*(wsl/2),0)),IMDIV(IMPOWER(COMPLEX(0,2*PI()*O403),2),IMPOWER(COMPLEX(wsl/2,0),2))),COMPLEX(1,0))</f>
        <v>-8.075368648751+0.511081015011146i</v>
      </c>
      <c r="AA403" s="160">
        <f t="shared" si="224"/>
        <v>8.0915253578750761</v>
      </c>
      <c r="AB403" s="160">
        <f t="shared" si="225"/>
        <v>3.0783880746765755</v>
      </c>
      <c r="AC403" s="171" t="str">
        <f t="shared" si="226"/>
        <v>0.0608664865331483+0.0140179360499442i</v>
      </c>
      <c r="AD403" s="190">
        <f t="shared" si="227"/>
        <v>-24.08798253964353</v>
      </c>
      <c r="AE403" s="169">
        <f t="shared" si="228"/>
        <v>12.96943202353834</v>
      </c>
      <c r="AF403" s="98" t="str">
        <f t="shared" ref="AF403:AF466" si="249">COMPLEX(Adc_ea,0)</f>
        <v>-9.95024875621891E-06</v>
      </c>
      <c r="AG403" s="98" t="str">
        <f t="shared" ref="AG403:AG466" si="250">COMPLEX(0,2*PI()*O403*wp0_ea)</f>
        <v>0.445260270527287i</v>
      </c>
      <c r="AH403" s="98">
        <f t="shared" si="229"/>
        <v>0.44526027052728701</v>
      </c>
      <c r="AI403" s="98">
        <f t="shared" si="230"/>
        <v>1.5707963267948966</v>
      </c>
      <c r="AJ403" s="98" t="str">
        <f t="shared" ref="AJ403:AJ466" si="251">IMSUM(COMPLEX(1,0),IMDIV(COMPLEX(0,2*PI()*O403),COMPLEX(wp1_ea,0)))</f>
        <v>1+4.44371083988226i</v>
      </c>
      <c r="AK403" s="98">
        <f t="shared" si="231"/>
        <v>4.5548398466342483</v>
      </c>
      <c r="AL403" s="98">
        <f t="shared" si="232"/>
        <v>1.3494465297138432</v>
      </c>
      <c r="AM403" s="98" t="str">
        <f t="shared" ref="AM403:AM466" si="252">IMSUM(COMPLEX(1,0),IMDIV(COMPLEX(0,2*PI()*O403),COMPLEX(wz_ea,0)))</f>
        <v>1+4448.15455072214i</v>
      </c>
      <c r="AN403" s="98">
        <f t="shared" si="233"/>
        <v>4448.1546631283045</v>
      </c>
      <c r="AO403" s="98">
        <f t="shared" si="234"/>
        <v>1.5705715144661545</v>
      </c>
      <c r="AP403" s="168" t="str">
        <f t="shared" si="235"/>
        <v>-0.00478651650401616+0.0212922423134539i</v>
      </c>
      <c r="AQ403" s="98">
        <f t="shared" si="236"/>
        <v>-33.221464790981365</v>
      </c>
      <c r="AR403" s="169">
        <f t="shared" si="237"/>
        <v>102.66952837120219</v>
      </c>
      <c r="AS403" s="168" t="str">
        <f t="shared" si="238"/>
        <v>-0.000589811733442304+0.00122888689777707i</v>
      </c>
      <c r="AT403" s="190">
        <f t="shared" si="239"/>
        <v>-57.309447330624906</v>
      </c>
      <c r="AU403" s="169">
        <f t="shared" si="240"/>
        <v>115.63896039474054</v>
      </c>
      <c r="AV403" s="225"/>
      <c r="AX403">
        <f t="shared" si="241"/>
        <v>0</v>
      </c>
      <c r="AY403">
        <f t="shared" si="242"/>
        <v>0</v>
      </c>
    </row>
    <row r="404" spans="14:51" x14ac:dyDescent="0.55000000000000004">
      <c r="N404" s="170">
        <v>86</v>
      </c>
      <c r="O404" s="199">
        <f t="shared" si="243"/>
        <v>72443.596007499116</v>
      </c>
      <c r="P404" s="189" t="str">
        <f t="shared" si="244"/>
        <v>1078.86904761905</v>
      </c>
      <c r="Q404" s="160" t="str">
        <f t="shared" si="245"/>
        <v>1+14224.2668135491i</v>
      </c>
      <c r="R404" s="160">
        <f t="shared" ref="R404:R467" si="253">IMABS(Q404)</f>
        <v>14224.266848700297</v>
      </c>
      <c r="S404" s="160">
        <f t="shared" ref="S404:S467" si="254">IMARGUMENT(Q404)</f>
        <v>1.5707260244017076</v>
      </c>
      <c r="T404" s="160" t="str">
        <f t="shared" si="246"/>
        <v>1+0.00910353076067144i</v>
      </c>
      <c r="U404" s="160">
        <f t="shared" ref="U404:U467" si="255">IMABS(T404)</f>
        <v>1.0000414362776726</v>
      </c>
      <c r="V404" s="160">
        <f t="shared" ref="V404:V467" si="256">IMARGUMENT(T404)</f>
        <v>9.1032792903464905E-3</v>
      </c>
      <c r="W404" s="98" t="str">
        <f t="shared" si="247"/>
        <v>1-6.58403758734802i</v>
      </c>
      <c r="X404" s="160">
        <f t="shared" ref="X404:X467" si="257">IMABS(W404)</f>
        <v>6.6595458517538217</v>
      </c>
      <c r="Y404" s="160">
        <f t="shared" ref="Y404:Y467" si="258">IMARGUMENT(W404)</f>
        <v>-1.4200658269548576</v>
      </c>
      <c r="Z404" s="98" t="str">
        <f t="shared" si="248"/>
        <v>-8.50307759619333+0.522985621148641i</v>
      </c>
      <c r="AA404" s="160">
        <f t="shared" ref="AA404:AA467" si="259">IMABS(Z404)</f>
        <v>8.5191456477051251</v>
      </c>
      <c r="AB404" s="160">
        <f t="shared" ref="AB404:AB467" si="260">IMARGUMENT(Z404)</f>
        <v>3.0801645839248488</v>
      </c>
      <c r="AC404" s="171" t="str">
        <f t="shared" ref="AC404:AC467" si="261">(IMDIV(IMPRODUCT(P404,T404,W404),IMPRODUCT(Q404,Z404)))</f>
        <v>0.0578468629302801+0.0130166204247784i</v>
      </c>
      <c r="AD404" s="190">
        <f t="shared" ref="AD404:AD467" si="262">20*LOG(IMABS(AC404))</f>
        <v>-24.539891844324973</v>
      </c>
      <c r="AE404" s="169">
        <f t="shared" ref="AE404:AE467" si="263">(180/PI())*IMARGUMENT(AC404)</f>
        <v>12.681398133653589</v>
      </c>
      <c r="AF404" s="98" t="str">
        <f t="shared" si="249"/>
        <v>-9.95024875621891E-06</v>
      </c>
      <c r="AG404" s="98" t="str">
        <f t="shared" si="250"/>
        <v>0.455631714571606i</v>
      </c>
      <c r="AH404" s="98">
        <f t="shared" ref="AH404:AH467" si="264">IMABS(AG404)</f>
        <v>0.45563171457160601</v>
      </c>
      <c r="AI404" s="98">
        <f t="shared" ref="AI404:AI467" si="265">IMARGUMENT(AG404)</f>
        <v>1.5707963267948966</v>
      </c>
      <c r="AJ404" s="98" t="str">
        <f t="shared" si="251"/>
        <v>1+4.54721816217355i</v>
      </c>
      <c r="AK404" s="98">
        <f t="shared" ref="AK404:AK467" si="266">IMABS(AJ404)</f>
        <v>4.6558772550831913</v>
      </c>
      <c r="AL404" s="98">
        <f t="shared" ref="AL404:AL467" si="267">IMARGUMENT(AJ404)</f>
        <v>1.3543274100968608</v>
      </c>
      <c r="AM404" s="98" t="str">
        <f t="shared" si="252"/>
        <v>1+4551.76538033572i</v>
      </c>
      <c r="AN404" s="98">
        <f t="shared" ref="AN404:AN467" si="268">IMABS(AM404)</f>
        <v>4551.7654901832084</v>
      </c>
      <c r="AO404" s="98">
        <f t="shared" ref="AO404:AO467" si="269">IMARGUMENT(AM404)</f>
        <v>1.5705766318193535</v>
      </c>
      <c r="AP404" s="168" t="str">
        <f t="shared" ref="AP404:AP467" si="270">IMPRODUCT(AF404,IMDIV(AM404,IMPRODUCT(AG404,AJ404)))</f>
        <v>-0.0045810258104471+0.0208527621252154i</v>
      </c>
      <c r="AQ404" s="98">
        <f t="shared" ref="AQ404:AQ467" si="271">20*LOG(IMABS(AP404))</f>
        <v>-33.412033021069718</v>
      </c>
      <c r="AR404" s="169">
        <f t="shared" ref="AR404:AR467" si="272">(180/PI())*IMARGUMENT(AP404)</f>
        <v>102.39016772768763</v>
      </c>
      <c r="AS404" s="168" t="str">
        <f t="shared" ref="AS404:AS467" si="273">IMPRODUCT(AC404,AP404)</f>
        <v>-0.000536430461529133+0.00114663739824437i</v>
      </c>
      <c r="AT404" s="190">
        <f t="shared" ref="AT404:AT467" si="274">20*LOG(IMABS(AS404))</f>
        <v>-57.951924865394687</v>
      </c>
      <c r="AU404" s="169">
        <f t="shared" ref="AU404:AU467" si="275">(180/PI())*IMARGUMENT(AS404)</f>
        <v>115.0715658613412</v>
      </c>
      <c r="AV404" s="225"/>
      <c r="AX404">
        <f t="shared" ref="AX404:AX467" si="276">SUM((AT405&lt;0)*(AT404&gt;0))*O404</f>
        <v>0</v>
      </c>
      <c r="AY404">
        <f t="shared" ref="AY404:AY467" si="277">IF(AX404&gt;0,AU404,0)</f>
        <v>0</v>
      </c>
    </row>
    <row r="405" spans="14:51" x14ac:dyDescent="0.55000000000000004">
      <c r="N405" s="170">
        <v>87</v>
      </c>
      <c r="O405" s="199">
        <f t="shared" si="243"/>
        <v>74131.024130091857</v>
      </c>
      <c r="P405" s="189" t="str">
        <f t="shared" si="244"/>
        <v>1078.86904761905</v>
      </c>
      <c r="Q405" s="160" t="str">
        <f t="shared" si="245"/>
        <v>1+14555.5925506365i</v>
      </c>
      <c r="R405" s="160">
        <f t="shared" si="253"/>
        <v>14555.592584987557</v>
      </c>
      <c r="S405" s="160">
        <f t="shared" si="254"/>
        <v>1.570727624679545</v>
      </c>
      <c r="T405" s="160" t="str">
        <f t="shared" si="246"/>
        <v>1+0.00931557923240738i</v>
      </c>
      <c r="U405" s="160">
        <f t="shared" si="255"/>
        <v>1.000043389066912</v>
      </c>
      <c r="V405" s="160">
        <f t="shared" si="256"/>
        <v>9.3153097777309134E-3</v>
      </c>
      <c r="W405" s="98" t="str">
        <f t="shared" si="247"/>
        <v>1-6.73739952404632i</v>
      </c>
      <c r="X405" s="160">
        <f t="shared" si="257"/>
        <v>6.8112078478504507</v>
      </c>
      <c r="Y405" s="160">
        <f t="shared" si="258"/>
        <v>-1.4234468619433898</v>
      </c>
      <c r="Z405" s="98" t="str">
        <f t="shared" si="248"/>
        <v>-8.95094384531696+0.535167521185002i</v>
      </c>
      <c r="AA405" s="160">
        <f t="shared" si="259"/>
        <v>8.9669281249349204</v>
      </c>
      <c r="AB405" s="160">
        <f t="shared" si="260"/>
        <v>3.0818747954931736</v>
      </c>
      <c r="AC405" s="171" t="str">
        <f t="shared" si="261"/>
        <v>0.0549900453652545+0.0120921043215475i</v>
      </c>
      <c r="AD405" s="190">
        <f t="shared" si="262"/>
        <v>-24.989237395006406</v>
      </c>
      <c r="AE405" s="169">
        <f t="shared" si="263"/>
        <v>12.401747956374328</v>
      </c>
      <c r="AF405" s="98" t="str">
        <f t="shared" si="249"/>
        <v>-9.95024875621891E-06</v>
      </c>
      <c r="AG405" s="98" t="str">
        <f t="shared" si="250"/>
        <v>0.466244740581989i</v>
      </c>
      <c r="AH405" s="98">
        <f t="shared" si="264"/>
        <v>0.466244740581989</v>
      </c>
      <c r="AI405" s="98">
        <f t="shared" si="265"/>
        <v>1.5707963267948966</v>
      </c>
      <c r="AJ405" s="98" t="str">
        <f t="shared" si="251"/>
        <v>1+4.65313647972397i</v>
      </c>
      <c r="AK405" s="98">
        <f t="shared" si="266"/>
        <v>4.7593780159741437</v>
      </c>
      <c r="AL405" s="98">
        <f t="shared" si="267"/>
        <v>1.3591073342446933</v>
      </c>
      <c r="AM405" s="98" t="str">
        <f t="shared" si="252"/>
        <v>1+4657.78961620369i</v>
      </c>
      <c r="AN405" s="98">
        <f t="shared" si="268"/>
        <v>4657.7897235507435</v>
      </c>
      <c r="AO405" s="98">
        <f t="shared" si="269"/>
        <v>1.5705816326873834</v>
      </c>
      <c r="AP405" s="168" t="str">
        <f t="shared" si="270"/>
        <v>-0.00438394788586204+0.0204204490897474i</v>
      </c>
      <c r="AQ405" s="98">
        <f t="shared" si="271"/>
        <v>-33.603006589027672</v>
      </c>
      <c r="AR405" s="169">
        <f t="shared" si="272"/>
        <v>102.1165847762561</v>
      </c>
      <c r="AS405" s="168" t="str">
        <f t="shared" si="273"/>
        <v>-0.00048799969380854+0.00106991026664801i</v>
      </c>
      <c r="AT405" s="190">
        <f t="shared" si="274"/>
        <v>-58.59224398403407</v>
      </c>
      <c r="AU405" s="169">
        <f t="shared" si="275"/>
        <v>114.51833273263037</v>
      </c>
      <c r="AV405" s="225"/>
      <c r="AX405">
        <f t="shared" si="276"/>
        <v>0</v>
      </c>
      <c r="AY405">
        <f t="shared" si="277"/>
        <v>0</v>
      </c>
    </row>
    <row r="406" spans="14:51" x14ac:dyDescent="0.55000000000000004">
      <c r="N406" s="170">
        <v>88</v>
      </c>
      <c r="O406" s="199">
        <f t="shared" si="243"/>
        <v>75857.757502918481</v>
      </c>
      <c r="P406" s="189" t="str">
        <f t="shared" si="244"/>
        <v>1078.86904761905</v>
      </c>
      <c r="Q406" s="160" t="str">
        <f t="shared" si="245"/>
        <v>1+14894.6358555603i</v>
      </c>
      <c r="R406" s="160">
        <f t="shared" si="253"/>
        <v>14894.635889129431</v>
      </c>
      <c r="S406" s="160">
        <f t="shared" si="254"/>
        <v>1.5707291885306118</v>
      </c>
      <c r="T406" s="160" t="str">
        <f t="shared" si="246"/>
        <v>1+0.00953256694755858i</v>
      </c>
      <c r="U406" s="160">
        <f t="shared" si="255"/>
        <v>1.000045433884186</v>
      </c>
      <c r="V406" s="160">
        <f t="shared" si="256"/>
        <v>9.5322782223793059E-3</v>
      </c>
      <c r="W406" s="98" t="str">
        <f t="shared" si="247"/>
        <v>1-6.89433371915227i</v>
      </c>
      <c r="X406" s="160">
        <f t="shared" si="257"/>
        <v>6.9664795579288086</v>
      </c>
      <c r="Y406" s="160">
        <f t="shared" si="258"/>
        <v>-1.4267542174207328</v>
      </c>
      <c r="Z406" s="98" t="str">
        <f t="shared" si="248"/>
        <v>-9.4199173804828+0.547633174124874i</v>
      </c>
      <c r="AA406" s="160">
        <f t="shared" si="259"/>
        <v>9.4358224627492877</v>
      </c>
      <c r="AB406" s="160">
        <f t="shared" si="260"/>
        <v>3.0835223495027395</v>
      </c>
      <c r="AC406" s="171" t="str">
        <f t="shared" si="261"/>
        <v>0.0522860265283588+0.0112379767076666i</v>
      </c>
      <c r="AD406" s="190">
        <f t="shared" si="262"/>
        <v>-25.43615640242141</v>
      </c>
      <c r="AE406" s="169">
        <f t="shared" si="263"/>
        <v>12.130194329005045</v>
      </c>
      <c r="AF406" s="98" t="str">
        <f t="shared" si="249"/>
        <v>-9.95024875621891E-06</v>
      </c>
      <c r="AG406" s="98" t="str">
        <f t="shared" si="250"/>
        <v>0.477104975725307i</v>
      </c>
      <c r="AH406" s="98">
        <f t="shared" si="264"/>
        <v>0.47710497572530702</v>
      </c>
      <c r="AI406" s="98">
        <f t="shared" si="265"/>
        <v>1.5707963267948966</v>
      </c>
      <c r="AJ406" s="98" t="str">
        <f t="shared" si="251"/>
        <v>1+4.76152195182746i</v>
      </c>
      <c r="AK406" s="98">
        <f t="shared" si="266"/>
        <v>4.8653973422254815</v>
      </c>
      <c r="AL406" s="98">
        <f t="shared" si="267"/>
        <v>1.3637879624531279</v>
      </c>
      <c r="AM406" s="98" t="str">
        <f t="shared" si="252"/>
        <v>1+4766.28347377929i</v>
      </c>
      <c r="AN406" s="98">
        <f t="shared" si="268"/>
        <v>4766.2835786828273</v>
      </c>
      <c r="AO406" s="98">
        <f t="shared" si="269"/>
        <v>1.5705865197217697</v>
      </c>
      <c r="AP406" s="168" t="str">
        <f t="shared" si="270"/>
        <v>-0.00419497286691001+0.0199953108636327i</v>
      </c>
      <c r="AQ406" s="98">
        <f t="shared" si="271"/>
        <v>-33.794368864827689</v>
      </c>
      <c r="AR406" s="169">
        <f t="shared" si="272"/>
        <v>101.8486845408876</v>
      </c>
      <c r="AS406" s="168" t="str">
        <f t="shared" si="273"/>
        <v>-0.000444045300353059+0.000998332346891052i</v>
      </c>
      <c r="AT406" s="190">
        <f t="shared" si="274"/>
        <v>-59.230525267249099</v>
      </c>
      <c r="AU406" s="169">
        <f t="shared" si="275"/>
        <v>113.97887886989264</v>
      </c>
      <c r="AV406" s="225"/>
      <c r="AX406">
        <f t="shared" si="276"/>
        <v>0</v>
      </c>
      <c r="AY406">
        <f t="shared" si="277"/>
        <v>0</v>
      </c>
    </row>
    <row r="407" spans="14:51" x14ac:dyDescent="0.55000000000000004">
      <c r="N407" s="170">
        <v>89</v>
      </c>
      <c r="O407" s="199">
        <f t="shared" si="243"/>
        <v>77624.711662869129</v>
      </c>
      <c r="P407" s="189" t="str">
        <f t="shared" si="244"/>
        <v>1078.86904761905</v>
      </c>
      <c r="Q407" s="160" t="str">
        <f t="shared" si="245"/>
        <v>1+15241.5764935685i</v>
      </c>
      <c r="R407" s="160">
        <f t="shared" si="253"/>
        <v>15241.576526373505</v>
      </c>
      <c r="S407" s="160">
        <f t="shared" si="254"/>
        <v>1.5707307167840827</v>
      </c>
      <c r="T407" s="160" t="str">
        <f t="shared" si="246"/>
        <v>1+0.00975460895588382i</v>
      </c>
      <c r="U407" s="160">
        <f t="shared" si="255"/>
        <v>1.0000475750662476</v>
      </c>
      <c r="V407" s="160">
        <f t="shared" si="256"/>
        <v>9.7542995820752085E-3</v>
      </c>
      <c r="W407" s="98" t="str">
        <f t="shared" si="247"/>
        <v>1-7.05492338125342i</v>
      </c>
      <c r="X407" s="160">
        <f t="shared" si="257"/>
        <v>7.1254434188586595</v>
      </c>
      <c r="Y407" s="160">
        <f t="shared" si="258"/>
        <v>-1.429989357417393</v>
      </c>
      <c r="Z407" s="98" t="str">
        <f t="shared" si="248"/>
        <v>-9.9109929574352+0.560389189422449i</v>
      </c>
      <c r="AA407" s="160">
        <f t="shared" si="259"/>
        <v>9.9268231295793559</v>
      </c>
      <c r="AB407" s="160">
        <f t="shared" si="260"/>
        <v>3.0851106095399419</v>
      </c>
      <c r="AC407" s="171" t="str">
        <f t="shared" si="261"/>
        <v>0.049725529761595+0.0104484217740673i</v>
      </c>
      <c r="AD407" s="190">
        <f t="shared" si="262"/>
        <v>-25.880777689549511</v>
      </c>
      <c r="AE407" s="169">
        <f t="shared" si="263"/>
        <v>11.86646718855979</v>
      </c>
      <c r="AF407" s="98" t="str">
        <f t="shared" si="249"/>
        <v>-9.95024875621891E-06</v>
      </c>
      <c r="AG407" s="98" t="str">
        <f t="shared" si="250"/>
        <v>0.488218178241985i</v>
      </c>
      <c r="AH407" s="98">
        <f t="shared" si="264"/>
        <v>0.48821817824198499</v>
      </c>
      <c r="AI407" s="98">
        <f t="shared" si="265"/>
        <v>1.5707963267948966</v>
      </c>
      <c r="AJ407" s="98" t="str">
        <f t="shared" si="251"/>
        <v>1+4.87243204589601i</v>
      </c>
      <c r="AK407" s="98">
        <f t="shared" si="266"/>
        <v>4.9739917613396161</v>
      </c>
      <c r="AL407" s="98">
        <f t="shared" si="267"/>
        <v>1.3683709557157147</v>
      </c>
      <c r="AM407" s="98" t="str">
        <f t="shared" si="252"/>
        <v>1+4877.30447794191i</v>
      </c>
      <c r="AN407" s="98">
        <f t="shared" si="268"/>
        <v>4877.3045804575504</v>
      </c>
      <c r="AO407" s="98">
        <f t="shared" si="269"/>
        <v>1.5705912955136818</v>
      </c>
      <c r="AP407" s="168" t="str">
        <f t="shared" si="270"/>
        <v>-0.00401379936669826+0.0195773454021506i</v>
      </c>
      <c r="AQ407" s="98">
        <f t="shared" si="271"/>
        <v>-33.986103833984473</v>
      </c>
      <c r="AR407" s="169">
        <f t="shared" si="272"/>
        <v>101.58637200212483</v>
      </c>
      <c r="AS407" s="168" t="str">
        <f t="shared" si="273"/>
        <v>-0.000404140661844092+0.000931556002747917i</v>
      </c>
      <c r="AT407" s="190">
        <f t="shared" si="274"/>
        <v>-59.866881523533984</v>
      </c>
      <c r="AU407" s="169">
        <f t="shared" si="275"/>
        <v>113.45283919068461</v>
      </c>
      <c r="AV407" s="225"/>
      <c r="AX407">
        <f t="shared" si="276"/>
        <v>0</v>
      </c>
      <c r="AY407">
        <f t="shared" si="277"/>
        <v>0</v>
      </c>
    </row>
    <row r="408" spans="14:51" x14ac:dyDescent="0.55000000000000004">
      <c r="N408" s="170">
        <v>90</v>
      </c>
      <c r="O408" s="199">
        <f t="shared" si="243"/>
        <v>79432.823472428237</v>
      </c>
      <c r="P408" s="189" t="str">
        <f t="shared" si="244"/>
        <v>1078.86904761905</v>
      </c>
      <c r="Q408" s="160" t="str">
        <f t="shared" si="245"/>
        <v>1+15596.5984171797i</v>
      </c>
      <c r="R408" s="160">
        <f t="shared" si="253"/>
        <v>15596.598449237972</v>
      </c>
      <c r="S408" s="160">
        <f t="shared" si="254"/>
        <v>1.5707322102502577</v>
      </c>
      <c r="T408" s="160" t="str">
        <f t="shared" si="246"/>
        <v>1+0.00998182298699502i</v>
      </c>
      <c r="U408" s="160">
        <f t="shared" si="255"/>
        <v>1.0000498171541974</v>
      </c>
      <c r="V408" s="160">
        <f t="shared" si="256"/>
        <v>9.9814914878784307E-3</v>
      </c>
      <c r="W408" s="98" t="str">
        <f t="shared" si="247"/>
        <v>1-7.21925365711428i</v>
      </c>
      <c r="X408" s="160">
        <f t="shared" si="257"/>
        <v>7.2881838180549412</v>
      </c>
      <c r="Y408" s="160">
        <f t="shared" si="258"/>
        <v>-1.4331537262308007</v>
      </c>
      <c r="Z408" s="98" t="str">
        <f t="shared" si="248"/>
        <v>-10.4252122133127+0.573442330485885i</v>
      </c>
      <c r="AA408" s="160">
        <f t="shared" si="259"/>
        <v>10.440971496896127</v>
      </c>
      <c r="AB408" s="160">
        <f t="shared" si="260"/>
        <v>3.0866426887256369</v>
      </c>
      <c r="AC408" s="171" t="str">
        <f t="shared" si="261"/>
        <v>0.0472999450415231+0.00971815641704243i</v>
      </c>
      <c r="AD408" s="190">
        <f t="shared" si="262"/>
        <v>-26.323222303986146</v>
      </c>
      <c r="AE408" s="169">
        <f t="shared" si="263"/>
        <v>11.610312107542009</v>
      </c>
      <c r="AF408" s="98" t="str">
        <f t="shared" si="249"/>
        <v>-9.95024875621891E-06</v>
      </c>
      <c r="AG408" s="98" t="str">
        <f t="shared" si="250"/>
        <v>0.499590240499101i</v>
      </c>
      <c r="AH408" s="98">
        <f t="shared" si="264"/>
        <v>0.499590240499101</v>
      </c>
      <c r="AI408" s="98">
        <f t="shared" si="265"/>
        <v>1.5707963267948966</v>
      </c>
      <c r="AJ408" s="98" t="str">
        <f t="shared" si="251"/>
        <v>1+4.98592556792958i</v>
      </c>
      <c r="AK408" s="98">
        <f t="shared" si="266"/>
        <v>5.0852191465986891</v>
      </c>
      <c r="AL408" s="98">
        <f t="shared" si="267"/>
        <v>1.3728579735514803</v>
      </c>
      <c r="AM408" s="98" t="str">
        <f t="shared" si="252"/>
        <v>1+4990.91149349751i</v>
      </c>
      <c r="AN408" s="98">
        <f t="shared" si="268"/>
        <v>4990.9115936796106</v>
      </c>
      <c r="AO408" s="98">
        <f t="shared" si="269"/>
        <v>1.5705959625953068</v>
      </c>
      <c r="AP408" s="168" t="str">
        <f t="shared" si="270"/>
        <v>-0.00384013450494117+0.0191665416321994i</v>
      </c>
      <c r="AQ408" s="98">
        <f t="shared" si="271"/>
        <v>-34.178196080448366</v>
      </c>
      <c r="AR408" s="169">
        <f t="shared" si="272"/>
        <v>101.32955222161539</v>
      </c>
      <c r="AS408" s="168" t="str">
        <f t="shared" si="273"/>
        <v>-0.000367901600591243+0.000869257338057596i</v>
      </c>
      <c r="AT408" s="190">
        <f t="shared" si="274"/>
        <v>-60.501418384434515</v>
      </c>
      <c r="AU408" s="169">
        <f t="shared" si="275"/>
        <v>112.93986432915737</v>
      </c>
      <c r="AV408" s="225"/>
      <c r="AX408">
        <f t="shared" si="276"/>
        <v>0</v>
      </c>
      <c r="AY408">
        <f t="shared" si="277"/>
        <v>0</v>
      </c>
    </row>
    <row r="409" spans="14:51" x14ac:dyDescent="0.55000000000000004">
      <c r="N409" s="170">
        <v>91</v>
      </c>
      <c r="O409" s="199">
        <f t="shared" si="243"/>
        <v>81283.051616410012</v>
      </c>
      <c r="P409" s="189" t="str">
        <f t="shared" si="244"/>
        <v>1078.86904761905</v>
      </c>
      <c r="Q409" s="160" t="str">
        <f t="shared" si="245"/>
        <v>1+15959.8898637171i</v>
      </c>
      <c r="R409" s="160">
        <f t="shared" si="253"/>
        <v>15959.889895045637</v>
      </c>
      <c r="S409" s="160">
        <f t="shared" si="254"/>
        <v>1.5707336697209926</v>
      </c>
      <c r="T409" s="160" t="str">
        <f t="shared" si="246"/>
        <v>1+0.0102143295127789i</v>
      </c>
      <c r="U409" s="160">
        <f t="shared" si="255"/>
        <v>1.0000521649031093</v>
      </c>
      <c r="V409" s="160">
        <f t="shared" si="256"/>
        <v>1.0213974306076496E-2</v>
      </c>
      <c r="W409" s="98" t="str">
        <f t="shared" si="247"/>
        <v>1-7.38741167682224i</v>
      </c>
      <c r="X409" s="160">
        <f t="shared" si="257"/>
        <v>7.4547871386679834</v>
      </c>
      <c r="Y409" s="160">
        <f t="shared" si="258"/>
        <v>-1.4362487480338393</v>
      </c>
      <c r="Z409" s="98" t="str">
        <f t="shared" si="248"/>
        <v>-10.9636658760996+0.58679951826335i</v>
      </c>
      <c r="AA409" s="160">
        <f t="shared" si="259"/>
        <v>10.979358046688565</v>
      </c>
      <c r="AB409" s="160">
        <f t="shared" si="260"/>
        <v>3.0881214729079329</v>
      </c>
      <c r="AC409" s="171" t="str">
        <f t="shared" si="261"/>
        <v>0.0450012715529609+0.00904237518178071i</v>
      </c>
      <c r="AD409" s="190">
        <f t="shared" si="262"/>
        <v>-26.763604076046242</v>
      </c>
      <c r="AE409" s="169">
        <f t="shared" si="263"/>
        <v>11.361488991049264</v>
      </c>
      <c r="AF409" s="98" t="str">
        <f t="shared" si="249"/>
        <v>-9.95024875621891E-06</v>
      </c>
      <c r="AG409" s="98" t="str">
        <f t="shared" si="250"/>
        <v>0.511227192114586i</v>
      </c>
      <c r="AH409" s="98">
        <f t="shared" si="264"/>
        <v>0.511227192114586</v>
      </c>
      <c r="AI409" s="98">
        <f t="shared" si="265"/>
        <v>1.5707963267948966</v>
      </c>
      <c r="AJ409" s="98" t="str">
        <f t="shared" si="251"/>
        <v>1+5.10206269369577i</v>
      </c>
      <c r="AK409" s="98">
        <f t="shared" si="266"/>
        <v>5.1991387489085277</v>
      </c>
      <c r="AL409" s="98">
        <f t="shared" si="267"/>
        <v>1.3772506719854349</v>
      </c>
      <c r="AM409" s="98" t="str">
        <f t="shared" si="252"/>
        <v>1+5107.16475638947i</v>
      </c>
      <c r="AN409" s="98">
        <f t="shared" si="268"/>
        <v>5107.1648542911471</v>
      </c>
      <c r="AO409" s="98">
        <f t="shared" si="269"/>
        <v>1.5706005234411926</v>
      </c>
      <c r="AP409" s="168" t="str">
        <f t="shared" si="270"/>
        <v>-0.00367369390865682+0.0187628800969733i</v>
      </c>
      <c r="AQ409" s="98">
        <f t="shared" si="271"/>
        <v>-34.370630769466544</v>
      </c>
      <c r="AR409" s="169">
        <f t="shared" si="272"/>
        <v>101.07813045789634</v>
      </c>
      <c r="AS409" s="168" t="str">
        <f t="shared" si="273"/>
        <v>-0.000334981898513523+0.000811134543734443i</v>
      </c>
      <c r="AT409" s="190">
        <f t="shared" si="274"/>
        <v>-61.134234845512793</v>
      </c>
      <c r="AU409" s="169">
        <f t="shared" si="275"/>
        <v>112.43961944894563</v>
      </c>
      <c r="AV409" s="225"/>
      <c r="AX409">
        <f t="shared" si="276"/>
        <v>0</v>
      </c>
      <c r="AY409">
        <f t="shared" si="277"/>
        <v>0</v>
      </c>
    </row>
    <row r="410" spans="14:51" x14ac:dyDescent="0.55000000000000004">
      <c r="N410" s="170">
        <v>92</v>
      </c>
      <c r="O410" s="199">
        <f t="shared" si="243"/>
        <v>83176.377110267174</v>
      </c>
      <c r="P410" s="189" t="str">
        <f t="shared" si="244"/>
        <v>1078.86904761905</v>
      </c>
      <c r="Q410" s="160" t="str">
        <f t="shared" si="245"/>
        <v>1+16331.6434551143i</v>
      </c>
      <c r="R410" s="160">
        <f t="shared" si="253"/>
        <v>16331.643485729712</v>
      </c>
      <c r="S410" s="160">
        <f t="shared" si="254"/>
        <v>1.5707350959701178</v>
      </c>
      <c r="T410" s="160" t="str">
        <f t="shared" si="246"/>
        <v>1+0.0104522518112732i</v>
      </c>
      <c r="U410" s="160">
        <f t="shared" si="255"/>
        <v>1.000054623292111</v>
      </c>
      <c r="V410" s="160">
        <f t="shared" si="256"/>
        <v>1.0451871201557012E-2</v>
      </c>
      <c r="W410" s="98" t="str">
        <f t="shared" si="247"/>
        <v>1-7.55948659998522i</v>
      </c>
      <c r="X410" s="160">
        <f t="shared" si="257"/>
        <v>7.6253418058049114</v>
      </c>
      <c r="Y410" s="160">
        <f t="shared" si="258"/>
        <v>-1.4392758265414738</v>
      </c>
      <c r="Z410" s="98" t="str">
        <f t="shared" si="248"/>
        <v>-11.5274960782063+0.600467834912609i</v>
      </c>
      <c r="AA410" s="160">
        <f t="shared" si="259"/>
        <v>11.54312468328339</v>
      </c>
      <c r="AB410" s="160">
        <f t="shared" si="260"/>
        <v>3.0895496413404757</v>
      </c>
      <c r="AC410" s="171" t="str">
        <f t="shared" si="261"/>
        <v>0.0428220660802633+0.00841670166332041i</v>
      </c>
      <c r="AD410" s="190">
        <f t="shared" si="262"/>
        <v>-27.20203012831562</v>
      </c>
      <c r="AE410" s="169">
        <f t="shared" si="263"/>
        <v>11.119770914703444</v>
      </c>
      <c r="AF410" s="98" t="str">
        <f t="shared" si="249"/>
        <v>-9.95024875621891E-06</v>
      </c>
      <c r="AG410" s="98" t="str">
        <f t="shared" si="250"/>
        <v>0.523135203154223i</v>
      </c>
      <c r="AH410" s="98">
        <f t="shared" si="264"/>
        <v>0.52313520315422302</v>
      </c>
      <c r="AI410" s="98">
        <f t="shared" si="265"/>
        <v>1.5707963267948966</v>
      </c>
      <c r="AJ410" s="98" t="str">
        <f t="shared" si="251"/>
        <v>1+5.22090500063595i</v>
      </c>
      <c r="AK410" s="98">
        <f t="shared" si="266"/>
        <v>5.3158112293106745</v>
      </c>
      <c r="AL410" s="98">
        <f t="shared" si="267"/>
        <v>1.3815507016753208</v>
      </c>
      <c r="AM410" s="98" t="str">
        <f t="shared" si="252"/>
        <v>1+5226.12590563659i</v>
      </c>
      <c r="AN410" s="98">
        <f t="shared" si="268"/>
        <v>5226.1260013097526</v>
      </c>
      <c r="AO410" s="98">
        <f t="shared" si="269"/>
        <v>1.570604980469559</v>
      </c>
      <c r="AP410" s="168" t="str">
        <f t="shared" si="270"/>
        <v>-0.00351420168629326+0.018366333572386i</v>
      </c>
      <c r="AQ410" s="98">
        <f t="shared" si="271"/>
        <v>-34.563393630471985</v>
      </c>
      <c r="AR410" s="169">
        <f t="shared" si="272"/>
        <v>100.83201227379944</v>
      </c>
      <c r="AS410" s="168" t="str">
        <f t="shared" si="273"/>
        <v>-0.000305069327157621+0.000756906362710604i</v>
      </c>
      <c r="AT410" s="190">
        <f t="shared" si="274"/>
        <v>-61.765423758787605</v>
      </c>
      <c r="AU410" s="169">
        <f t="shared" si="275"/>
        <v>111.95178318850284</v>
      </c>
      <c r="AV410" s="225"/>
      <c r="AX410">
        <f t="shared" si="276"/>
        <v>0</v>
      </c>
      <c r="AY410">
        <f t="shared" si="277"/>
        <v>0</v>
      </c>
    </row>
    <row r="411" spans="14:51" x14ac:dyDescent="0.55000000000000004">
      <c r="N411" s="170">
        <v>93</v>
      </c>
      <c r="O411" s="199">
        <f t="shared" si="243"/>
        <v>85113.803820237721</v>
      </c>
      <c r="P411" s="189" t="str">
        <f t="shared" si="244"/>
        <v>1078.86904761905</v>
      </c>
      <c r="Q411" s="160" t="str">
        <f t="shared" si="245"/>
        <v>1+16712.0563000463i</v>
      </c>
      <c r="R411" s="160">
        <f t="shared" si="253"/>
        <v>16712.05632996482</v>
      </c>
      <c r="S411" s="160">
        <f t="shared" si="254"/>
        <v>1.5707364897538496</v>
      </c>
      <c r="T411" s="160" t="str">
        <f t="shared" si="246"/>
        <v>1+0.0106957160320297i</v>
      </c>
      <c r="U411" s="160">
        <f t="shared" si="255"/>
        <v>1.0000571975349399</v>
      </c>
      <c r="V411" s="160">
        <f t="shared" si="256"/>
        <v>1.0695308202630819E-2</v>
      </c>
      <c r="W411" s="98" t="str">
        <f t="shared" si="247"/>
        <v>1-7.73556966300514i</v>
      </c>
      <c r="X411" s="160">
        <f t="shared" si="257"/>
        <v>7.7999383338078667</v>
      </c>
      <c r="Y411" s="160">
        <f t="shared" si="258"/>
        <v>-1.4422363447315789</v>
      </c>
      <c r="Z411" s="98" t="str">
        <f t="shared" si="248"/>
        <v>-12.1178987790855+0.61445452755607i</v>
      </c>
      <c r="AA411" s="160">
        <f t="shared" si="259"/>
        <v>12.133467154387324</v>
      </c>
      <c r="AB411" s="160">
        <f t="shared" si="260"/>
        <v>3.0909296851571479</v>
      </c>
      <c r="AC411" s="171" t="str">
        <f t="shared" si="261"/>
        <v>0.0407553965437421+0.00783714551103703i</v>
      </c>
      <c r="AD411" s="190">
        <f t="shared" si="262"/>
        <v>-27.638601341671464</v>
      </c>
      <c r="AE411" s="169">
        <f t="shared" si="263"/>
        <v>10.884943085813758</v>
      </c>
      <c r="AF411" s="98" t="str">
        <f t="shared" si="249"/>
        <v>-9.95024875621891E-06</v>
      </c>
      <c r="AG411" s="98" t="str">
        <f t="shared" si="250"/>
        <v>0.535320587403085i</v>
      </c>
      <c r="AH411" s="98">
        <f t="shared" si="264"/>
        <v>0.53532058740308497</v>
      </c>
      <c r="AI411" s="98">
        <f t="shared" si="265"/>
        <v>1.5707963267948966</v>
      </c>
      <c r="AJ411" s="98" t="str">
        <f t="shared" si="251"/>
        <v>1+5.34251550051432i</v>
      </c>
      <c r="AK411" s="98">
        <f t="shared" si="266"/>
        <v>5.4352986921820383</v>
      </c>
      <c r="AL411" s="98">
        <f t="shared" si="267"/>
        <v>1.3857597061780527</v>
      </c>
      <c r="AM411" s="98" t="str">
        <f t="shared" si="252"/>
        <v>1+5347.85801601483i</v>
      </c>
      <c r="AN411" s="98">
        <f t="shared" si="268"/>
        <v>5347.8581095102063</v>
      </c>
      <c r="AO411" s="98">
        <f t="shared" si="269"/>
        <v>1.5706093360435809</v>
      </c>
      <c r="AP411" s="168" t="str">
        <f t="shared" si="270"/>
        <v>-0.00336139037799946+0.0179768676554081i</v>
      </c>
      <c r="AQ411" s="98">
        <f t="shared" si="271"/>
        <v>-34.756470940047322</v>
      </c>
      <c r="AR411" s="169">
        <f t="shared" si="272"/>
        <v>100.59110363585015</v>
      </c>
      <c r="AS411" s="168" t="str">
        <f t="shared" si="273"/>
        <v>-0.000277882125441775+0.000706310664398747i</v>
      </c>
      <c r="AT411" s="190">
        <f t="shared" si="274"/>
        <v>-62.395072281718782</v>
      </c>
      <c r="AU411" s="169">
        <f t="shared" si="275"/>
        <v>111.47604672166385</v>
      </c>
      <c r="AV411" s="225"/>
      <c r="AX411">
        <f t="shared" si="276"/>
        <v>0</v>
      </c>
      <c r="AY411">
        <f t="shared" si="277"/>
        <v>0</v>
      </c>
    </row>
    <row r="412" spans="14:51" x14ac:dyDescent="0.55000000000000004">
      <c r="N412" s="170">
        <v>94</v>
      </c>
      <c r="O412" s="199">
        <f t="shared" si="243"/>
        <v>87096.358995608127</v>
      </c>
      <c r="P412" s="189" t="str">
        <f t="shared" si="244"/>
        <v>1078.86904761905</v>
      </c>
      <c r="Q412" s="160" t="str">
        <f t="shared" si="245"/>
        <v>1+17101.3300984389i</v>
      </c>
      <c r="R412" s="160">
        <f t="shared" si="253"/>
        <v>17101.330127676389</v>
      </c>
      <c r="S412" s="160">
        <f t="shared" si="254"/>
        <v>1.5707378518111905</v>
      </c>
      <c r="T412" s="160" t="str">
        <f t="shared" si="246"/>
        <v>1+0.0109448512630009i</v>
      </c>
      <c r="U412" s="160">
        <f t="shared" si="255"/>
        <v>1.0000598930909934</v>
      </c>
      <c r="V412" s="160">
        <f t="shared" si="256"/>
        <v>1.0944414267340241E-2</v>
      </c>
      <c r="W412" s="98" t="str">
        <f t="shared" si="247"/>
        <v>1-7.91575422745276i</v>
      </c>
      <c r="X412" s="160">
        <f t="shared" si="257"/>
        <v>7.9786693746160608</v>
      </c>
      <c r="Y412" s="160">
        <f t="shared" si="258"/>
        <v>-1.4451316646162626</v>
      </c>
      <c r="Z412" s="98" t="str">
        <f t="shared" si="248"/>
        <v>-12.7361263020224+0.628767012123308i</v>
      </c>
      <c r="AA412" s="160">
        <f t="shared" si="259"/>
        <v>12.751637586467131</v>
      </c>
      <c r="AB412" s="160">
        <f t="shared" si="260"/>
        <v>3.092263923910989</v>
      </c>
      <c r="AC412" s="171" t="str">
        <f t="shared" si="261"/>
        <v>0.0387948000952714+0.00730006430845608i</v>
      </c>
      <c r="AD412" s="190">
        <f t="shared" si="262"/>
        <v>-28.073412782193326</v>
      </c>
      <c r="AE412" s="169">
        <f t="shared" si="263"/>
        <v>10.656801912644973</v>
      </c>
      <c r="AF412" s="98" t="str">
        <f t="shared" si="249"/>
        <v>-9.95024875621891E-06</v>
      </c>
      <c r="AG412" s="98" t="str">
        <f t="shared" si="250"/>
        <v>0.547789805713194i</v>
      </c>
      <c r="AH412" s="98">
        <f t="shared" si="264"/>
        <v>0.54778980571319402</v>
      </c>
      <c r="AI412" s="98">
        <f t="shared" si="265"/>
        <v>1.5707963267948966</v>
      </c>
      <c r="AJ412" s="98" t="str">
        <f t="shared" si="251"/>
        <v>1+5.46695867282761i</v>
      </c>
      <c r="AK412" s="98">
        <f t="shared" si="266"/>
        <v>5.5576647191428368</v>
      </c>
      <c r="AL412" s="98">
        <f t="shared" si="267"/>
        <v>1.3898793203493849</v>
      </c>
      <c r="AM412" s="98" t="str">
        <f t="shared" si="252"/>
        <v>1+5472.42563150044i</v>
      </c>
      <c r="AN412" s="98">
        <f t="shared" si="268"/>
        <v>5472.4257228676015</v>
      </c>
      <c r="AO412" s="98">
        <f t="shared" si="269"/>
        <v>1.5706135924726405</v>
      </c>
      <c r="AP412" s="168" t="str">
        <f t="shared" si="270"/>
        <v>-0.0032150008845857+0.0175944413246087i</v>
      </c>
      <c r="AQ412" s="98">
        <f t="shared" si="271"/>
        <v>-34.949849505011755</v>
      </c>
      <c r="AR412" s="169">
        <f t="shared" si="272"/>
        <v>100.35531100603143</v>
      </c>
      <c r="AS412" s="168" t="str">
        <f t="shared" si="273"/>
        <v>-0.000253165869764624+0.000659103120766958i</v>
      </c>
      <c r="AT412" s="190">
        <f t="shared" si="274"/>
        <v>-63.023262287205071</v>
      </c>
      <c r="AU412" s="169">
        <f t="shared" si="275"/>
        <v>111.01211291867642</v>
      </c>
      <c r="AV412" s="225"/>
      <c r="AX412">
        <f t="shared" si="276"/>
        <v>0</v>
      </c>
      <c r="AY412">
        <f t="shared" si="277"/>
        <v>0</v>
      </c>
    </row>
    <row r="413" spans="14:51" x14ac:dyDescent="0.55000000000000004">
      <c r="N413" s="170">
        <v>95</v>
      </c>
      <c r="O413" s="199">
        <f t="shared" si="243"/>
        <v>89125.093813374609</v>
      </c>
      <c r="P413" s="189" t="str">
        <f t="shared" si="244"/>
        <v>1078.86904761905</v>
      </c>
      <c r="Q413" s="160" t="str">
        <f t="shared" si="245"/>
        <v>1+17499.6712484124i</v>
      </c>
      <c r="R413" s="160">
        <f t="shared" si="253"/>
        <v>17499.671276984365</v>
      </c>
      <c r="S413" s="160">
        <f t="shared" si="254"/>
        <v>1.5707391828643211</v>
      </c>
      <c r="T413" s="160" t="str">
        <f t="shared" si="246"/>
        <v>1+0.011199789598984i</v>
      </c>
      <c r="U413" s="160">
        <f t="shared" si="255"/>
        <v>1.0000627156769026</v>
      </c>
      <c r="V413" s="160">
        <f t="shared" si="256"/>
        <v>1.119932135128324E-2</v>
      </c>
      <c r="W413" s="98" t="str">
        <f t="shared" si="247"/>
        <v>1-8.10013582956916i</v>
      </c>
      <c r="X413" s="160">
        <f t="shared" si="257"/>
        <v>8.1616297672382849</v>
      </c>
      <c r="Y413" s="160">
        <f t="shared" si="258"/>
        <v>-1.4479631270601581</v>
      </c>
      <c r="Z413" s="98" t="str">
        <f t="shared" si="248"/>
        <v>-13.3834899904805+0.643412877283089i</v>
      </c>
      <c r="AA413" s="160">
        <f t="shared" si="259"/>
        <v>13.398947139829513</v>
      </c>
      <c r="AB413" s="160">
        <f t="shared" si="260"/>
        <v>3.093554520408663</v>
      </c>
      <c r="AC413" s="171" t="str">
        <f t="shared" si="261"/>
        <v>0.0369342452614334+0.00680212970553337i</v>
      </c>
      <c r="AD413" s="190">
        <f t="shared" si="262"/>
        <v>-28.506554092871134</v>
      </c>
      <c r="AE413" s="169">
        <f t="shared" si="263"/>
        <v>10.435154168740114</v>
      </c>
      <c r="AF413" s="98" t="str">
        <f t="shared" si="249"/>
        <v>-9.95024875621891E-06</v>
      </c>
      <c r="AG413" s="98" t="str">
        <f t="shared" si="250"/>
        <v>0.560549469429147i</v>
      </c>
      <c r="AH413" s="98">
        <f t="shared" si="264"/>
        <v>0.56054946942914696</v>
      </c>
      <c r="AI413" s="98">
        <f t="shared" si="265"/>
        <v>1.5707963267948966</v>
      </c>
      <c r="AJ413" s="98" t="str">
        <f t="shared" si="251"/>
        <v>1+5.59430049899299i</v>
      </c>
      <c r="AK413" s="98">
        <f t="shared" si="266"/>
        <v>5.682974403693299</v>
      </c>
      <c r="AL413" s="98">
        <f t="shared" si="267"/>
        <v>1.3939111688703945</v>
      </c>
      <c r="AM413" s="98" t="str">
        <f t="shared" si="252"/>
        <v>1+5599.89479949198i</v>
      </c>
      <c r="AN413" s="98">
        <f t="shared" si="268"/>
        <v>5599.8948887793704</v>
      </c>
      <c r="AO413" s="98">
        <f t="shared" si="269"/>
        <v>1.5706177520135522</v>
      </c>
      <c r="AP413" s="168" t="str">
        <f t="shared" si="270"/>
        <v>-0.00307478237755581+0.0172190074733196i</v>
      </c>
      <c r="AQ413" s="98">
        <f t="shared" si="271"/>
        <v>-35.143516645669941</v>
      </c>
      <c r="AR413" s="169">
        <f t="shared" si="272"/>
        <v>100.12454142628049</v>
      </c>
      <c r="AS413" s="168" t="str">
        <f t="shared" si="273"/>
        <v>-0.000230690688692248+0.000615055976629618i</v>
      </c>
      <c r="AT413" s="190">
        <f t="shared" si="274"/>
        <v>-63.650070738541075</v>
      </c>
      <c r="AU413" s="169">
        <f t="shared" si="275"/>
        <v>110.55969559502061</v>
      </c>
      <c r="AV413" s="225"/>
      <c r="AX413">
        <f t="shared" si="276"/>
        <v>0</v>
      </c>
      <c r="AY413">
        <f t="shared" si="277"/>
        <v>0</v>
      </c>
    </row>
    <row r="414" spans="14:51" x14ac:dyDescent="0.55000000000000004">
      <c r="N414" s="170">
        <v>96</v>
      </c>
      <c r="O414" s="199">
        <f t="shared" si="243"/>
        <v>91201.083935591028</v>
      </c>
      <c r="P414" s="189" t="str">
        <f t="shared" si="244"/>
        <v>1078.86904761905</v>
      </c>
      <c r="Q414" s="160" t="str">
        <f t="shared" si="245"/>
        <v>1+17907.2909557174i</v>
      </c>
      <c r="R414" s="160">
        <f t="shared" si="253"/>
        <v>17907.290983638984</v>
      </c>
      <c r="S414" s="160">
        <f t="shared" si="254"/>
        <v>1.570740483618984</v>
      </c>
      <c r="T414" s="160" t="str">
        <f t="shared" si="246"/>
        <v>1+0.0114606662116592i</v>
      </c>
      <c r="U414" s="160">
        <f t="shared" si="255"/>
        <v>1.0000656712786491</v>
      </c>
      <c r="V414" s="160">
        <f t="shared" si="256"/>
        <v>1.1460164476987644E-2</v>
      </c>
      <c r="W414" s="98" t="str">
        <f t="shared" si="247"/>
        <v>1-8.28881223092038i</v>
      </c>
      <c r="X414" s="160">
        <f t="shared" si="257"/>
        <v>8.3489165883637426</v>
      </c>
      <c r="Y414" s="160">
        <f t="shared" si="258"/>
        <v>-1.4507320516423441</v>
      </c>
      <c r="Z414" s="98" t="str">
        <f t="shared" si="248"/>
        <v>-14.0613629896365+0.658399888466982i</v>
      </c>
      <c r="AA414" s="160">
        <f t="shared" si="259"/>
        <v>14.076768789017329</v>
      </c>
      <c r="AB414" s="160">
        <f t="shared" si="260"/>
        <v>3.0948034940407765</v>
      </c>
      <c r="AC414" s="171" t="str">
        <f t="shared" si="261"/>
        <v>0.0351680976865827+0.00634029726915948i</v>
      </c>
      <c r="AD414" s="190">
        <f t="shared" si="262"/>
        <v>-28.938109853564569</v>
      </c>
      <c r="AE414" s="169">
        <f t="shared" si="263"/>
        <v>10.219816241013099</v>
      </c>
      <c r="AF414" s="98" t="str">
        <f t="shared" si="249"/>
        <v>-9.95024875621891E-06</v>
      </c>
      <c r="AG414" s="98" t="str">
        <f t="shared" si="250"/>
        <v>0.573606343893541i</v>
      </c>
      <c r="AH414" s="98">
        <f t="shared" si="264"/>
        <v>0.57360634389354104</v>
      </c>
      <c r="AI414" s="98">
        <f t="shared" si="265"/>
        <v>1.5707963267948966</v>
      </c>
      <c r="AJ414" s="98" t="str">
        <f t="shared" si="251"/>
        <v>1+5.72460849733225i</v>
      </c>
      <c r="AK414" s="98">
        <f t="shared" si="266"/>
        <v>5.811294386599994</v>
      </c>
      <c r="AL414" s="98">
        <f t="shared" si="267"/>
        <v>1.3978568648944949</v>
      </c>
      <c r="AM414" s="98" t="str">
        <f t="shared" si="252"/>
        <v>1+5730.33310582958i</v>
      </c>
      <c r="AN414" s="98">
        <f t="shared" si="268"/>
        <v>5730.3331930845416</v>
      </c>
      <c r="AO414" s="98">
        <f t="shared" si="269"/>
        <v>1.5706218168717594</v>
      </c>
      <c r="AP414" s="168" t="str">
        <f t="shared" si="270"/>
        <v>-0.0029404921924308+0.0168505134159364i</v>
      </c>
      <c r="AQ414" s="98">
        <f t="shared" si="271"/>
        <v>-35.337460179259573</v>
      </c>
      <c r="AR414" s="169">
        <f t="shared" si="272"/>
        <v>99.898702596077584</v>
      </c>
      <c r="AS414" s="168" t="str">
        <f t="shared" si="273"/>
        <v>-0.000210248780865037+0.00057395690726307i</v>
      </c>
      <c r="AT414" s="190">
        <f t="shared" si="274"/>
        <v>-64.275570032824149</v>
      </c>
      <c r="AU414" s="169">
        <f t="shared" si="275"/>
        <v>110.11851883709069</v>
      </c>
      <c r="AV414" s="225"/>
      <c r="AX414">
        <f t="shared" si="276"/>
        <v>0</v>
      </c>
      <c r="AY414">
        <f t="shared" si="277"/>
        <v>0</v>
      </c>
    </row>
    <row r="415" spans="14:51" x14ac:dyDescent="0.55000000000000004">
      <c r="N415" s="170">
        <v>97</v>
      </c>
      <c r="O415" s="199">
        <f t="shared" si="243"/>
        <v>93325.430079699145</v>
      </c>
      <c r="P415" s="189" t="str">
        <f t="shared" si="244"/>
        <v>1078.86904761905</v>
      </c>
      <c r="Q415" s="160" t="str">
        <f t="shared" si="245"/>
        <v>1+18324.4053457182i</v>
      </c>
      <c r="R415" s="160">
        <f t="shared" si="253"/>
        <v>18324.405373004214</v>
      </c>
      <c r="S415" s="160">
        <f t="shared" si="254"/>
        <v>1.5707417547648557</v>
      </c>
      <c r="T415" s="160" t="str">
        <f t="shared" si="246"/>
        <v>1+0.0117276194212596i</v>
      </c>
      <c r="U415" s="160">
        <f t="shared" si="255"/>
        <v>1.0000687661642522</v>
      </c>
      <c r="V415" s="160">
        <f t="shared" si="256"/>
        <v>1.172708180486947E-2</v>
      </c>
      <c r="W415" s="98" t="str">
        <f t="shared" si="247"/>
        <v>1-8.48188347023183i</v>
      </c>
      <c r="X415" s="160">
        <f t="shared" si="257"/>
        <v>8.540629204139</v>
      </c>
      <c r="Y415" s="160">
        <f t="shared" si="258"/>
        <v>-1.4534397365587284</v>
      </c>
      <c r="Z415" s="98" t="str">
        <f t="shared" si="248"/>
        <v>-14.7711831590057+0.673735991986693i</v>
      </c>
      <c r="AA415" s="160">
        <f t="shared" si="259"/>
        <v>14.786540234408855</v>
      </c>
      <c r="AB415" s="160">
        <f t="shared" si="260"/>
        <v>3.0960127327819666</v>
      </c>
      <c r="AC415" s="171" t="str">
        <f t="shared" si="261"/>
        <v>0.033491089083449+0.00591177959240186i</v>
      </c>
      <c r="AD415" s="190">
        <f t="shared" si="262"/>
        <v>-29.368159912276475</v>
      </c>
      <c r="AE415" s="169">
        <f t="shared" si="263"/>
        <v>10.010613451832098</v>
      </c>
      <c r="AF415" s="98" t="str">
        <f t="shared" si="249"/>
        <v>-9.95024875621891E-06</v>
      </c>
      <c r="AG415" s="98" t="str">
        <f t="shared" si="250"/>
        <v>0.586967352034045i</v>
      </c>
      <c r="AH415" s="98">
        <f t="shared" si="264"/>
        <v>0.58696735203404504</v>
      </c>
      <c r="AI415" s="98">
        <f t="shared" si="265"/>
        <v>1.5707963267948966</v>
      </c>
      <c r="AJ415" s="98" t="str">
        <f t="shared" si="251"/>
        <v>1+5.85795175887095i</v>
      </c>
      <c r="AK415" s="98">
        <f t="shared" si="266"/>
        <v>5.9426928920531683</v>
      </c>
      <c r="AL415" s="98">
        <f t="shared" si="267"/>
        <v>1.4017180088088166</v>
      </c>
      <c r="AM415" s="98" t="str">
        <f t="shared" si="252"/>
        <v>1+5863.80971062982i</v>
      </c>
      <c r="AN415" s="98">
        <f t="shared" si="268"/>
        <v>5863.8097958986173</v>
      </c>
      <c r="AO415" s="98">
        <f t="shared" si="269"/>
        <v>1.5706257892025028</v>
      </c>
      <c r="AP415" s="168" t="str">
        <f t="shared" si="270"/>
        <v>-0.00281189570742825+0.0164889013679587i</v>
      </c>
      <c r="AQ415" s="98">
        <f t="shared" si="271"/>
        <v>-35.531668403628714</v>
      </c>
      <c r="AR415" s="169">
        <f t="shared" si="272"/>
        <v>99.677702943480753</v>
      </c>
      <c r="AS415" s="168" t="str">
        <f t="shared" si="273"/>
        <v>-0.000191652200239073+0.000535607956943372i</v>
      </c>
      <c r="AT415" s="190">
        <f t="shared" si="274"/>
        <v>-64.899828315905197</v>
      </c>
      <c r="AU415" s="169">
        <f t="shared" si="275"/>
        <v>109.68831639531288</v>
      </c>
      <c r="AV415" s="225"/>
      <c r="AX415">
        <f t="shared" si="276"/>
        <v>0</v>
      </c>
      <c r="AY415">
        <f t="shared" si="277"/>
        <v>0</v>
      </c>
    </row>
    <row r="416" spans="14:51" x14ac:dyDescent="0.55000000000000004">
      <c r="N416" s="170">
        <v>98</v>
      </c>
      <c r="O416" s="199">
        <f t="shared" si="243"/>
        <v>95499.258602143804</v>
      </c>
      <c r="P416" s="189" t="str">
        <f t="shared" si="244"/>
        <v>1078.86904761905</v>
      </c>
      <c r="Q416" s="160" t="str">
        <f t="shared" si="245"/>
        <v>1+18751.2355779854i</v>
      </c>
      <c r="R416" s="160">
        <f t="shared" si="253"/>
        <v>18751.235604650308</v>
      </c>
      <c r="S416" s="160">
        <f t="shared" si="254"/>
        <v>1.5707429969759152</v>
      </c>
      <c r="T416" s="160" t="str">
        <f t="shared" si="246"/>
        <v>1+0.0120007907699107i</v>
      </c>
      <c r="U416" s="160">
        <f t="shared" si="255"/>
        <v>1.000072006897055</v>
      </c>
      <c r="V416" s="160">
        <f t="shared" si="256"/>
        <v>1.2000214705810008E-2</v>
      </c>
      <c r="W416" s="98" t="str">
        <f t="shared" si="247"/>
        <v>1-8.6794519164302i</v>
      </c>
      <c r="X416" s="160">
        <f t="shared" si="257"/>
        <v>8.7368693231399455</v>
      </c>
      <c r="Y416" s="160">
        <f t="shared" si="258"/>
        <v>-1.4560874585618997</v>
      </c>
      <c r="Z416" s="98" t="str">
        <f t="shared" si="248"/>
        <v>-15.5144561223344+0.689429319247306i</v>
      </c>
      <c r="AA416" s="160">
        <f t="shared" si="259"/>
        <v>15.52976695118369</v>
      </c>
      <c r="AB416" s="160">
        <f t="shared" si="260"/>
        <v>3.0971840040120937</v>
      </c>
      <c r="AC416" s="171" t="str">
        <f t="shared" si="261"/>
        <v>0.0318982890466657+0.0055140222662497i</v>
      </c>
      <c r="AD416" s="190">
        <f t="shared" si="262"/>
        <v>-29.796779690462387</v>
      </c>
      <c r="AE416" s="169">
        <f t="shared" si="263"/>
        <v>9.8073794465941884</v>
      </c>
      <c r="AF416" s="98" t="str">
        <f t="shared" si="249"/>
        <v>-9.95024875621891E-06</v>
      </c>
      <c r="AG416" s="98" t="str">
        <f t="shared" si="250"/>
        <v>0.600639578034029i</v>
      </c>
      <c r="AH416" s="98">
        <f t="shared" si="264"/>
        <v>0.60063957803402901</v>
      </c>
      <c r="AI416" s="98">
        <f t="shared" si="265"/>
        <v>1.5707963267948966</v>
      </c>
      <c r="AJ416" s="98" t="str">
        <f t="shared" si="251"/>
        <v>1+5.99440098397137i</v>
      </c>
      <c r="AK416" s="98">
        <f t="shared" si="266"/>
        <v>6.0772397646165759</v>
      </c>
      <c r="AL416" s="98">
        <f t="shared" si="267"/>
        <v>1.4054961871039429</v>
      </c>
      <c r="AM416" s="98" t="str">
        <f t="shared" si="252"/>
        <v>1+6000.39538495534i</v>
      </c>
      <c r="AN416" s="98">
        <f t="shared" si="268"/>
        <v>6000.3954682831827</v>
      </c>
      <c r="AO416" s="98">
        <f t="shared" si="269"/>
        <v>1.5706296711119645</v>
      </c>
      <c r="AP416" s="168" t="str">
        <f t="shared" si="270"/>
        <v>-0.00268876620941027+0.0161341089004404i</v>
      </c>
      <c r="AQ416" s="98">
        <f t="shared" si="271"/>
        <v>-35.726130081170808</v>
      </c>
      <c r="AR416" s="169">
        <f t="shared" si="272"/>
        <v>99.461451689950735</v>
      </c>
      <c r="AS416" s="168" t="str">
        <f t="shared" si="273"/>
        <v>-0.000174730877449802+0.000499824552469202i</v>
      </c>
      <c r="AT416" s="190">
        <f t="shared" si="274"/>
        <v>-65.522909771633181</v>
      </c>
      <c r="AU416" s="169">
        <f t="shared" si="275"/>
        <v>109.26883113654488</v>
      </c>
      <c r="AV416" s="225"/>
      <c r="AX416">
        <f t="shared" si="276"/>
        <v>0</v>
      </c>
      <c r="AY416">
        <f t="shared" si="277"/>
        <v>0</v>
      </c>
    </row>
    <row r="417" spans="14:51" x14ac:dyDescent="0.55000000000000004">
      <c r="N417" s="170">
        <v>99</v>
      </c>
      <c r="O417" s="199">
        <f t="shared" si="243"/>
        <v>97723.722095581266</v>
      </c>
      <c r="P417" s="189" t="str">
        <f t="shared" si="244"/>
        <v>1078.86904761905</v>
      </c>
      <c r="Q417" s="160" t="str">
        <f t="shared" si="245"/>
        <v>1+19188.007963558i</v>
      </c>
      <c r="R417" s="160">
        <f t="shared" si="253"/>
        <v>19188.00798961594</v>
      </c>
      <c r="S417" s="160">
        <f t="shared" si="254"/>
        <v>1.570744210910799</v>
      </c>
      <c r="T417" s="160" t="str">
        <f t="shared" si="246"/>
        <v>1+0.0122803250966771i</v>
      </c>
      <c r="U417" s="160">
        <f t="shared" si="255"/>
        <v>1.0000754003496337</v>
      </c>
      <c r="V417" s="160">
        <f t="shared" si="256"/>
        <v>1.2279707835385614E-2</v>
      </c>
      <c r="W417" s="98" t="str">
        <f t="shared" si="247"/>
        <v>1-8.88162232292078i</v>
      </c>
      <c r="X417" s="160">
        <f t="shared" si="257"/>
        <v>8.9377410505677961</v>
      </c>
      <c r="Y417" s="160">
        <f t="shared" si="258"/>
        <v>-1.4586764729356136</v>
      </c>
      <c r="Z417" s="98" t="str">
        <f t="shared" si="248"/>
        <v>-16.2927584612303+0.705488191058658i</v>
      </c>
      <c r="AA417" s="160">
        <f t="shared" si="259"/>
        <v>16.308025382115233</v>
      </c>
      <c r="AB417" s="160">
        <f t="shared" si="260"/>
        <v>3.0983189642905784</v>
      </c>
      <c r="AC417" s="171" t="str">
        <f t="shared" si="261"/>
        <v>0.0303850794260105+0.00514468237130587i</v>
      </c>
      <c r="AD417" s="190">
        <f t="shared" si="262"/>
        <v>-30.224040464798332</v>
      </c>
      <c r="AE417" s="169">
        <f t="shared" si="263"/>
        <v>9.6099556393916572</v>
      </c>
      <c r="AF417" s="98" t="str">
        <f t="shared" si="249"/>
        <v>-9.95024875621891E-06</v>
      </c>
      <c r="AG417" s="98" t="str">
        <f t="shared" si="250"/>
        <v>0.614630271088691i</v>
      </c>
      <c r="AH417" s="98">
        <f t="shared" si="264"/>
        <v>0.61463027108869095</v>
      </c>
      <c r="AI417" s="98">
        <f t="shared" si="265"/>
        <v>1.5707963267948966</v>
      </c>
      <c r="AJ417" s="98" t="str">
        <f t="shared" si="251"/>
        <v>1+6.13402851981875i</v>
      </c>
      <c r="AK417" s="98">
        <f t="shared" si="266"/>
        <v>6.2150065069917497</v>
      </c>
      <c r="AL417" s="98">
        <f t="shared" si="267"/>
        <v>1.4091929713461482</v>
      </c>
      <c r="AM417" s="98" t="str">
        <f t="shared" si="252"/>
        <v>1+6140.16254833857i</v>
      </c>
      <c r="AN417" s="98">
        <f t="shared" si="268"/>
        <v>6140.1626297696384</v>
      </c>
      <c r="AO417" s="98">
        <f t="shared" si="269"/>
        <v>1.5706334646583837</v>
      </c>
      <c r="AP417" s="168" t="str">
        <f t="shared" si="270"/>
        <v>-0.00257088474886798+0.0157860693695804i</v>
      </c>
      <c r="AQ417" s="98">
        <f t="shared" si="271"/>
        <v>-35.920834423040617</v>
      </c>
      <c r="AR417" s="169">
        <f t="shared" si="272"/>
        <v>99.249858909301082</v>
      </c>
      <c r="AS417" s="168" t="str">
        <f t="shared" si="273"/>
        <v>-0.000159330850087364+0.000466434586173052i</v>
      </c>
      <c r="AT417" s="190">
        <f t="shared" si="274"/>
        <v>-66.144874887838952</v>
      </c>
      <c r="AU417" s="169">
        <f t="shared" si="275"/>
        <v>108.85981454869268</v>
      </c>
      <c r="AV417" s="225"/>
      <c r="AX417">
        <f t="shared" si="276"/>
        <v>0</v>
      </c>
      <c r="AY417">
        <f t="shared" si="277"/>
        <v>0</v>
      </c>
    </row>
    <row r="418" spans="14:51" x14ac:dyDescent="0.55000000000000004">
      <c r="N418" s="170">
        <v>100</v>
      </c>
      <c r="O418" s="199">
        <f t="shared" si="243"/>
        <v>100000</v>
      </c>
      <c r="P418" s="189" t="str">
        <f t="shared" si="244"/>
        <v>1078.86904761905</v>
      </c>
      <c r="Q418" s="160" t="str">
        <f t="shared" si="245"/>
        <v>1+19634.9540849362i</v>
      </c>
      <c r="R418" s="160">
        <f t="shared" si="253"/>
        <v>19634.954110400988</v>
      </c>
      <c r="S418" s="160">
        <f t="shared" si="254"/>
        <v>1.5707453972131513</v>
      </c>
      <c r="T418" s="160" t="str">
        <f t="shared" si="246"/>
        <v>1+0.0125663706143592i</v>
      </c>
      <c r="U418" s="160">
        <f t="shared" si="255"/>
        <v>1.0000789537183639</v>
      </c>
      <c r="V418" s="160">
        <f t="shared" si="256"/>
        <v>1.2565709209789116E-2</v>
      </c>
      <c r="W418" s="98" t="str">
        <f t="shared" si="247"/>
        <v>1-9.08850188312914i</v>
      </c>
      <c r="X418" s="160">
        <f t="shared" si="257"/>
        <v>9.1433509436990299</v>
      </c>
      <c r="Y418" s="160">
        <f t="shared" si="258"/>
        <v>-1.4612080135012466</v>
      </c>
      <c r="Z418" s="98" t="str">
        <f t="shared" si="248"/>
        <v>-17.107741059303+0.72192112204715i</v>
      </c>
      <c r="AA418" s="160">
        <f t="shared" si="259"/>
        <v>17.12296628095201</v>
      </c>
      <c r="AB418" s="160">
        <f t="shared" si="260"/>
        <v>3.0994191681993035</v>
      </c>
      <c r="AC418" s="171" t="str">
        <f t="shared" si="261"/>
        <v>0.0289471309920848+0.00480160919254624i</v>
      </c>
      <c r="AD418" s="190">
        <f t="shared" si="262"/>
        <v>-30.650009627565701</v>
      </c>
      <c r="AE418" s="169">
        <f t="shared" si="263"/>
        <v>9.4181907103111886</v>
      </c>
      <c r="AF418" s="98" t="str">
        <f t="shared" si="249"/>
        <v>-9.95024875621891E-06</v>
      </c>
      <c r="AG418" s="98" t="str">
        <f t="shared" si="250"/>
        <v>0.628946849248677i</v>
      </c>
      <c r="AH418" s="98">
        <f t="shared" si="264"/>
        <v>0.62894684924867705</v>
      </c>
      <c r="AI418" s="98">
        <f t="shared" si="265"/>
        <v>1.5707963267948966</v>
      </c>
      <c r="AJ418" s="98" t="str">
        <f t="shared" si="251"/>
        <v>1+6.27690839878081i</v>
      </c>
      <c r="AK418" s="98">
        <f t="shared" si="266"/>
        <v>6.3560663186191722</v>
      </c>
      <c r="AL418" s="98">
        <f t="shared" si="267"/>
        <v>1.4128099172464677</v>
      </c>
      <c r="AM418" s="98" t="str">
        <f t="shared" si="252"/>
        <v>1+6283.18530717959i</v>
      </c>
      <c r="AN418" s="98">
        <f t="shared" si="268"/>
        <v>6283.1853867570608</v>
      </c>
      <c r="AO418" s="98">
        <f t="shared" si="269"/>
        <v>1.5706371718531484</v>
      </c>
      <c r="AP418" s="168" t="str">
        <f t="shared" si="270"/>
        <v>-0.00245803998557164+0.015444712322227i</v>
      </c>
      <c r="AQ418" s="98">
        <f t="shared" si="271"/>
        <v>-36.11577107367232</v>
      </c>
      <c r="AR418" s="169">
        <f t="shared" si="272"/>
        <v>99.042835581099439</v>
      </c>
      <c r="AS418" s="168" t="str">
        <f t="shared" si="273"/>
        <v>-0.000145312678108762+0.000435277563336204i</v>
      </c>
      <c r="AT418" s="190">
        <f t="shared" si="274"/>
        <v>-66.765780701238015</v>
      </c>
      <c r="AU418" s="169">
        <f t="shared" si="275"/>
        <v>108.46102629141065</v>
      </c>
      <c r="AV418" s="225"/>
      <c r="AX418">
        <f t="shared" si="276"/>
        <v>0</v>
      </c>
      <c r="AY418">
        <f t="shared" si="277"/>
        <v>0</v>
      </c>
    </row>
    <row r="419" spans="14:51" x14ac:dyDescent="0.55000000000000004">
      <c r="N419" s="170">
        <v>1</v>
      </c>
      <c r="O419" s="199">
        <f>10^(5+(N419/100))</f>
        <v>102329.29922807543</v>
      </c>
      <c r="P419" s="189" t="str">
        <f t="shared" si="244"/>
        <v>1078.86904761905</v>
      </c>
      <c r="Q419" s="160" t="str">
        <f t="shared" si="245"/>
        <v>1+20092.3109188696i</v>
      </c>
      <c r="R419" s="160">
        <f t="shared" si="253"/>
        <v>20092.310943754739</v>
      </c>
      <c r="S419" s="160">
        <f t="shared" si="254"/>
        <v>1.5707465565119654</v>
      </c>
      <c r="T419" s="160" t="str">
        <f t="shared" si="246"/>
        <v>1+0.0128590789880765i</v>
      </c>
      <c r="U419" s="160">
        <f t="shared" si="255"/>
        <v>1.0000826745386711</v>
      </c>
      <c r="V419" s="160">
        <f t="shared" si="256"/>
        <v>1.2858370283475277E-2</v>
      </c>
      <c r="W419" s="98" t="str">
        <f t="shared" si="247"/>
        <v>1-9.30020028733648i</v>
      </c>
      <c r="X419" s="160">
        <f t="shared" si="257"/>
        <v>9.3538080686196228</v>
      </c>
      <c r="Y419" s="160">
        <f t="shared" si="258"/>
        <v>-1.4636832926536882</v>
      </c>
      <c r="Z419" s="98" t="str">
        <f t="shared" si="248"/>
        <v>-17.9611326039095+0.738736825170307i</v>
      </c>
      <c r="AA419" s="160">
        <f t="shared" si="259"/>
        <v>17.97631821347418</v>
      </c>
      <c r="AB419" s="160">
        <f t="shared" si="260"/>
        <v>3.1004860763552418</v>
      </c>
      <c r="AC419" s="171" t="str">
        <f t="shared" si="261"/>
        <v>0.0275803821584053+0.00448282689923695i</v>
      </c>
      <c r="AD419" s="190">
        <f t="shared" si="262"/>
        <v>-31.074750927585121</v>
      </c>
      <c r="AE419" s="169">
        <f t="shared" si="263"/>
        <v>9.2319401487169621</v>
      </c>
      <c r="AF419" s="98" t="str">
        <f t="shared" si="249"/>
        <v>-9.95024875621891E-06</v>
      </c>
      <c r="AG419" s="98" t="str">
        <f t="shared" si="250"/>
        <v>0.643596903353231i</v>
      </c>
      <c r="AH419" s="98">
        <f t="shared" si="264"/>
        <v>0.64359690335323105</v>
      </c>
      <c r="AI419" s="98">
        <f t="shared" si="265"/>
        <v>1.5707963267948966</v>
      </c>
      <c r="AJ419" s="98" t="str">
        <f t="shared" si="251"/>
        <v>1+6.42311637766061i</v>
      </c>
      <c r="AK419" s="98">
        <f t="shared" si="266"/>
        <v>6.5004941351386467</v>
      </c>
      <c r="AL419" s="98">
        <f t="shared" si="267"/>
        <v>1.4163485638210991</v>
      </c>
      <c r="AM419" s="98" t="str">
        <f t="shared" si="252"/>
        <v>1+6429.53949403827i</v>
      </c>
      <c r="AN419" s="98">
        <f t="shared" si="268"/>
        <v>6429.5395718043364</v>
      </c>
      <c r="AO419" s="98">
        <f t="shared" si="269"/>
        <v>1.5706407946618621</v>
      </c>
      <c r="AP419" s="168" t="str">
        <f t="shared" si="270"/>
        <v>-0.00235002802638317+0.0151099638781069i</v>
      </c>
      <c r="AQ419" s="98">
        <f t="shared" si="271"/>
        <v>-36.310930095616413</v>
      </c>
      <c r="AR419" s="169">
        <f t="shared" si="272"/>
        <v>98.840293638833927</v>
      </c>
      <c r="AS419" s="168" t="str">
        <f t="shared" si="273"/>
        <v>-0.000132550023569887+0.000406203809307257i</v>
      </c>
      <c r="AT419" s="190">
        <f t="shared" si="274"/>
        <v>-67.385681023201528</v>
      </c>
      <c r="AU419" s="169">
        <f t="shared" si="275"/>
        <v>108.07223378755089</v>
      </c>
      <c r="AV419" s="225"/>
      <c r="AX419">
        <f t="shared" si="276"/>
        <v>0</v>
      </c>
      <c r="AY419">
        <f t="shared" si="277"/>
        <v>0</v>
      </c>
    </row>
    <row r="420" spans="14:51" x14ac:dyDescent="0.55000000000000004">
      <c r="N420" s="170">
        <v>2</v>
      </c>
      <c r="O420" s="199">
        <f t="shared" ref="O420:O483" si="278">10^(5+(N420/100))</f>
        <v>104712.85480508996</v>
      </c>
      <c r="P420" s="189" t="str">
        <f t="shared" si="244"/>
        <v>1078.86904761905</v>
      </c>
      <c r="Q420" s="160" t="str">
        <f t="shared" si="245"/>
        <v>1+20560.3209620053i</v>
      </c>
      <c r="R420" s="160">
        <f t="shared" si="253"/>
        <v>20560.320986323983</v>
      </c>
      <c r="S420" s="160">
        <f t="shared" si="254"/>
        <v>1.570747689421917</v>
      </c>
      <c r="T420" s="160" t="str">
        <f t="shared" si="246"/>
        <v>1+0.0131586054156834i</v>
      </c>
      <c r="U420" s="160">
        <f t="shared" si="255"/>
        <v>1.0000865707009996</v>
      </c>
      <c r="V420" s="160">
        <f t="shared" si="256"/>
        <v>1.3157846028571724E-2</v>
      </c>
      <c r="W420" s="98" t="str">
        <f t="shared" si="247"/>
        <v>1-9.51682978083888i</v>
      </c>
      <c r="X420" s="160">
        <f t="shared" si="257"/>
        <v>9.5692240582746209</v>
      </c>
      <c r="Y420" s="160">
        <f t="shared" si="258"/>
        <v>-1.4661035014243069</v>
      </c>
      <c r="Z420" s="98" t="str">
        <f t="shared" si="248"/>
        <v>-18.8547432529324+0.755944216336508i</v>
      </c>
      <c r="AA420" s="160">
        <f t="shared" si="259"/>
        <v>18.869891223645475</v>
      </c>
      <c r="AB420" s="160">
        <f t="shared" si="260"/>
        <v>3.1015210626816296</v>
      </c>
      <c r="AC420" s="171" t="str">
        <f t="shared" si="261"/>
        <v>0.0262810195511336+0.00418651896544138i</v>
      </c>
      <c r="AD420" s="190">
        <f t="shared" si="262"/>
        <v>-31.498324693426042</v>
      </c>
      <c r="AE420" s="169">
        <f t="shared" si="263"/>
        <v>9.0510658375660054</v>
      </c>
      <c r="AF420" s="98" t="str">
        <f t="shared" si="249"/>
        <v>-9.95024875621891E-06</v>
      </c>
      <c r="AG420" s="98" t="str">
        <f t="shared" si="250"/>
        <v>0.658588201054955i</v>
      </c>
      <c r="AH420" s="98">
        <f t="shared" si="264"/>
        <v>0.65858820105495497</v>
      </c>
      <c r="AI420" s="98">
        <f t="shared" si="265"/>
        <v>1.5707963267948966</v>
      </c>
      <c r="AJ420" s="98" t="str">
        <f t="shared" si="251"/>
        <v>1+6.57272997786385i</v>
      </c>
      <c r="AK420" s="98">
        <f t="shared" si="266"/>
        <v>6.6483666687322627</v>
      </c>
      <c r="AL420" s="98">
        <f t="shared" si="267"/>
        <v>1.4198104326378425</v>
      </c>
      <c r="AM420" s="98" t="str">
        <f t="shared" si="252"/>
        <v>1+6579.30270784171i</v>
      </c>
      <c r="AN420" s="98">
        <f t="shared" si="268"/>
        <v>6579.3027838376047</v>
      </c>
      <c r="AO420" s="98">
        <f t="shared" si="269"/>
        <v>1.5706443350053856</v>
      </c>
      <c r="AP420" s="168" t="str">
        <f t="shared" si="270"/>
        <v>-0.00224665225660227+0.0147817470896142i</v>
      </c>
      <c r="AQ420" s="98">
        <f t="shared" si="271"/>
        <v>-36.506301954709876</v>
      </c>
      <c r="AR420" s="169">
        <f t="shared" si="272"/>
        <v>98.642146013148547</v>
      </c>
      <c r="AS420" s="168" t="str">
        <f t="shared" si="273"/>
        <v>-0.00012092837641339+0.000379073731981046i</v>
      </c>
      <c r="AT420" s="190">
        <f t="shared" si="274"/>
        <v>-68.004626648135925</v>
      </c>
      <c r="AU420" s="169">
        <f t="shared" si="275"/>
        <v>107.69321185071449</v>
      </c>
      <c r="AV420" s="225"/>
      <c r="AX420">
        <f t="shared" si="276"/>
        <v>0</v>
      </c>
      <c r="AY420">
        <f t="shared" si="277"/>
        <v>0</v>
      </c>
    </row>
    <row r="421" spans="14:51" x14ac:dyDescent="0.55000000000000004">
      <c r="N421" s="170">
        <v>3</v>
      </c>
      <c r="O421" s="199">
        <f t="shared" si="278"/>
        <v>107151.93052376082</v>
      </c>
      <c r="P421" s="189" t="str">
        <f t="shared" si="244"/>
        <v>1078.86904761905</v>
      </c>
      <c r="Q421" s="160" t="str">
        <f t="shared" si="245"/>
        <v>1+21039.2323594632i</v>
      </c>
      <c r="R421" s="160">
        <f t="shared" si="253"/>
        <v>21039.232383228325</v>
      </c>
      <c r="S421" s="160">
        <f t="shared" si="254"/>
        <v>1.5707487965436897</v>
      </c>
      <c r="T421" s="160" t="str">
        <f t="shared" si="246"/>
        <v>1+0.0134651087100564i</v>
      </c>
      <c r="U421" s="160">
        <f t="shared" si="255"/>
        <v>1.0000906504675331</v>
      </c>
      <c r="V421" s="160">
        <f t="shared" si="256"/>
        <v>1.3464295016089487E-2</v>
      </c>
      <c r="W421" s="98" t="str">
        <f t="shared" si="247"/>
        <v>1-9.73850522346123i</v>
      </c>
      <c r="X421" s="160">
        <f t="shared" si="257"/>
        <v>9.7897131718647241</v>
      </c>
      <c r="Y421" s="160">
        <f t="shared" si="258"/>
        <v>-1.468469809568749</v>
      </c>
      <c r="Z421" s="98" t="str">
        <f t="shared" si="248"/>
        <v>-19.7904684743666+0.773552419132317i</v>
      </c>
      <c r="AA421" s="160">
        <f t="shared" si="259"/>
        <v>19.805580672629716</v>
      </c>
      <c r="AB421" s="160">
        <f t="shared" si="260"/>
        <v>3.1025254210158475</v>
      </c>
      <c r="AC421" s="171" t="str">
        <f t="shared" si="261"/>
        <v>0.0250454602414505+0.00391101413514146i</v>
      </c>
      <c r="AD421" s="190">
        <f t="shared" si="262"/>
        <v>-31.920788040440343</v>
      </c>
      <c r="AE421" s="169">
        <f t="shared" si="263"/>
        <v>8.8754356744083616</v>
      </c>
      <c r="AF421" s="98" t="str">
        <f t="shared" si="249"/>
        <v>-9.95024875621891E-06</v>
      </c>
      <c r="AG421" s="98" t="str">
        <f t="shared" si="250"/>
        <v>0.673928690938325i</v>
      </c>
      <c r="AH421" s="98">
        <f t="shared" si="264"/>
        <v>0.67392869093832497</v>
      </c>
      <c r="AI421" s="98">
        <f t="shared" si="265"/>
        <v>1.5707963267948966</v>
      </c>
      <c r="AJ421" s="98" t="str">
        <f t="shared" si="251"/>
        <v>1+6.72582852650172i</v>
      </c>
      <c r="AK421" s="98">
        <f t="shared" si="266"/>
        <v>6.7997624493730893</v>
      </c>
      <c r="AL421" s="98">
        <f t="shared" si="267"/>
        <v>1.4231970271434664</v>
      </c>
      <c r="AM421" s="98" t="str">
        <f t="shared" si="252"/>
        <v>1+6732.55435502822i</v>
      </c>
      <c r="AN421" s="98">
        <f t="shared" si="268"/>
        <v>6732.5544292942368</v>
      </c>
      <c r="AO421" s="98">
        <f t="shared" si="269"/>
        <v>1.5706477947608553</v>
      </c>
      <c r="AP421" s="168" t="str">
        <f t="shared" si="270"/>
        <v>-0.00214772316609878+0.0144599822800117i</v>
      </c>
      <c r="AQ421" s="98">
        <f t="shared" si="271"/>
        <v>-36.701877505591519</v>
      </c>
      <c r="AR421" s="169">
        <f t="shared" si="272"/>
        <v>98.448306670440701</v>
      </c>
      <c r="AS421" s="168" t="str">
        <f t="shared" si="273"/>
        <v>-0.00011034391025719+0.000353757135625129i</v>
      </c>
      <c r="AT421" s="190">
        <f t="shared" si="274"/>
        <v>-68.622665546031854</v>
      </c>
      <c r="AU421" s="169">
        <f t="shared" si="275"/>
        <v>107.32374234484907</v>
      </c>
      <c r="AV421" s="225"/>
      <c r="AX421">
        <f t="shared" si="276"/>
        <v>0</v>
      </c>
      <c r="AY421">
        <f t="shared" si="277"/>
        <v>0</v>
      </c>
    </row>
    <row r="422" spans="14:51" x14ac:dyDescent="0.55000000000000004">
      <c r="N422" s="170">
        <v>4</v>
      </c>
      <c r="O422" s="199">
        <f t="shared" si="278"/>
        <v>109647.81961431868</v>
      </c>
      <c r="P422" s="189" t="str">
        <f t="shared" si="244"/>
        <v>1078.86904761905</v>
      </c>
      <c r="Q422" s="160" t="str">
        <f t="shared" si="245"/>
        <v>1+21529.2990364052i</v>
      </c>
      <c r="R422" s="160">
        <f t="shared" si="253"/>
        <v>21529.29905962936</v>
      </c>
      <c r="S422" s="160">
        <f t="shared" si="254"/>
        <v>1.5707498784642941</v>
      </c>
      <c r="T422" s="160" t="str">
        <f t="shared" si="246"/>
        <v>1+0.0137787513832993i</v>
      </c>
      <c r="U422" s="160">
        <f t="shared" si="255"/>
        <v>1.0000949224897018</v>
      </c>
      <c r="V422" s="160">
        <f t="shared" si="256"/>
        <v>1.3777879498974587E-2</v>
      </c>
      <c r="W422" s="98" t="str">
        <f t="shared" si="247"/>
        <v>1-9.96534415045739i</v>
      </c>
      <c r="X422" s="160">
        <f t="shared" si="257"/>
        <v>10.015392355622186</v>
      </c>
      <c r="Y422" s="160">
        <f t="shared" si="258"/>
        <v>-1.4707833656774709</v>
      </c>
      <c r="Z422" s="98" t="str">
        <f t="shared" si="248"/>
        <v>-20.7702930668614+0.791570769659925i</v>
      </c>
      <c r="AA422" s="160">
        <f t="shared" si="259"/>
        <v>20.785371258813029</v>
      </c>
      <c r="AB422" s="160">
        <f t="shared" si="260"/>
        <v>3.1035003711229208</v>
      </c>
      <c r="AC422" s="171" t="str">
        <f t="shared" si="261"/>
        <v>0.0238703354763746+0.00365477376057833i</v>
      </c>
      <c r="AD422" s="190">
        <f t="shared" si="262"/>
        <v>-32.342195063013577</v>
      </c>
      <c r="AE422" s="169">
        <f t="shared" si="263"/>
        <v>8.7049232252464677</v>
      </c>
      <c r="AF422" s="98" t="str">
        <f t="shared" si="249"/>
        <v>-9.95024875621891E-06</v>
      </c>
      <c r="AG422" s="98" t="str">
        <f t="shared" si="250"/>
        <v>0.68962650673413i</v>
      </c>
      <c r="AH422" s="98">
        <f t="shared" si="264"/>
        <v>0.68962650673412995</v>
      </c>
      <c r="AI422" s="98">
        <f t="shared" si="265"/>
        <v>1.5707963267948966</v>
      </c>
      <c r="AJ422" s="98" t="str">
        <f t="shared" si="251"/>
        <v>1+6.8824931984512i</v>
      </c>
      <c r="AK422" s="98">
        <f t="shared" si="266"/>
        <v>6.9547618670035716</v>
      </c>
      <c r="AL422" s="98">
        <f t="shared" si="267"/>
        <v>1.4265098320671006</v>
      </c>
      <c r="AM422" s="98" t="str">
        <f t="shared" si="252"/>
        <v>1+6889.37569164965i</v>
      </c>
      <c r="AN422" s="98">
        <f t="shared" si="268"/>
        <v>6889.3757642251667</v>
      </c>
      <c r="AO422" s="98">
        <f t="shared" si="269"/>
        <v>1.5706511757626791</v>
      </c>
      <c r="AP422" s="168" t="str">
        <f t="shared" si="270"/>
        <v>-0.00205305817137134+0.0141445873609069i</v>
      </c>
      <c r="AQ422" s="98">
        <f t="shared" si="271"/>
        <v>-36.897647977571879</v>
      </c>
      <c r="AR422" s="169">
        <f t="shared" si="272"/>
        <v>98.258690647101204</v>
      </c>
      <c r="AS422" s="168" t="str">
        <f t="shared" si="273"/>
        <v>-0.000100702454043996+0.000330132582346067i</v>
      </c>
      <c r="AT422" s="190">
        <f t="shared" si="274"/>
        <v>-69.239843040585455</v>
      </c>
      <c r="AU422" s="169">
        <f t="shared" si="275"/>
        <v>106.96361387234759</v>
      </c>
      <c r="AV422" s="225"/>
      <c r="AX422">
        <f t="shared" si="276"/>
        <v>0</v>
      </c>
      <c r="AY422">
        <f t="shared" si="277"/>
        <v>0</v>
      </c>
    </row>
    <row r="423" spans="14:51" x14ac:dyDescent="0.55000000000000004">
      <c r="N423" s="170">
        <v>5</v>
      </c>
      <c r="O423" s="199">
        <f t="shared" si="278"/>
        <v>112201.84543019651</v>
      </c>
      <c r="P423" s="189" t="str">
        <f t="shared" si="244"/>
        <v>1078.86904761905</v>
      </c>
      <c r="Q423" s="160" t="str">
        <f t="shared" si="245"/>
        <v>1+22030.7808326702i</v>
      </c>
      <c r="R423" s="160">
        <f t="shared" si="253"/>
        <v>22030.780855365716</v>
      </c>
      <c r="S423" s="160">
        <f t="shared" si="254"/>
        <v>1.5707509357573792</v>
      </c>
      <c r="T423" s="160" t="str">
        <f t="shared" si="246"/>
        <v>1+0.0140996997329089i</v>
      </c>
      <c r="U423" s="160">
        <f t="shared" si="255"/>
        <v>1.0000993958265139</v>
      </c>
      <c r="V423" s="160">
        <f t="shared" si="256"/>
        <v>1.4098765497037712E-2</v>
      </c>
      <c r="W423" s="98" t="str">
        <f t="shared" si="247"/>
        <v>1-10.1974668348291i</v>
      </c>
      <c r="X423" s="160">
        <f t="shared" si="257"/>
        <v>10.246381304999314</v>
      </c>
      <c r="Y423" s="160">
        <f t="shared" si="258"/>
        <v>-1.473045297307038</v>
      </c>
      <c r="Z423" s="98" t="str">
        <f t="shared" si="248"/>
        <v>-21.7962953697452+0.810008821487284i</v>
      </c>
      <c r="AA423" s="160">
        <f t="shared" si="259"/>
        <v>21.81134122735379</v>
      </c>
      <c r="AB423" s="160">
        <f t="shared" si="260"/>
        <v>3.1044470641755271</v>
      </c>
      <c r="AC423" s="171" t="str">
        <f t="shared" si="261"/>
        <v>0.0227524757620655+0.0034163803636027i</v>
      </c>
      <c r="AD423" s="190">
        <f t="shared" si="262"/>
        <v>-32.762597013283354</v>
      </c>
      <c r="AE423" s="169">
        <f t="shared" si="263"/>
        <v>8.5394074078787963</v>
      </c>
      <c r="AF423" s="98" t="str">
        <f t="shared" si="249"/>
        <v>-9.95024875621891E-06</v>
      </c>
      <c r="AG423" s="98" t="str">
        <f t="shared" si="250"/>
        <v>0.705689971632091i</v>
      </c>
      <c r="AH423" s="98">
        <f t="shared" si="264"/>
        <v>0.70568997163209102</v>
      </c>
      <c r="AI423" s="98">
        <f t="shared" si="265"/>
        <v>1.5707963267948966</v>
      </c>
      <c r="AJ423" s="98" t="str">
        <f t="shared" si="251"/>
        <v>1+7.04280705939507i</v>
      </c>
      <c r="AK423" s="98">
        <f t="shared" si="266"/>
        <v>7.1134472146677972</v>
      </c>
      <c r="AL423" s="98">
        <f t="shared" si="267"/>
        <v>1.4297503128949454</v>
      </c>
      <c r="AM423" s="98" t="str">
        <f t="shared" si="252"/>
        <v>1+7049.84986645446i</v>
      </c>
      <c r="AN423" s="98">
        <f t="shared" si="268"/>
        <v>7049.8499373779568</v>
      </c>
      <c r="AO423" s="98">
        <f t="shared" si="269"/>
        <v>1.5706544798035087</v>
      </c>
      <c r="AP423" s="168" t="str">
        <f t="shared" si="270"/>
        <v>-0.00196248143456782+0.0138354781298685i</v>
      </c>
      <c r="AQ423" s="98">
        <f t="shared" si="271"/>
        <v>-37.093604960865093</v>
      </c>
      <c r="AR423" s="169">
        <f t="shared" si="272"/>
        <v>98.073214079667551</v>
      </c>
      <c r="AS423" s="168" t="str">
        <f t="shared" si="273"/>
        <v>-0.0000919185670774452+0.000308086797769428i</v>
      </c>
      <c r="AT423" s="190">
        <f t="shared" si="274"/>
        <v>-69.856201974148433</v>
      </c>
      <c r="AU423" s="169">
        <f t="shared" si="275"/>
        <v>106.61262148754633</v>
      </c>
      <c r="AV423" s="225"/>
      <c r="AX423">
        <f t="shared" si="276"/>
        <v>0</v>
      </c>
      <c r="AY423">
        <f t="shared" si="277"/>
        <v>0</v>
      </c>
    </row>
    <row r="424" spans="14:51" x14ac:dyDescent="0.55000000000000004">
      <c r="N424" s="170">
        <v>6</v>
      </c>
      <c r="O424" s="199">
        <f t="shared" si="278"/>
        <v>114815.36214968823</v>
      </c>
      <c r="P424" s="189" t="str">
        <f t="shared" si="244"/>
        <v>1078.86904761905</v>
      </c>
      <c r="Q424" s="160" t="str">
        <f t="shared" si="245"/>
        <v>1+22543.9436405445i</v>
      </c>
      <c r="R424" s="160">
        <f t="shared" si="253"/>
        <v>22543.943662723406</v>
      </c>
      <c r="S424" s="160">
        <f t="shared" si="254"/>
        <v>1.5707519689835354</v>
      </c>
      <c r="T424" s="160" t="str">
        <f t="shared" si="246"/>
        <v>1+0.0144281239299485i</v>
      </c>
      <c r="U424" s="160">
        <f t="shared" si="255"/>
        <v>1.0001040799637495</v>
      </c>
      <c r="V424" s="160">
        <f t="shared" si="256"/>
        <v>1.4427122883803359E-2</v>
      </c>
      <c r="W424" s="98" t="str">
        <f t="shared" si="247"/>
        <v>1-10.4349963510959i</v>
      </c>
      <c r="X424" s="160">
        <f t="shared" si="257"/>
        <v>10.482802528302475</v>
      </c>
      <c r="Y424" s="160">
        <f t="shared" si="258"/>
        <v>-1.4752567111303259</v>
      </c>
      <c r="Z424" s="98" t="str">
        <f t="shared" si="248"/>
        <v>-22.8706516714606+0.828876350713528i</v>
      </c>
      <c r="AA424" s="160">
        <f t="shared" si="259"/>
        <v>22.885666778183584</v>
      </c>
      <c r="AB424" s="160">
        <f t="shared" si="260"/>
        <v>3.1053665877543928</v>
      </c>
      <c r="AC424" s="171" t="str">
        <f t="shared" si="261"/>
        <v>0.0216888971696363+0.00319452728812322i</v>
      </c>
      <c r="AD424" s="190">
        <f t="shared" si="262"/>
        <v>-33.182042467454671</v>
      </c>
      <c r="AE424" s="169">
        <f t="shared" si="263"/>
        <v>8.3787722017513282</v>
      </c>
      <c r="AF424" s="98" t="str">
        <f t="shared" si="249"/>
        <v>-9.95024875621891E-06</v>
      </c>
      <c r="AG424" s="98" t="str">
        <f t="shared" si="250"/>
        <v>0.722127602693922i</v>
      </c>
      <c r="AH424" s="98">
        <f t="shared" si="264"/>
        <v>0.72212760269392196</v>
      </c>
      <c r="AI424" s="98">
        <f t="shared" si="265"/>
        <v>1.5707963267948966</v>
      </c>
      <c r="AJ424" s="98" t="str">
        <f t="shared" si="251"/>
        <v>1+7.20685510986438i</v>
      </c>
      <c r="AK424" s="98">
        <f t="shared" si="266"/>
        <v>7.2759027326221402</v>
      </c>
      <c r="AL424" s="98">
        <f t="shared" si="267"/>
        <v>1.4329199154117915</v>
      </c>
      <c r="AM424" s="98" t="str">
        <f t="shared" si="252"/>
        <v>1+7214.06196497424i</v>
      </c>
      <c r="AN424" s="98">
        <f t="shared" si="268"/>
        <v>7214.0620342833208</v>
      </c>
      <c r="AO424" s="98">
        <f t="shared" si="269"/>
        <v>1.5706577086351898</v>
      </c>
      <c r="AP424" s="168" t="str">
        <f t="shared" si="270"/>
        <v>-0.00187582368040367+0.0135325685490496i</v>
      </c>
      <c r="AQ424" s="98">
        <f t="shared" si="271"/>
        <v>-37.289740393186371</v>
      </c>
      <c r="AR424" s="169">
        <f t="shared" si="272"/>
        <v>97.891794231146321</v>
      </c>
      <c r="AS424" s="168" t="str">
        <f t="shared" si="273"/>
        <v>-0.0000839147064209809+0.000287514117766634i</v>
      </c>
      <c r="AT424" s="190">
        <f t="shared" si="274"/>
        <v>-70.471782860641042</v>
      </c>
      <c r="AU424" s="169">
        <f t="shared" si="275"/>
        <v>106.27056643289762</v>
      </c>
      <c r="AV424" s="225"/>
      <c r="AX424">
        <f t="shared" si="276"/>
        <v>0</v>
      </c>
      <c r="AY424">
        <f t="shared" si="277"/>
        <v>0</v>
      </c>
    </row>
    <row r="425" spans="14:51" x14ac:dyDescent="0.55000000000000004">
      <c r="N425" s="170">
        <v>7</v>
      </c>
      <c r="O425" s="199">
        <f t="shared" si="278"/>
        <v>117489.75549395311</v>
      </c>
      <c r="P425" s="189" t="str">
        <f t="shared" si="244"/>
        <v>1078.86904761905</v>
      </c>
      <c r="Q425" s="160" t="str">
        <f t="shared" si="245"/>
        <v>1+23069.0595457415i</v>
      </c>
      <c r="R425" s="160">
        <f t="shared" si="253"/>
        <v>23069.059567415552</v>
      </c>
      <c r="S425" s="160">
        <f t="shared" si="254"/>
        <v>1.5707529786905932</v>
      </c>
      <c r="T425" s="160" t="str">
        <f t="shared" si="246"/>
        <v>1+0.0147641981092746i</v>
      </c>
      <c r="U425" s="160">
        <f t="shared" si="255"/>
        <v>1.0001089848340579</v>
      </c>
      <c r="V425" s="160">
        <f t="shared" si="256"/>
        <v>1.4763125475317584E-2</v>
      </c>
      <c r="W425" s="98" t="str">
        <f t="shared" si="247"/>
        <v>1-10.6780586405517i</v>
      </c>
      <c r="X425" s="160">
        <f t="shared" si="257"/>
        <v>10.724781411807927</v>
      </c>
      <c r="Y425" s="160">
        <f t="shared" si="258"/>
        <v>-1.4774186931039108</v>
      </c>
      <c r="Z425" s="98" t="str">
        <f t="shared" si="248"/>
        <v>-23.9956408257654+0.848183361152399i</v>
      </c>
      <c r="AA425" s="160">
        <f t="shared" si="259"/>
        <v>24.010626681810592</v>
      </c>
      <c r="AB425" s="160">
        <f t="shared" si="260"/>
        <v>3.106259970416863</v>
      </c>
      <c r="AC425" s="171" t="str">
        <f t="shared" si="261"/>
        <v>0.020676788747572+0.00298800932758032i</v>
      </c>
      <c r="AD425" s="190">
        <f t="shared" si="262"/>
        <v>-33.600577480729569</v>
      </c>
      <c r="AE425" s="169">
        <f t="shared" si="263"/>
        <v>8.222906381678122</v>
      </c>
      <c r="AF425" s="98" t="str">
        <f t="shared" si="249"/>
        <v>-9.95024875621891E-06</v>
      </c>
      <c r="AG425" s="98" t="str">
        <f t="shared" si="250"/>
        <v>0.738948115369192i</v>
      </c>
      <c r="AH425" s="98">
        <f t="shared" si="264"/>
        <v>0.73894811536919203</v>
      </c>
      <c r="AI425" s="98">
        <f t="shared" si="265"/>
        <v>1.5707963267948966</v>
      </c>
      <c r="AJ425" s="98" t="str">
        <f t="shared" si="251"/>
        <v>1+7.37472433030697i</v>
      </c>
      <c r="AK425" s="98">
        <f t="shared" si="266"/>
        <v>7.4422146534497093</v>
      </c>
      <c r="AL425" s="98">
        <f t="shared" si="267"/>
        <v>1.4360200653050519</v>
      </c>
      <c r="AM425" s="98" t="str">
        <f t="shared" si="252"/>
        <v>1+7382.09905463728i</v>
      </c>
      <c r="AN425" s="98">
        <f t="shared" si="268"/>
        <v>7382.0991223686915</v>
      </c>
      <c r="AO425" s="98">
        <f t="shared" si="269"/>
        <v>1.5706608639696917</v>
      </c>
      <c r="AP425" s="168" t="str">
        <f t="shared" si="270"/>
        <v>-0.00179292201182254+0.0132357710056704i</v>
      </c>
      <c r="AQ425" s="98">
        <f t="shared" si="271"/>
        <v>-37.486046546720964</v>
      </c>
      <c r="AR425" s="169">
        <f t="shared" si="272"/>
        <v>97.714349513754513</v>
      </c>
      <c r="AS425" s="168" t="str">
        <f t="shared" si="273"/>
        <v>-0.0000766204769019868+0.000268315973300536i</v>
      </c>
      <c r="AT425" s="190">
        <f t="shared" si="274"/>
        <v>-71.086624027450512</v>
      </c>
      <c r="AU425" s="169">
        <f t="shared" si="275"/>
        <v>105.93725589543263</v>
      </c>
      <c r="AV425" s="225"/>
      <c r="AX425">
        <f t="shared" si="276"/>
        <v>0</v>
      </c>
      <c r="AY425">
        <f t="shared" si="277"/>
        <v>0</v>
      </c>
    </row>
    <row r="426" spans="14:51" x14ac:dyDescent="0.55000000000000004">
      <c r="N426" s="170">
        <v>8</v>
      </c>
      <c r="O426" s="199">
        <f t="shared" si="278"/>
        <v>120226.44346174144</v>
      </c>
      <c r="P426" s="189" t="str">
        <f t="shared" si="244"/>
        <v>1078.86904761905</v>
      </c>
      <c r="Q426" s="160" t="str">
        <f t="shared" si="245"/>
        <v>1+23606.4069716647i</v>
      </c>
      <c r="R426" s="160">
        <f t="shared" si="253"/>
        <v>23606.406992845386</v>
      </c>
      <c r="S426" s="160">
        <f t="shared" si="254"/>
        <v>1.5707539654139122</v>
      </c>
      <c r="T426" s="160" t="str">
        <f t="shared" si="246"/>
        <v>1+0.0151081004618654i</v>
      </c>
      <c r="U426" s="160">
        <f t="shared" si="255"/>
        <v>1.000114120838</v>
      </c>
      <c r="V426" s="160">
        <f t="shared" si="256"/>
        <v>1.5106951120956127E-2</v>
      </c>
      <c r="W426" s="98" t="str">
        <f t="shared" si="247"/>
        <v>1-10.9267825780396i</v>
      </c>
      <c r="X426" s="160">
        <f t="shared" si="257"/>
        <v>10.972446286391641</v>
      </c>
      <c r="Y426" s="160">
        <f t="shared" si="258"/>
        <v>-1.4795323086509964</v>
      </c>
      <c r="Z426" s="98" t="str">
        <f t="shared" si="248"/>
        <v>-25.1736490854855+0.867940089636386i</v>
      </c>
      <c r="AA426" s="160">
        <f t="shared" si="259"/>
        <v>25.188607112707981</v>
      </c>
      <c r="AB426" s="160">
        <f t="shared" si="260"/>
        <v>3.1071281858760869</v>
      </c>
      <c r="AC426" s="171" t="str">
        <f t="shared" si="261"/>
        <v>0.0197135009372311+0.00279571422511721i</v>
      </c>
      <c r="AD426" s="190">
        <f t="shared" si="262"/>
        <v>-34.018245731772524</v>
      </c>
      <c r="AE426" s="169">
        <f t="shared" si="263"/>
        <v>8.0717032730970573</v>
      </c>
      <c r="AF426" s="98" t="str">
        <f t="shared" si="249"/>
        <v>-9.95024875621891E-06</v>
      </c>
      <c r="AG426" s="98" t="str">
        <f t="shared" si="250"/>
        <v>0.756160428116365i</v>
      </c>
      <c r="AH426" s="98">
        <f t="shared" si="264"/>
        <v>0.75616042811636497</v>
      </c>
      <c r="AI426" s="98">
        <f t="shared" si="265"/>
        <v>1.5707963267948966</v>
      </c>
      <c r="AJ426" s="98" t="str">
        <f t="shared" si="251"/>
        <v>1+7.5465037272055i</v>
      </c>
      <c r="AK426" s="98">
        <f t="shared" si="266"/>
        <v>7.6124712482036019</v>
      </c>
      <c r="AL426" s="98">
        <f t="shared" si="267"/>
        <v>1.4390521678271861</v>
      </c>
      <c r="AM426" s="98" t="str">
        <f t="shared" si="252"/>
        <v>1+7554.05023093271i</v>
      </c>
      <c r="AN426" s="98">
        <f t="shared" si="268"/>
        <v>7554.0502971223668</v>
      </c>
      <c r="AO426" s="98">
        <f t="shared" si="269"/>
        <v>1.5706639474800141</v>
      </c>
      <c r="AP426" s="168" t="str">
        <f t="shared" si="270"/>
        <v>-0.00171361972515733+0.01294499655521i</v>
      </c>
      <c r="AQ426" s="98">
        <f t="shared" si="271"/>
        <v>-37.682516015463975</v>
      </c>
      <c r="AR426" s="169">
        <f t="shared" si="272"/>
        <v>97.54079950831273</v>
      </c>
      <c r="AS426" s="168" t="str">
        <f t="shared" si="273"/>
        <v>-0.0000699719550714406+0.000250400410681522i</v>
      </c>
      <c r="AT426" s="190">
        <f t="shared" si="274"/>
        <v>-71.700761747236498</v>
      </c>
      <c r="AU426" s="169">
        <f t="shared" si="275"/>
        <v>105.61250278140979</v>
      </c>
      <c r="AV426" s="225"/>
      <c r="AX426">
        <f t="shared" si="276"/>
        <v>0</v>
      </c>
      <c r="AY426">
        <f t="shared" si="277"/>
        <v>0</v>
      </c>
    </row>
    <row r="427" spans="14:51" x14ac:dyDescent="0.55000000000000004">
      <c r="N427" s="170">
        <v>9</v>
      </c>
      <c r="O427" s="199">
        <f t="shared" si="278"/>
        <v>123026.87708123829</v>
      </c>
      <c r="P427" s="189" t="str">
        <f t="shared" si="244"/>
        <v>1078.86904761905</v>
      </c>
      <c r="Q427" s="160" t="str">
        <f t="shared" si="245"/>
        <v>1+24156.270827032i</v>
      </c>
      <c r="R427" s="160">
        <f t="shared" si="253"/>
        <v>24156.270847730557</v>
      </c>
      <c r="S427" s="160">
        <f t="shared" si="254"/>
        <v>1.5707549296766663</v>
      </c>
      <c r="T427" s="160" t="str">
        <f t="shared" si="246"/>
        <v>1+0.0154600133293005i</v>
      </c>
      <c r="U427" s="160">
        <f t="shared" si="255"/>
        <v>1.0001194988660815</v>
      </c>
      <c r="V427" s="160">
        <f t="shared" si="256"/>
        <v>1.5458781796275195E-2</v>
      </c>
      <c r="W427" s="98" t="str">
        <f t="shared" si="247"/>
        <v>1-11.1813000402833i</v>
      </c>
      <c r="X427" s="160">
        <f t="shared" si="257"/>
        <v>11.225928495712029</v>
      </c>
      <c r="Y427" s="160">
        <f t="shared" si="258"/>
        <v>-1.4815986028583792</v>
      </c>
      <c r="Z427" s="98" t="str">
        <f t="shared" si="248"/>
        <v>-26.4071751640782+0.888157011444443i</v>
      </c>
      <c r="AA427" s="160">
        <f t="shared" si="259"/>
        <v>26.422106710542341</v>
      </c>
      <c r="AB427" s="160">
        <f t="shared" si="260"/>
        <v>3.1079721568285859</v>
      </c>
      <c r="AC427" s="171" t="str">
        <f t="shared" si="261"/>
        <v>0.0187965348988355+0.00261661495606652i</v>
      </c>
      <c r="AD427" s="190">
        <f t="shared" si="262"/>
        <v>-34.43508865754503</v>
      </c>
      <c r="AE427" s="169">
        <f t="shared" si="263"/>
        <v>7.9250605267847458</v>
      </c>
      <c r="AF427" s="98" t="str">
        <f t="shared" si="249"/>
        <v>-9.95024875621891E-06</v>
      </c>
      <c r="AG427" s="98" t="str">
        <f t="shared" si="250"/>
        <v>0.773773667131491i</v>
      </c>
      <c r="AH427" s="98">
        <f t="shared" si="264"/>
        <v>0.77377366713149098</v>
      </c>
      <c r="AI427" s="98">
        <f t="shared" si="265"/>
        <v>1.5707963267948966</v>
      </c>
      <c r="AJ427" s="98" t="str">
        <f t="shared" si="251"/>
        <v>1+7.72228438026998i</v>
      </c>
      <c r="AK427" s="98">
        <f t="shared" si="266"/>
        <v>7.7867628736055474</v>
      </c>
      <c r="AL427" s="98">
        <f t="shared" si="267"/>
        <v>1.4420176075126174</v>
      </c>
      <c r="AM427" s="98" t="str">
        <f t="shared" si="252"/>
        <v>1+7730.00666465025i</v>
      </c>
      <c r="AN427" s="98">
        <f t="shared" si="268"/>
        <v>7730.0067293332468</v>
      </c>
      <c r="AO427" s="98">
        <f t="shared" si="269"/>
        <v>1.5706669608010748</v>
      </c>
      <c r="AP427" s="168" t="str">
        <f t="shared" si="270"/>
        <v>-0.00163776612546988+0.0126601551481355i</v>
      </c>
      <c r="AQ427" s="98">
        <f t="shared" si="271"/>
        <v>-37.879141702933232</v>
      </c>
      <c r="AR427" s="169">
        <f t="shared" si="272"/>
        <v>97.371064980516081</v>
      </c>
      <c r="AS427" s="168" t="str">
        <f t="shared" si="273"/>
        <v>-0.0000639110794402591+0.000233681644728157i</v>
      </c>
      <c r="AT427" s="190">
        <f t="shared" si="274"/>
        <v>-72.314230360478263</v>
      </c>
      <c r="AU427" s="169">
        <f t="shared" si="275"/>
        <v>105.29612550730084</v>
      </c>
      <c r="AV427" s="225"/>
      <c r="AX427">
        <f t="shared" si="276"/>
        <v>0</v>
      </c>
      <c r="AY427">
        <f t="shared" si="277"/>
        <v>0</v>
      </c>
    </row>
    <row r="428" spans="14:51" x14ac:dyDescent="0.55000000000000004">
      <c r="N428" s="170">
        <v>10</v>
      </c>
      <c r="O428" s="199">
        <f t="shared" si="278"/>
        <v>125892.54117941685</v>
      </c>
      <c r="P428" s="189" t="str">
        <f t="shared" si="244"/>
        <v>1078.86904761905</v>
      </c>
      <c r="Q428" s="160" t="str">
        <f t="shared" si="245"/>
        <v>1+24718.9426569379i</v>
      </c>
      <c r="R428" s="160">
        <f t="shared" si="253"/>
        <v>24718.942677165302</v>
      </c>
      <c r="S428" s="160">
        <f t="shared" si="254"/>
        <v>1.5707558719901207</v>
      </c>
      <c r="T428" s="160" t="str">
        <f t="shared" si="246"/>
        <v>1+0.0158201233004403i</v>
      </c>
      <c r="U428" s="160">
        <f t="shared" si="255"/>
        <v>1.0001251303218219</v>
      </c>
      <c r="V428" s="160">
        <f t="shared" si="256"/>
        <v>1.5818803697945499E-2</v>
      </c>
      <c r="W428" s="98" t="str">
        <f t="shared" si="247"/>
        <v>1-11.4417459758104i</v>
      </c>
      <c r="X428" s="160">
        <f t="shared" si="257"/>
        <v>11.485362465981362</v>
      </c>
      <c r="Y428" s="160">
        <f t="shared" si="258"/>
        <v>-1.4836186006860306</v>
      </c>
      <c r="Z428" s="98" t="str">
        <f t="shared" si="248"/>
        <v>-27.6988355357379+0.908844845856117i</v>
      </c>
      <c r="AA428" s="160">
        <f t="shared" si="259"/>
        <v>27.713741879971675</v>
      </c>
      <c r="AB428" s="160">
        <f t="shared" si="260"/>
        <v>3.1087927584638684</v>
      </c>
      <c r="AC428" s="171" t="str">
        <f t="shared" si="261"/>
        <v>0.0179235326650076+0.00244976271278115i</v>
      </c>
      <c r="AD428" s="190">
        <f t="shared" si="262"/>
        <v>-34.851145579263559</v>
      </c>
      <c r="AE428" s="169">
        <f t="shared" si="263"/>
        <v>7.7828799111856002</v>
      </c>
      <c r="AF428" s="98" t="str">
        <f t="shared" si="249"/>
        <v>-9.95024875621891E-06</v>
      </c>
      <c r="AG428" s="98" t="str">
        <f t="shared" si="250"/>
        <v>0.791797171187035i</v>
      </c>
      <c r="AH428" s="98">
        <f t="shared" si="264"/>
        <v>0.79179717118703496</v>
      </c>
      <c r="AI428" s="98">
        <f t="shared" si="265"/>
        <v>1.5707963267948966</v>
      </c>
      <c r="AJ428" s="98" t="str">
        <f t="shared" si="251"/>
        <v>1+7.9021594907294i</v>
      </c>
      <c r="AK428" s="98">
        <f t="shared" si="266"/>
        <v>7.9651820203260106</v>
      </c>
      <c r="AL428" s="98">
        <f t="shared" si="267"/>
        <v>1.4449177479454069</v>
      </c>
      <c r="AM428" s="98" t="str">
        <f t="shared" si="252"/>
        <v>1+7910.06165022013i</v>
      </c>
      <c r="AN428" s="98">
        <f t="shared" si="268"/>
        <v>7910.0617134307631</v>
      </c>
      <c r="AO428" s="98">
        <f t="shared" si="269"/>
        <v>1.5706699055305764</v>
      </c>
      <c r="AP428" s="168" t="str">
        <f t="shared" si="270"/>
        <v>-0.00156521634267333+0.0123811558409849i</v>
      </c>
      <c r="AQ428" s="98">
        <f t="shared" si="271"/>
        <v>-38.075916810252323</v>
      </c>
      <c r="AR428" s="169">
        <f t="shared" si="272"/>
        <v>97.20506789429416</v>
      </c>
      <c r="AS428" s="168" t="str">
        <f t="shared" si="273"/>
        <v>-0.0000583851001660865+0.000218079642512726i</v>
      </c>
      <c r="AT428" s="190">
        <f t="shared" si="274"/>
        <v>-72.927062389515868</v>
      </c>
      <c r="AU428" s="169">
        <f t="shared" si="275"/>
        <v>104.98794780547975</v>
      </c>
      <c r="AV428" s="225"/>
      <c r="AX428">
        <f t="shared" si="276"/>
        <v>0</v>
      </c>
      <c r="AY428">
        <f t="shared" si="277"/>
        <v>0</v>
      </c>
    </row>
    <row r="429" spans="14:51" x14ac:dyDescent="0.55000000000000004">
      <c r="N429" s="170">
        <v>11</v>
      </c>
      <c r="O429" s="199">
        <f t="shared" si="278"/>
        <v>128824.95516931375</v>
      </c>
      <c r="P429" s="189" t="str">
        <f t="shared" si="244"/>
        <v>1078.86904761905</v>
      </c>
      <c r="Q429" s="160" t="str">
        <f t="shared" si="245"/>
        <v>1+25294.7207974344i</v>
      </c>
      <c r="R429" s="160">
        <f t="shared" si="253"/>
        <v>25294.720817201367</v>
      </c>
      <c r="S429" s="160">
        <f t="shared" si="254"/>
        <v>1.5707567928539021</v>
      </c>
      <c r="T429" s="160" t="str">
        <f t="shared" si="246"/>
        <v>1+0.016188621310358i</v>
      </c>
      <c r="U429" s="160">
        <f t="shared" si="255"/>
        <v>1.0001310271459085</v>
      </c>
      <c r="V429" s="160">
        <f t="shared" si="256"/>
        <v>1.6187207340814292E-2</v>
      </c>
      <c r="W429" s="98" t="str">
        <f t="shared" si="247"/>
        <v>1-11.7082584765033i</v>
      </c>
      <c r="X429" s="160">
        <f t="shared" si="257"/>
        <v>11.75088577736212</v>
      </c>
      <c r="Y429" s="160">
        <f t="shared" si="258"/>
        <v>-1.4855933071879492</v>
      </c>
      <c r="Z429" s="98" t="str">
        <f t="shared" si="248"/>
        <v>-29.0513699852888+0.930014561835049i</v>
      </c>
      <c r="AA429" s="160">
        <f t="shared" si="259"/>
        <v>29.066252340254742</v>
      </c>
      <c r="AB429" s="160">
        <f t="shared" si="260"/>
        <v>3.1095908216861399</v>
      </c>
      <c r="AC429" s="171" t="str">
        <f t="shared" si="261"/>
        <v>0.017092268047444+0.00229428052092355i</v>
      </c>
      <c r="AD429" s="190">
        <f t="shared" si="262"/>
        <v>-35.266453820170177</v>
      </c>
      <c r="AE429" s="169">
        <f t="shared" si="263"/>
        <v>7.6450671207132368</v>
      </c>
      <c r="AF429" s="98" t="str">
        <f t="shared" si="249"/>
        <v>-9.95024875621891E-06</v>
      </c>
      <c r="AG429" s="98" t="str">
        <f t="shared" si="250"/>
        <v>0.810240496583419i</v>
      </c>
      <c r="AH429" s="98">
        <f t="shared" si="264"/>
        <v>0.81024049658341901</v>
      </c>
      <c r="AI429" s="98">
        <f t="shared" si="265"/>
        <v>1.5707963267948966</v>
      </c>
      <c r="AJ429" s="98" t="str">
        <f t="shared" si="251"/>
        <v>1+8.08622443074826i</v>
      </c>
      <c r="AK429" s="98">
        <f t="shared" si="266"/>
        <v>8.1478233623729253</v>
      </c>
      <c r="AL429" s="98">
        <f t="shared" si="267"/>
        <v>1.4477539315741594</v>
      </c>
      <c r="AM429" s="98" t="str">
        <f t="shared" si="252"/>
        <v>1+8094.31065517901i</v>
      </c>
      <c r="AN429" s="98">
        <f t="shared" si="268"/>
        <v>8094.310716950793</v>
      </c>
      <c r="AO429" s="98">
        <f t="shared" si="269"/>
        <v>1.5706727832298528</v>
      </c>
      <c r="AP429" s="168" t="str">
        <f t="shared" si="270"/>
        <v>-0.00149583114897285+0.0121079069925936i</v>
      </c>
      <c r="AQ429" s="98">
        <f t="shared" si="271"/>
        <v>-38.272834824604203</v>
      </c>
      <c r="AR429" s="169">
        <f t="shared" si="272"/>
        <v>97.042731422465934</v>
      </c>
      <c r="AS429" s="168" t="str">
        <f t="shared" si="273"/>
        <v>-0.0000533460821142216+0.000203519735543252i</v>
      </c>
      <c r="AT429" s="190">
        <f t="shared" si="274"/>
        <v>-73.539288644774402</v>
      </c>
      <c r="AU429" s="169">
        <f t="shared" si="275"/>
        <v>104.68779854317918</v>
      </c>
      <c r="AV429" s="225"/>
      <c r="AX429">
        <f t="shared" si="276"/>
        <v>0</v>
      </c>
      <c r="AY429">
        <f t="shared" si="277"/>
        <v>0</v>
      </c>
    </row>
    <row r="430" spans="14:51" x14ac:dyDescent="0.55000000000000004">
      <c r="N430" s="170">
        <v>12</v>
      </c>
      <c r="O430" s="199">
        <f t="shared" si="278"/>
        <v>131825.67385564081</v>
      </c>
      <c r="P430" s="189" t="str">
        <f t="shared" si="244"/>
        <v>1078.86904761905</v>
      </c>
      <c r="Q430" s="160" t="str">
        <f t="shared" si="245"/>
        <v>1+25883.9105337128i</v>
      </c>
      <c r="R430" s="160">
        <f t="shared" si="253"/>
        <v>25883.910553029815</v>
      </c>
      <c r="S430" s="160">
        <f t="shared" si="254"/>
        <v>1.5707576927562648</v>
      </c>
      <c r="T430" s="160" t="str">
        <f t="shared" si="246"/>
        <v>1+0.0165657027415762i</v>
      </c>
      <c r="U430" s="160">
        <f t="shared" si="255"/>
        <v>1.0001372018414885</v>
      </c>
      <c r="V430" s="160">
        <f t="shared" si="256"/>
        <v>1.6564187657138376E-2</v>
      </c>
      <c r="W430" s="98" t="str">
        <f t="shared" si="247"/>
        <v>1-11.9809788508176i</v>
      </c>
      <c r="X430" s="160">
        <f t="shared" si="257"/>
        <v>12.022639237028558</v>
      </c>
      <c r="Y430" s="160">
        <f t="shared" si="258"/>
        <v>-1.4875237077430694</v>
      </c>
      <c r="Z430" s="98" t="str">
        <f t="shared" si="248"/>
        <v>-30.4676474196357+0.951677383844859i</v>
      </c>
      <c r="AA430" s="160">
        <f t="shared" si="259"/>
        <v>30.482506936440704</v>
      </c>
      <c r="AB430" s="160">
        <f t="shared" si="260"/>
        <v>3.1103671360749798</v>
      </c>
      <c r="AC430" s="171" t="str">
        <f t="shared" si="261"/>
        <v>0.0163006382298957+0.00214935742427578i</v>
      </c>
      <c r="AD430" s="190">
        <f t="shared" si="262"/>
        <v>-35.681048815736915</v>
      </c>
      <c r="AE430" s="169">
        <f t="shared" si="263"/>
        <v>7.511531598556914</v>
      </c>
      <c r="AF430" s="98" t="str">
        <f t="shared" si="249"/>
        <v>-9.95024875621891E-06</v>
      </c>
      <c r="AG430" s="98" t="str">
        <f t="shared" si="250"/>
        <v>0.829113422215889i</v>
      </c>
      <c r="AH430" s="98">
        <f t="shared" si="264"/>
        <v>0.82911342221588902</v>
      </c>
      <c r="AI430" s="98">
        <f t="shared" si="265"/>
        <v>1.5707963267948966</v>
      </c>
      <c r="AJ430" s="98" t="str">
        <f t="shared" si="251"/>
        <v>1+8.27457679399411i</v>
      </c>
      <c r="AK430" s="98">
        <f t="shared" si="266"/>
        <v>8.3347838076164766</v>
      </c>
      <c r="AL430" s="98">
        <f t="shared" si="267"/>
        <v>1.4505274795707961</v>
      </c>
      <c r="AM430" s="98" t="str">
        <f t="shared" si="252"/>
        <v>1+8282.8513707881i</v>
      </c>
      <c r="AN430" s="98">
        <f t="shared" si="268"/>
        <v>8282.8514311537856</v>
      </c>
      <c r="AO430" s="98">
        <f t="shared" si="269"/>
        <v>1.5706755954246987</v>
      </c>
      <c r="AP430" s="168" t="str">
        <f t="shared" si="270"/>
        <v>-0.00142947677809666+0.0118403164462412i</v>
      </c>
      <c r="AQ430" s="98">
        <f t="shared" si="271"/>
        <v>-38.469889508048816</v>
      </c>
      <c r="AR430" s="169">
        <f t="shared" si="272"/>
        <v>96.883979954877532</v>
      </c>
      <c r="AS430" s="168" t="str">
        <f t="shared" si="273"/>
        <v>-0.0000487504558772937+0.00018993225839183i</v>
      </c>
      <c r="AT430" s="190">
        <f t="shared" si="274"/>
        <v>-74.150938323785752</v>
      </c>
      <c r="AU430" s="169">
        <f t="shared" si="275"/>
        <v>104.39551155343445</v>
      </c>
      <c r="AV430" s="225"/>
      <c r="AX430">
        <f t="shared" si="276"/>
        <v>0</v>
      </c>
      <c r="AY430">
        <f t="shared" si="277"/>
        <v>0</v>
      </c>
    </row>
    <row r="431" spans="14:51" x14ac:dyDescent="0.55000000000000004">
      <c r="N431" s="170">
        <v>13</v>
      </c>
      <c r="O431" s="199">
        <f t="shared" si="278"/>
        <v>134896.28825916545</v>
      </c>
      <c r="P431" s="189" t="str">
        <f t="shared" si="244"/>
        <v>1078.86904761905</v>
      </c>
      <c r="Q431" s="160" t="str">
        <f t="shared" si="245"/>
        <v>1+26486.8242619703i</v>
      </c>
      <c r="R431" s="160">
        <f t="shared" si="253"/>
        <v>26486.82428084761</v>
      </c>
      <c r="S431" s="160">
        <f t="shared" si="254"/>
        <v>1.5707585721743489</v>
      </c>
      <c r="T431" s="160" t="str">
        <f t="shared" si="246"/>
        <v>1+0.016951567527661i</v>
      </c>
      <c r="U431" s="160">
        <f t="shared" si="255"/>
        <v>1.0001436675006472</v>
      </c>
      <c r="V431" s="160">
        <f t="shared" si="256"/>
        <v>1.6949944098031539E-2</v>
      </c>
      <c r="W431" s="98" t="str">
        <f t="shared" si="247"/>
        <v>1-12.2600516987055i</v>
      </c>
      <c r="X431" s="160">
        <f t="shared" si="257"/>
        <v>12.300766953931433</v>
      </c>
      <c r="Y431" s="160">
        <f t="shared" si="258"/>
        <v>-1.4894107682950555</v>
      </c>
      <c r="Z431" s="98" t="str">
        <f t="shared" si="248"/>
        <v>-31.9506719531008+0.973844797800525i</v>
      </c>
      <c r="AA431" s="160">
        <f t="shared" si="259"/>
        <v>31.96550972446498</v>
      </c>
      <c r="AB431" s="160">
        <f t="shared" si="260"/>
        <v>3.1111224526090462</v>
      </c>
      <c r="AC431" s="171" t="str">
        <f t="shared" si="261"/>
        <v>0.0155466559873299+0.00201424318209568i</v>
      </c>
      <c r="AD431" s="190">
        <f t="shared" si="262"/>
        <v>-36.094964216874388</v>
      </c>
      <c r="AE431" s="169">
        <f t="shared" si="263"/>
        <v>7.3821863726825434</v>
      </c>
      <c r="AF431" s="98" t="str">
        <f t="shared" si="249"/>
        <v>-9.95024875621891E-06</v>
      </c>
      <c r="AG431" s="98" t="str">
        <f t="shared" si="250"/>
        <v>0.848425954759434i</v>
      </c>
      <c r="AH431" s="98">
        <f t="shared" si="264"/>
        <v>0.84842595475943405</v>
      </c>
      <c r="AI431" s="98">
        <f t="shared" si="265"/>
        <v>1.5707963267948966</v>
      </c>
      <c r="AJ431" s="98" t="str">
        <f t="shared" si="251"/>
        <v>1+8.46731644738312i</v>
      </c>
      <c r="AK431" s="98">
        <f t="shared" si="266"/>
        <v>8.5261625494782063</v>
      </c>
      <c r="AL431" s="98">
        <f t="shared" si="267"/>
        <v>1.4532396917300259</v>
      </c>
      <c r="AM431" s="98" t="str">
        <f t="shared" si="252"/>
        <v>1+8475.7837638305i</v>
      </c>
      <c r="AN431" s="98">
        <f t="shared" si="268"/>
        <v>8475.7838228220935</v>
      </c>
      <c r="AO431" s="98">
        <f t="shared" si="269"/>
        <v>1.5706783436061764</v>
      </c>
      <c r="AP431" s="168" t="str">
        <f t="shared" si="270"/>
        <v>-0.00136602474673144+0.0115782916984612i</v>
      </c>
      <c r="AQ431" s="98">
        <f t="shared" si="271"/>
        <v>-38.667074886704611</v>
      </c>
      <c r="AR431" s="169">
        <f t="shared" si="272"/>
        <v>96.728739104209552</v>
      </c>
      <c r="AS431" s="168" t="str">
        <f t="shared" si="273"/>
        <v>-0.0000445586119215536+0.000177252211924256i</v>
      </c>
      <c r="AT431" s="190">
        <f t="shared" si="274"/>
        <v>-74.762039103579013</v>
      </c>
      <c r="AU431" s="169">
        <f t="shared" si="275"/>
        <v>104.11092547689209</v>
      </c>
      <c r="AV431" s="225"/>
      <c r="AX431">
        <f t="shared" si="276"/>
        <v>0</v>
      </c>
      <c r="AY431">
        <f t="shared" si="277"/>
        <v>0</v>
      </c>
    </row>
    <row r="432" spans="14:51" x14ac:dyDescent="0.55000000000000004">
      <c r="N432" s="170">
        <v>14</v>
      </c>
      <c r="O432" s="199">
        <f t="shared" si="278"/>
        <v>138038.42646028858</v>
      </c>
      <c r="P432" s="189" t="str">
        <f t="shared" si="244"/>
        <v>1078.86904761905</v>
      </c>
      <c r="Q432" s="160" t="str">
        <f t="shared" si="245"/>
        <v>1+27103.7816550461i</v>
      </c>
      <c r="R432" s="160">
        <f t="shared" si="253"/>
        <v>27103.781673493711</v>
      </c>
      <c r="S432" s="160">
        <f t="shared" si="254"/>
        <v>1.5707594315744335</v>
      </c>
      <c r="T432" s="160" t="str">
        <f t="shared" si="246"/>
        <v>1+0.0173464202592295i</v>
      </c>
      <c r="U432" s="160">
        <f t="shared" si="255"/>
        <v>1.0001504378321342</v>
      </c>
      <c r="V432" s="160">
        <f t="shared" si="256"/>
        <v>1.7344680737172102E-2</v>
      </c>
      <c r="W432" s="98" t="str">
        <f t="shared" si="247"/>
        <v>1-12.5456249882851i</v>
      </c>
      <c r="X432" s="160">
        <f t="shared" si="257"/>
        <v>12.585416415307185</v>
      </c>
      <c r="Y432" s="160">
        <f t="shared" si="258"/>
        <v>-1.4912554355999217</v>
      </c>
      <c r="Z432" s="98" t="str">
        <f t="shared" si="248"/>
        <v>-33.503589279552+0.996528557158346i</v>
      </c>
      <c r="AA432" s="160">
        <f t="shared" si="259"/>
        <v>33.518406343054913</v>
      </c>
      <c r="AB432" s="160">
        <f t="shared" si="260"/>
        <v>3.1118574861743911</v>
      </c>
      <c r="AC432" s="171" t="str">
        <f t="shared" si="261"/>
        <v>0.0148284424771261+0.00188824342915988i</v>
      </c>
      <c r="AD432" s="190">
        <f t="shared" si="262"/>
        <v>-36.508231986660689</v>
      </c>
      <c r="AE432" s="169">
        <f t="shared" si="263"/>
        <v>7.256947903857391</v>
      </c>
      <c r="AF432" s="98" t="str">
        <f t="shared" si="249"/>
        <v>-9.95024875621891E-06</v>
      </c>
      <c r="AG432" s="98" t="str">
        <f t="shared" si="250"/>
        <v>0.868188333974437i</v>
      </c>
      <c r="AH432" s="98">
        <f t="shared" si="264"/>
        <v>0.86818833397443695</v>
      </c>
      <c r="AI432" s="98">
        <f t="shared" si="265"/>
        <v>1.5707963267948966</v>
      </c>
      <c r="AJ432" s="98" t="str">
        <f t="shared" si="251"/>
        <v>1+8.66454558403072i</v>
      </c>
      <c r="AK432" s="98">
        <f t="shared" si="266"/>
        <v>8.7220611198125777</v>
      </c>
      <c r="AL432" s="98">
        <f t="shared" si="267"/>
        <v>1.4558918464064972</v>
      </c>
      <c r="AM432" s="98" t="str">
        <f t="shared" si="252"/>
        <v>1+8673.21012961475i</v>
      </c>
      <c r="AN432" s="98">
        <f t="shared" si="268"/>
        <v>8673.2101872635321</v>
      </c>
      <c r="AO432" s="98">
        <f t="shared" si="269"/>
        <v>1.570681029231408</v>
      </c>
      <c r="AP432" s="168" t="str">
        <f t="shared" si="270"/>
        <v>-0.0013053516785223+0.0113217400552418i</v>
      </c>
      <c r="AQ432" s="98">
        <f t="shared" si="271"/>
        <v>-38.864385240285927</v>
      </c>
      <c r="AR432" s="169">
        <f t="shared" si="272"/>
        <v>96.576935709622987</v>
      </c>
      <c r="AS432" s="168" t="str">
        <f t="shared" si="273"/>
        <v>-0.0000407345335433545+0.000165418949420415i</v>
      </c>
      <c r="AT432" s="190">
        <f t="shared" si="274"/>
        <v>-75.372617226946616</v>
      </c>
      <c r="AU432" s="169">
        <f t="shared" si="275"/>
        <v>103.8338836134804</v>
      </c>
      <c r="AV432" s="225"/>
      <c r="AX432">
        <f t="shared" si="276"/>
        <v>0</v>
      </c>
      <c r="AY432">
        <f t="shared" si="277"/>
        <v>0</v>
      </c>
    </row>
    <row r="433" spans="14:51" x14ac:dyDescent="0.55000000000000004">
      <c r="N433" s="170">
        <v>15</v>
      </c>
      <c r="O433" s="199">
        <f t="shared" si="278"/>
        <v>141253.75446227577</v>
      </c>
      <c r="P433" s="189" t="str">
        <f t="shared" si="244"/>
        <v>1078.86904761905</v>
      </c>
      <c r="Q433" s="160" t="str">
        <f t="shared" si="245"/>
        <v>1+27735.1098319164i</v>
      </c>
      <c r="R433" s="160">
        <f t="shared" si="253"/>
        <v>27735.109849944089</v>
      </c>
      <c r="S433" s="160">
        <f t="shared" si="254"/>
        <v>1.570760271412184</v>
      </c>
      <c r="T433" s="160" t="str">
        <f t="shared" si="246"/>
        <v>1+0.0177504702924265i</v>
      </c>
      <c r="U433" s="160">
        <f t="shared" si="255"/>
        <v>1.0001575271903933</v>
      </c>
      <c r="V433" s="160">
        <f t="shared" si="256"/>
        <v>1.7748606376815333E-2</v>
      </c>
      <c r="W433" s="98" t="str">
        <f t="shared" si="247"/>
        <v>1-12.8378501342945i</v>
      </c>
      <c r="X433" s="160">
        <f t="shared" si="257"/>
        <v>12.876738564970761</v>
      </c>
      <c r="Y433" s="160">
        <f t="shared" si="258"/>
        <v>-1.4930586374804617</v>
      </c>
      <c r="Z433" s="98" t="str">
        <f t="shared" si="248"/>
        <v>-35.129693344842+1.01974068914778i</v>
      </c>
      <c r="AA433" s="160">
        <f t="shared" si="259"/>
        <v>35.144490685963007</v>
      </c>
      <c r="AB433" s="160">
        <f t="shared" si="260"/>
        <v>3.1125729178767676</v>
      </c>
      <c r="AC433" s="171" t="str">
        <f t="shared" si="261"/>
        <v>0.0141442205534634+0.00177071525400935i</v>
      </c>
      <c r="AD433" s="190">
        <f t="shared" si="262"/>
        <v>-36.920882491065925</v>
      </c>
      <c r="AE433" s="169">
        <f t="shared" si="263"/>
        <v>7.1357359446464272</v>
      </c>
      <c r="AF433" s="98" t="str">
        <f t="shared" si="249"/>
        <v>-9.95024875621891E-06</v>
      </c>
      <c r="AG433" s="98" t="str">
        <f t="shared" si="250"/>
        <v>0.888411038135946i</v>
      </c>
      <c r="AH433" s="98">
        <f t="shared" si="264"/>
        <v>0.88841103813594602</v>
      </c>
      <c r="AI433" s="98">
        <f t="shared" si="265"/>
        <v>1.5707963267948966</v>
      </c>
      <c r="AJ433" s="98" t="str">
        <f t="shared" si="251"/>
        <v>1+8.8663687774358i</v>
      </c>
      <c r="AK433" s="98">
        <f t="shared" si="266"/>
        <v>8.9225834430106836</v>
      </c>
      <c r="AL433" s="98">
        <f t="shared" si="267"/>
        <v>1.4584852004867945</v>
      </c>
      <c r="AM433" s="98" t="str">
        <f t="shared" si="252"/>
        <v>1+8875.23514621324i</v>
      </c>
      <c r="AN433" s="98">
        <f t="shared" si="268"/>
        <v>8875.2352025497748</v>
      </c>
      <c r="AO433" s="98">
        <f t="shared" si="269"/>
        <v>1.5706836537243476</v>
      </c>
      <c r="AP433" s="168" t="str">
        <f t="shared" si="270"/>
        <v>-0.00124733913094855+0.0110705687763136i</v>
      </c>
      <c r="AQ433" s="98">
        <f t="shared" si="271"/>
        <v>-39.061815091992166</v>
      </c>
      <c r="AR433" s="169">
        <f t="shared" si="272"/>
        <v>96.42849783840775</v>
      </c>
      <c r="AS433" s="168" t="str">
        <f t="shared" si="273"/>
        <v>-0.0000372454647758798+0.000154375883998372i</v>
      </c>
      <c r="AT433" s="190">
        <f t="shared" si="274"/>
        <v>-75.982697583058069</v>
      </c>
      <c r="AU433" s="169">
        <f t="shared" si="275"/>
        <v>103.56423378305415</v>
      </c>
      <c r="AV433" s="225"/>
      <c r="AX433">
        <f t="shared" si="276"/>
        <v>0</v>
      </c>
      <c r="AY433">
        <f t="shared" si="277"/>
        <v>0</v>
      </c>
    </row>
    <row r="434" spans="14:51" x14ac:dyDescent="0.55000000000000004">
      <c r="N434" s="170">
        <v>16</v>
      </c>
      <c r="O434" s="199">
        <f t="shared" si="278"/>
        <v>144543.97707459307</v>
      </c>
      <c r="P434" s="189" t="str">
        <f t="shared" si="244"/>
        <v>1078.86904761905</v>
      </c>
      <c r="Q434" s="160" t="str">
        <f t="shared" si="245"/>
        <v>1+28381.1435311371i</v>
      </c>
      <c r="R434" s="160">
        <f t="shared" si="253"/>
        <v>28381.143548754426</v>
      </c>
      <c r="S434" s="160">
        <f t="shared" si="254"/>
        <v>1.5707610921328934</v>
      </c>
      <c r="T434" s="160" t="str">
        <f t="shared" si="246"/>
        <v>1+0.0181639318599277i</v>
      </c>
      <c r="U434" s="160">
        <f t="shared" si="255"/>
        <v>1.0001649506059549</v>
      </c>
      <c r="V434" s="160">
        <f t="shared" si="256"/>
        <v>1.8161934656156481E-2</v>
      </c>
      <c r="W434" s="98" t="str">
        <f t="shared" si="247"/>
        <v>1-13.1368820783741i</v>
      </c>
      <c r="X434" s="160">
        <f t="shared" si="257"/>
        <v>13.174887883435918</v>
      </c>
      <c r="Y434" s="160">
        <f t="shared" si="258"/>
        <v>-1.494821283086575</v>
      </c>
      <c r="Z434" s="98" t="str">
        <f t="shared" si="248"/>
        <v>-36.8324333337086+1.04349350114847i</v>
      </c>
      <c r="AA434" s="160">
        <f t="shared" si="259"/>
        <v>36.847211888676568</v>
      </c>
      <c r="AB434" s="160">
        <f t="shared" si="260"/>
        <v>3.1132693971753551</v>
      </c>
      <c r="AC434" s="171" t="str">
        <f t="shared" si="261"/>
        <v>0.0134923085607983+0.00166106315565192i</v>
      </c>
      <c r="AD434" s="190">
        <f t="shared" si="262"/>
        <v>-37.332944584103117</v>
      </c>
      <c r="AE434" s="169">
        <f t="shared" si="263"/>
        <v>7.0184734084384299</v>
      </c>
      <c r="AF434" s="98" t="str">
        <f t="shared" si="249"/>
        <v>-9.95024875621891E-06</v>
      </c>
      <c r="AG434" s="98" t="str">
        <f t="shared" si="250"/>
        <v>0.909104789589383i</v>
      </c>
      <c r="AH434" s="98">
        <f t="shared" si="264"/>
        <v>0.90910478958938301</v>
      </c>
      <c r="AI434" s="98">
        <f t="shared" si="265"/>
        <v>1.5707963267948966</v>
      </c>
      <c r="AJ434" s="98" t="str">
        <f t="shared" si="251"/>
        <v>1+9.07289303692693i</v>
      </c>
      <c r="AK434" s="98">
        <f t="shared" si="266"/>
        <v>9.1278358913554722</v>
      </c>
      <c r="AL434" s="98">
        <f t="shared" si="267"/>
        <v>1.461020989393593</v>
      </c>
      <c r="AM434" s="98" t="str">
        <f t="shared" si="252"/>
        <v>1+9081.96592996386i</v>
      </c>
      <c r="AN434" s="98">
        <f t="shared" si="268"/>
        <v>9081.9659850180196</v>
      </c>
      <c r="AO434" s="98">
        <f t="shared" si="269"/>
        <v>1.5706862184765358</v>
      </c>
      <c r="AP434" s="168" t="str">
        <f t="shared" si="270"/>
        <v>-0.00119187342534163+0.0108246852081962i</v>
      </c>
      <c r="AQ434" s="98">
        <f t="shared" si="271"/>
        <v>-39.259359198742807</v>
      </c>
      <c r="AR434" s="169">
        <f t="shared" si="272"/>
        <v>96.283354785787992</v>
      </c>
      <c r="AS434" s="168" t="str">
        <f t="shared" si="273"/>
        <v>-0.0000340616097909899+0.000144070215869457i</v>
      </c>
      <c r="AT434" s="190">
        <f t="shared" si="274"/>
        <v>-76.592303782845917</v>
      </c>
      <c r="AU434" s="169">
        <f t="shared" si="275"/>
        <v>103.30182819422639</v>
      </c>
      <c r="AV434" s="225"/>
      <c r="AX434">
        <f t="shared" si="276"/>
        <v>0</v>
      </c>
      <c r="AY434">
        <f t="shared" si="277"/>
        <v>0</v>
      </c>
    </row>
    <row r="435" spans="14:51" x14ac:dyDescent="0.55000000000000004">
      <c r="N435" s="170">
        <v>17</v>
      </c>
      <c r="O435" s="199">
        <f t="shared" si="278"/>
        <v>147910.83881682079</v>
      </c>
      <c r="P435" s="189" t="str">
        <f t="shared" si="244"/>
        <v>1078.86904761905</v>
      </c>
      <c r="Q435" s="160" t="str">
        <f t="shared" si="245"/>
        <v>1+29042.2252883268i</v>
      </c>
      <c r="R435" s="160">
        <f t="shared" si="253"/>
        <v>29042.22530554311</v>
      </c>
      <c r="S435" s="160">
        <f t="shared" si="254"/>
        <v>1.5707618941717185</v>
      </c>
      <c r="T435" s="160" t="str">
        <f t="shared" si="246"/>
        <v>1+0.0185870241845291i</v>
      </c>
      <c r="U435" s="160">
        <f t="shared" si="255"/>
        <v>1.0001727238172595</v>
      </c>
      <c r="V435" s="160">
        <f t="shared" si="256"/>
        <v>1.8584884162091444E-2</v>
      </c>
      <c r="W435" s="98" t="str">
        <f t="shared" si="247"/>
        <v>1-13.4428793712188i</v>
      </c>
      <c r="X435" s="160">
        <f t="shared" si="257"/>
        <v>13.480022469904862</v>
      </c>
      <c r="Y435" s="160">
        <f t="shared" si="258"/>
        <v>-1.4965442631606205</v>
      </c>
      <c r="Z435" s="98" t="str">
        <f t="shared" si="248"/>
        <v>-38.6154209859586+1.06779958721574i</v>
      </c>
      <c r="AA435" s="160">
        <f t="shared" si="259"/>
        <v>38.630181644425001</v>
      </c>
      <c r="AB435" s="160">
        <f t="shared" si="260"/>
        <v>3.1139475438536142</v>
      </c>
      <c r="AC435" s="171" t="str">
        <f t="shared" si="261"/>
        <v>0.0128711145665532+0.00155873534315541i</v>
      </c>
      <c r="AD435" s="190">
        <f t="shared" si="262"/>
        <v>-37.74444568780207</v>
      </c>
      <c r="AE435" s="169">
        <f t="shared" si="263"/>
        <v>6.9050862476529149</v>
      </c>
      <c r="AF435" s="98" t="str">
        <f t="shared" si="249"/>
        <v>-9.95024875621891E-06</v>
      </c>
      <c r="AG435" s="98" t="str">
        <f t="shared" si="250"/>
        <v>0.930280560435683i</v>
      </c>
      <c r="AH435" s="98">
        <f t="shared" si="264"/>
        <v>0.93028056043568297</v>
      </c>
      <c r="AI435" s="98">
        <f t="shared" si="265"/>
        <v>1.5707963267948966</v>
      </c>
      <c r="AJ435" s="98" t="str">
        <f t="shared" si="251"/>
        <v>1+9.28422786440016i</v>
      </c>
      <c r="AK435" s="98">
        <f t="shared" si="266"/>
        <v>9.3379273416590873</v>
      </c>
      <c r="AL435" s="98">
        <f t="shared" si="267"/>
        <v>1.4635004271194394</v>
      </c>
      <c r="AM435" s="98" t="str">
        <f t="shared" si="252"/>
        <v>1+9293.51209226456i</v>
      </c>
      <c r="AN435" s="98">
        <f t="shared" si="268"/>
        <v>9293.5121460655319</v>
      </c>
      <c r="AO435" s="98">
        <f t="shared" si="269"/>
        <v>1.5706887248478381</v>
      </c>
      <c r="AP435" s="168" t="str">
        <f t="shared" si="270"/>
        <v>-0.00113884548027064+0.0105839969066496i</v>
      </c>
      <c r="AQ435" s="98">
        <f t="shared" si="271"/>
        <v>-39.457012541751205</v>
      </c>
      <c r="AR435" s="169">
        <f t="shared" si="272"/>
        <v>96.141437073028925</v>
      </c>
      <c r="AS435" s="168" t="str">
        <f t="shared" si="273"/>
        <v>-0.000031155860700407+0.000134452678057041i</v>
      </c>
      <c r="AT435" s="190">
        <f t="shared" si="274"/>
        <v>-77.201458229553282</v>
      </c>
      <c r="AU435" s="169">
        <f t="shared" si="275"/>
        <v>103.04652332068186</v>
      </c>
      <c r="AV435" s="225"/>
      <c r="AX435">
        <f t="shared" si="276"/>
        <v>0</v>
      </c>
      <c r="AY435">
        <f t="shared" si="277"/>
        <v>0</v>
      </c>
    </row>
    <row r="436" spans="14:51" x14ac:dyDescent="0.55000000000000004">
      <c r="N436" s="170">
        <v>18</v>
      </c>
      <c r="O436" s="199">
        <f t="shared" si="278"/>
        <v>151356.12484362084</v>
      </c>
      <c r="P436" s="189" t="str">
        <f t="shared" si="244"/>
        <v>1078.86904761905</v>
      </c>
      <c r="Q436" s="160" t="str">
        <f t="shared" si="245"/>
        <v>1+29718.7056177837i</v>
      </c>
      <c r="R436" s="160">
        <f t="shared" si="253"/>
        <v>29718.705634608123</v>
      </c>
      <c r="S436" s="160">
        <f t="shared" si="254"/>
        <v>1.5707626779539112</v>
      </c>
      <c r="T436" s="160" t="str">
        <f t="shared" si="246"/>
        <v>1+0.0190199715953816i</v>
      </c>
      <c r="U436" s="160">
        <f t="shared" si="255"/>
        <v>1.0001808633039773</v>
      </c>
      <c r="V436" s="160">
        <f t="shared" si="256"/>
        <v>1.9017678542420643E-2</v>
      </c>
      <c r="W436" s="98" t="str">
        <f t="shared" si="247"/>
        <v>1-13.7560042566438i</v>
      </c>
      <c r="X436" s="160">
        <f t="shared" si="257"/>
        <v>13.792304126171318</v>
      </c>
      <c r="Y436" s="160">
        <f t="shared" si="258"/>
        <v>-1.4982284503069991</v>
      </c>
      <c r="Z436" s="98" t="str">
        <f t="shared" si="248"/>
        <v>-40.482438257452+1.09267183475816i</v>
      </c>
      <c r="AA436" s="160">
        <f t="shared" si="259"/>
        <v>40.49718186500003</v>
      </c>
      <c r="AB436" s="160">
        <f t="shared" si="260"/>
        <v>3.1146079498414165</v>
      </c>
      <c r="AC436" s="171" t="str">
        <f t="shared" si="261"/>
        <v>0.012279130996914+0.00146322034626152i</v>
      </c>
      <c r="AD436" s="190">
        <f t="shared" si="262"/>
        <v>-38.155411867368514</v>
      </c>
      <c r="AE436" s="169">
        <f t="shared" si="263"/>
        <v>6.7955033403671496</v>
      </c>
      <c r="AF436" s="98" t="str">
        <f t="shared" si="249"/>
        <v>-9.95024875621891E-06</v>
      </c>
      <c r="AG436" s="98" t="str">
        <f t="shared" si="250"/>
        <v>0.951949578348847i</v>
      </c>
      <c r="AH436" s="98">
        <f t="shared" si="264"/>
        <v>0.95194957834884697</v>
      </c>
      <c r="AI436" s="98">
        <f t="shared" si="265"/>
        <v>1.5707963267948966</v>
      </c>
      <c r="AJ436" s="98" t="str">
        <f t="shared" si="251"/>
        <v>1+9.5004853123784i</v>
      </c>
      <c r="AK436" s="98">
        <f t="shared" si="266"/>
        <v>9.5529692332131848</v>
      </c>
      <c r="AL436" s="98">
        <f t="shared" si="267"/>
        <v>1.465924706287774</v>
      </c>
      <c r="AM436" s="98" t="str">
        <f t="shared" si="252"/>
        <v>1+9509.98579769078i</v>
      </c>
      <c r="AN436" s="98">
        <f t="shared" si="268"/>
        <v>9509.9858502670941</v>
      </c>
      <c r="AO436" s="98">
        <f t="shared" si="269"/>
        <v>1.5706911741671654</v>
      </c>
      <c r="AP436" s="168" t="str">
        <f t="shared" si="270"/>
        <v>-0.00108815064848348+0.0103484117491484i</v>
      </c>
      <c r="AQ436" s="98">
        <f t="shared" si="271"/>
        <v>-39.654770317430923</v>
      </c>
      <c r="AR436" s="169">
        <f t="shared" si="272"/>
        <v>96.002676443981969</v>
      </c>
      <c r="AS436" s="168" t="str">
        <f t="shared" si="273"/>
        <v>-0.0000285035509799513+0.000125477299309138i</v>
      </c>
      <c r="AT436" s="190">
        <f t="shared" si="274"/>
        <v>-77.810182184799459</v>
      </c>
      <c r="AU436" s="169">
        <f t="shared" si="275"/>
        <v>102.79817978434916</v>
      </c>
      <c r="AV436" s="225"/>
      <c r="AX436">
        <f t="shared" si="276"/>
        <v>0</v>
      </c>
      <c r="AY436">
        <f t="shared" si="277"/>
        <v>0</v>
      </c>
    </row>
    <row r="437" spans="14:51" x14ac:dyDescent="0.55000000000000004">
      <c r="N437" s="170">
        <v>19</v>
      </c>
      <c r="O437" s="199">
        <f t="shared" si="278"/>
        <v>154881.66189124843</v>
      </c>
      <c r="P437" s="189" t="str">
        <f t="shared" si="244"/>
        <v>1078.86904761905</v>
      </c>
      <c r="Q437" s="160" t="str">
        <f t="shared" si="245"/>
        <v>1+30410.9431983328i</v>
      </c>
      <c r="R437" s="160">
        <f t="shared" si="253"/>
        <v>30410.943214774245</v>
      </c>
      <c r="S437" s="160">
        <f t="shared" si="254"/>
        <v>1.5707634438950431</v>
      </c>
      <c r="T437" s="160" t="str">
        <f t="shared" si="246"/>
        <v>1+0.019463003646933i</v>
      </c>
      <c r="U437" s="160">
        <f t="shared" si="255"/>
        <v>1.0001893863218909</v>
      </c>
      <c r="V437" s="160">
        <f t="shared" si="256"/>
        <v>1.9460546621544002E-2</v>
      </c>
      <c r="W437" s="98" t="str">
        <f t="shared" si="247"/>
        <v>1-14.0764227576078i</v>
      </c>
      <c r="X437" s="160">
        <f t="shared" si="257"/>
        <v>14.11189844248104</v>
      </c>
      <c r="Y437" s="160">
        <f t="shared" si="258"/>
        <v>-1.4998746992652234</v>
      </c>
      <c r="Z437" s="98" t="str">
        <f t="shared" si="248"/>
        <v>-42.4374453421369+1.11812343137058i</v>
      </c>
      <c r="AA437" s="160">
        <f t="shared" si="259"/>
        <v>42.452172702638393</v>
      </c>
      <c r="AB437" s="160">
        <f t="shared" si="260"/>
        <v>3.1152511809012382</v>
      </c>
      <c r="AC437" s="171" t="str">
        <f t="shared" si="261"/>
        <v>0.0117149296430127+0.00137404390842139i</v>
      </c>
      <c r="AD437" s="190">
        <f t="shared" si="262"/>
        <v>-38.565867901862021</v>
      </c>
      <c r="AE437" s="169">
        <f t="shared" si="263"/>
        <v>6.6896563846742492</v>
      </c>
      <c r="AF437" s="98" t="str">
        <f t="shared" si="249"/>
        <v>-9.95024875621891E-06</v>
      </c>
      <c r="AG437" s="98" t="str">
        <f t="shared" si="250"/>
        <v>0.974123332528995i</v>
      </c>
      <c r="AH437" s="98">
        <f t="shared" si="264"/>
        <v>0.97412333252899497</v>
      </c>
      <c r="AI437" s="98">
        <f t="shared" si="265"/>
        <v>1.5707963267948966</v>
      </c>
      <c r="AJ437" s="98" t="str">
        <f t="shared" si="251"/>
        <v>1+9.72178004342307i</v>
      </c>
      <c r="AK437" s="98">
        <f t="shared" si="266"/>
        <v>9.7730756270837826</v>
      </c>
      <c r="AL437" s="98">
        <f t="shared" si="267"/>
        <v>1.4682949982389493</v>
      </c>
      <c r="AM437" s="98" t="str">
        <f t="shared" si="252"/>
        <v>1+9731.50182346649i</v>
      </c>
      <c r="AN437" s="98">
        <f t="shared" si="268"/>
        <v>9731.5018748460207</v>
      </c>
      <c r="AO437" s="98">
        <f t="shared" si="269"/>
        <v>1.5706935677331793</v>
      </c>
      <c r="AP437" s="168" t="str">
        <f t="shared" si="270"/>
        <v>-0.00103968855755817+0.010117838037973i</v>
      </c>
      <c r="AQ437" s="98">
        <f t="shared" si="271"/>
        <v>-39.852627928625658</v>
      </c>
      <c r="AR437" s="169">
        <f t="shared" si="272"/>
        <v>95.867005860196457</v>
      </c>
      <c r="AS437" s="168" t="str">
        <f t="shared" si="273"/>
        <v>-0.0000260822320249104+0.000117101183025083i</v>
      </c>
      <c r="AT437" s="190">
        <f t="shared" si="274"/>
        <v>-78.418495830487686</v>
      </c>
      <c r="AU437" s="169">
        <f t="shared" si="275"/>
        <v>102.55666224487074</v>
      </c>
      <c r="AV437" s="225"/>
      <c r="AX437">
        <f t="shared" si="276"/>
        <v>0</v>
      </c>
      <c r="AY437">
        <f t="shared" si="277"/>
        <v>0</v>
      </c>
    </row>
    <row r="438" spans="14:51" x14ac:dyDescent="0.55000000000000004">
      <c r="N438" s="170">
        <v>20</v>
      </c>
      <c r="O438" s="199">
        <f t="shared" si="278"/>
        <v>158489.31924611164</v>
      </c>
      <c r="P438" s="189" t="str">
        <f t="shared" si="244"/>
        <v>1078.86904761905</v>
      </c>
      <c r="Q438" s="160" t="str">
        <f t="shared" si="245"/>
        <v>1+31119.305063502i</v>
      </c>
      <c r="R438" s="160">
        <f t="shared" si="253"/>
        <v>31119.3050795692</v>
      </c>
      <c r="S438" s="160">
        <f t="shared" si="254"/>
        <v>1.5707641924012263</v>
      </c>
      <c r="T438" s="160" t="str">
        <f t="shared" si="246"/>
        <v>1+0.0199163552406413i</v>
      </c>
      <c r="U438" s="160">
        <f t="shared" si="255"/>
        <v>1.0001983109394215</v>
      </c>
      <c r="V438" s="160">
        <f t="shared" si="256"/>
        <v>1.9913722518695331E-2</v>
      </c>
      <c r="W438" s="98" t="str">
        <f t="shared" si="247"/>
        <v>1-14.4043047642414i</v>
      </c>
      <c r="X438" s="160">
        <f t="shared" si="257"/>
        <v>14.438974885397768</v>
      </c>
      <c r="Y438" s="160">
        <f t="shared" si="258"/>
        <v>-1.5014838471857974</v>
      </c>
      <c r="Z438" s="98" t="str">
        <f t="shared" si="248"/>
        <v>-44.484589072152+1.14416787182642i</v>
      </c>
      <c r="AA438" s="160">
        <f t="shared" si="259"/>
        <v>44.499300949982853</v>
      </c>
      <c r="AB438" s="160">
        <f t="shared" si="260"/>
        <v>3.1158777781899745</v>
      </c>
      <c r="AC438" s="171" t="str">
        <f t="shared" si="261"/>
        <v>0.0111771570078004+0.00129076613655606i</v>
      </c>
      <c r="AD438" s="190">
        <f t="shared" si="262"/>
        <v>-38.975837350697454</v>
      </c>
      <c r="AE438" s="169">
        <f t="shared" si="263"/>
        <v>6.5874798001527708</v>
      </c>
      <c r="AF438" s="98" t="str">
        <f t="shared" si="249"/>
        <v>-9.95024875621891E-06</v>
      </c>
      <c r="AG438" s="98" t="str">
        <f t="shared" si="250"/>
        <v>0.996813579794096i</v>
      </c>
      <c r="AH438" s="98">
        <f t="shared" si="264"/>
        <v>0.99681357979409602</v>
      </c>
      <c r="AI438" s="98">
        <f t="shared" si="265"/>
        <v>1.5707963267948966</v>
      </c>
      <c r="AJ438" s="98" t="str">
        <f t="shared" si="251"/>
        <v>1+9.9482293909297i</v>
      </c>
      <c r="AK438" s="98">
        <f t="shared" si="266"/>
        <v>9.9983632667830946</v>
      </c>
      <c r="AL438" s="98">
        <f t="shared" si="267"/>
        <v>1.4706124531391367</v>
      </c>
      <c r="AM438" s="98" t="str">
        <f t="shared" si="252"/>
        <v>1+9958.17762032063i</v>
      </c>
      <c r="AN438" s="98">
        <f t="shared" si="268"/>
        <v>9958.1776705306183</v>
      </c>
      <c r="AO438" s="98">
        <f t="shared" si="269"/>
        <v>1.5706959068149799</v>
      </c>
      <c r="AP438" s="168" t="str">
        <f t="shared" si="270"/>
        <v>-0.000993362954387765+0.00989218459448157i</v>
      </c>
      <c r="AQ438" s="98">
        <f t="shared" si="271"/>
        <v>-40.050580976156965</v>
      </c>
      <c r="AR438" s="169">
        <f t="shared" si="272"/>
        <v>95.734359494718902</v>
      </c>
      <c r="AS438" s="168" t="str">
        <f t="shared" si="273"/>
        <v>-0.0000238714705980429+0.000109284301099832i</v>
      </c>
      <c r="AT438" s="190">
        <f t="shared" si="274"/>
        <v>-79.026418326854412</v>
      </c>
      <c r="AU438" s="169">
        <f t="shared" si="275"/>
        <v>102.32183929487167</v>
      </c>
      <c r="AV438" s="225"/>
      <c r="AX438">
        <f t="shared" si="276"/>
        <v>0</v>
      </c>
      <c r="AY438">
        <f t="shared" si="277"/>
        <v>0</v>
      </c>
    </row>
    <row r="439" spans="14:51" x14ac:dyDescent="0.55000000000000004">
      <c r="N439" s="170">
        <v>21</v>
      </c>
      <c r="O439" s="199">
        <f t="shared" si="278"/>
        <v>162181.00973589328</v>
      </c>
      <c r="P439" s="189" t="str">
        <f t="shared" si="244"/>
        <v>1078.86904761905</v>
      </c>
      <c r="Q439" s="160" t="str">
        <f t="shared" si="245"/>
        <v>1+31844.1667961284i</v>
      </c>
      <c r="R439" s="160">
        <f t="shared" si="253"/>
        <v>31844.166811829862</v>
      </c>
      <c r="S439" s="160">
        <f t="shared" si="254"/>
        <v>1.5707649238693286</v>
      </c>
      <c r="T439" s="160" t="str">
        <f t="shared" si="246"/>
        <v>1+0.0203802667495222i</v>
      </c>
      <c r="U439" s="160">
        <f t="shared" si="255"/>
        <v>1.0002076560758679</v>
      </c>
      <c r="V439" s="160">
        <f t="shared" si="256"/>
        <v>2.0377445768762669E-2</v>
      </c>
      <c r="W439" s="98" t="str">
        <f t="shared" si="247"/>
        <v>1-14.7398241239244i</v>
      </c>
      <c r="X439" s="160">
        <f t="shared" si="257"/>
        <v>14.773706887718589</v>
      </c>
      <c r="Y439" s="160">
        <f t="shared" si="258"/>
        <v>-1.5030567139082616</v>
      </c>
      <c r="Z439" s="98" t="str">
        <f t="shared" si="248"/>
        <v>-46.628211713814+1.17081896523276i</v>
      </c>
      <c r="AA439" s="160">
        <f t="shared" si="259"/>
        <v>46.642908835937853</v>
      </c>
      <c r="AB439" s="160">
        <f t="shared" si="260"/>
        <v>3.1164882597068395</v>
      </c>
      <c r="AC439" s="171" t="str">
        <f t="shared" si="261"/>
        <v>0.0106645299666289+0.00121297888442148i</v>
      </c>
      <c r="AD439" s="190">
        <f t="shared" si="262"/>
        <v>-39.385342616252323</v>
      </c>
      <c r="AE439" s="169">
        <f t="shared" si="263"/>
        <v>6.4889106358876578</v>
      </c>
      <c r="AF439" s="98" t="str">
        <f t="shared" si="249"/>
        <v>-9.95024875621891E-06</v>
      </c>
      <c r="AG439" s="98" t="str">
        <f t="shared" si="250"/>
        <v>1.02003235081359i</v>
      </c>
      <c r="AH439" s="98">
        <f t="shared" si="264"/>
        <v>1.02003235081359</v>
      </c>
      <c r="AI439" s="98">
        <f t="shared" si="265"/>
        <v>1.5707963267948966</v>
      </c>
      <c r="AJ439" s="98" t="str">
        <f t="shared" si="251"/>
        <v>1+10.1799534213398i</v>
      </c>
      <c r="AK439" s="98">
        <f t="shared" si="266"/>
        <v>10.228951640351413</v>
      </c>
      <c r="AL439" s="98">
        <f t="shared" si="267"/>
        <v>1.472878200110139</v>
      </c>
      <c r="AM439" s="98" t="str">
        <f t="shared" si="252"/>
        <v>1+10190.1333747611i</v>
      </c>
      <c r="AN439" s="98">
        <f t="shared" si="268"/>
        <v>10190.133423828172</v>
      </c>
      <c r="AO439" s="98">
        <f t="shared" si="269"/>
        <v>1.5706981926527797</v>
      </c>
      <c r="AP439" s="168" t="str">
        <f t="shared" si="270"/>
        <v>-0.000949081553595247+0.00967136084510276i</v>
      </c>
      <c r="AQ439" s="98">
        <f t="shared" si="271"/>
        <v>-40.248625250681926</v>
      </c>
      <c r="AR439" s="169">
        <f t="shared" si="272"/>
        <v>95.604672724694481</v>
      </c>
      <c r="AS439" s="168" t="str">
        <f t="shared" si="273"/>
        <v>-0.0000218526651578216+0.000101989301666575i</v>
      </c>
      <c r="AT439" s="190">
        <f t="shared" si="274"/>
        <v>-79.633967866934228</v>
      </c>
      <c r="AU439" s="169">
        <f t="shared" si="275"/>
        <v>102.09358336058214</v>
      </c>
      <c r="AV439" s="225"/>
      <c r="AX439">
        <f t="shared" si="276"/>
        <v>0</v>
      </c>
      <c r="AY439">
        <f t="shared" si="277"/>
        <v>0</v>
      </c>
    </row>
    <row r="440" spans="14:51" x14ac:dyDescent="0.55000000000000004">
      <c r="N440" s="170">
        <v>22</v>
      </c>
      <c r="O440" s="199">
        <f t="shared" si="278"/>
        <v>165958.69074375604</v>
      </c>
      <c r="P440" s="189" t="str">
        <f t="shared" si="244"/>
        <v>1078.86904761905</v>
      </c>
      <c r="Q440" s="160" t="str">
        <f t="shared" si="245"/>
        <v>1+32585.9127274978i</v>
      </c>
      <c r="R440" s="160">
        <f t="shared" si="253"/>
        <v>32585.912742841854</v>
      </c>
      <c r="S440" s="160">
        <f t="shared" si="254"/>
        <v>1.5707656386871842</v>
      </c>
      <c r="T440" s="160" t="str">
        <f t="shared" si="246"/>
        <v>1+0.0208549841455986i</v>
      </c>
      <c r="U440" s="160">
        <f t="shared" si="255"/>
        <v>1.0002174415414447</v>
      </c>
      <c r="V440" s="160">
        <f t="shared" si="256"/>
        <v>2.0851961445744541E-2</v>
      </c>
      <c r="W440" s="98" t="str">
        <f t="shared" si="247"/>
        <v>1-15.0831587334627i</v>
      </c>
      <c r="X440" s="160">
        <f t="shared" si="257"/>
        <v>15.116271940489563</v>
      </c>
      <c r="Y440" s="160">
        <f t="shared" si="258"/>
        <v>-1.5045941022408322</v>
      </c>
      <c r="Z440" s="98" t="str">
        <f t="shared" si="248"/>
        <v>-48.8728601781472+1.19809084235209i</v>
      </c>
      <c r="AA440" s="160">
        <f t="shared" si="259"/>
        <v>48.887543236076546</v>
      </c>
      <c r="AB440" s="160">
        <f t="shared" si="260"/>
        <v>3.117083121636826</v>
      </c>
      <c r="AC440" s="171" t="str">
        <f t="shared" si="261"/>
        <v>0.0101758317170016+0.00114030334875008i</v>
      </c>
      <c r="AD440" s="190">
        <f t="shared" si="262"/>
        <v>-39.794405002837735</v>
      </c>
      <c r="AE440" s="169">
        <f t="shared" si="263"/>
        <v>6.3938884845350978</v>
      </c>
      <c r="AF440" s="98" t="str">
        <f t="shared" si="249"/>
        <v>-9.95024875621891E-06</v>
      </c>
      <c r="AG440" s="98" t="str">
        <f t="shared" si="250"/>
        <v>1.04379195648721i</v>
      </c>
      <c r="AH440" s="98">
        <f t="shared" si="264"/>
        <v>1.04379195648721</v>
      </c>
      <c r="AI440" s="98">
        <f t="shared" si="265"/>
        <v>1.5707963267948966</v>
      </c>
      <c r="AJ440" s="98" t="str">
        <f t="shared" si="251"/>
        <v>1+10.4170749978015i</v>
      </c>
      <c r="AK440" s="98">
        <f t="shared" si="266"/>
        <v>10.464963043882243</v>
      </c>
      <c r="AL440" s="98">
        <f t="shared" si="267"/>
        <v>1.4750933473782444</v>
      </c>
      <c r="AM440" s="98" t="str">
        <f t="shared" si="252"/>
        <v>1+10427.4920727993i</v>
      </c>
      <c r="AN440" s="98">
        <f t="shared" si="268"/>
        <v>10427.492120749466</v>
      </c>
      <c r="AO440" s="98">
        <f t="shared" si="269"/>
        <v>1.5707004264585596</v>
      </c>
      <c r="AP440" s="168" t="str">
        <f t="shared" si="270"/>
        <v>-0.000906755889949552+0.00945527689956629i</v>
      </c>
      <c r="AQ440" s="98">
        <f t="shared" si="271"/>
        <v>-40.446756724850353</v>
      </c>
      <c r="AR440" s="169">
        <f t="shared" si="272"/>
        <v>95.47788212287557</v>
      </c>
      <c r="AS440" s="168" t="str">
        <f t="shared" si="273"/>
        <v>-0.0000200088792564614+0.0000951813297898309i</v>
      </c>
      <c r="AT440" s="190">
        <f t="shared" si="274"/>
        <v>-80.24116172768808</v>
      </c>
      <c r="AU440" s="169">
        <f t="shared" si="275"/>
        <v>101.87177060741068</v>
      </c>
      <c r="AV440" s="225"/>
      <c r="AX440">
        <f t="shared" si="276"/>
        <v>0</v>
      </c>
      <c r="AY440">
        <f t="shared" si="277"/>
        <v>0</v>
      </c>
    </row>
    <row r="441" spans="14:51" x14ac:dyDescent="0.55000000000000004">
      <c r="N441" s="170">
        <v>23</v>
      </c>
      <c r="O441" s="199">
        <f t="shared" si="278"/>
        <v>169824.36524617471</v>
      </c>
      <c r="P441" s="189" t="str">
        <f t="shared" si="244"/>
        <v>1078.86904761905</v>
      </c>
      <c r="Q441" s="160" t="str">
        <f t="shared" si="245"/>
        <v>1+33344.9361411206i</v>
      </c>
      <c r="R441" s="160">
        <f t="shared" si="253"/>
        <v>33344.936156115371</v>
      </c>
      <c r="S441" s="160">
        <f t="shared" si="254"/>
        <v>1.570766337233799</v>
      </c>
      <c r="T441" s="160" t="str">
        <f t="shared" si="246"/>
        <v>1+0.0213407591303172i</v>
      </c>
      <c r="U441" s="160">
        <f t="shared" si="255"/>
        <v>1.0002276880791985</v>
      </c>
      <c r="V441" s="160">
        <f t="shared" si="256"/>
        <v>2.1337520288888353E-2</v>
      </c>
      <c r="W441" s="98" t="str">
        <f t="shared" si="247"/>
        <v>1-15.4344906334106i</v>
      </c>
      <c r="X441" s="160">
        <f t="shared" si="257"/>
        <v>15.466851687167612</v>
      </c>
      <c r="Y441" s="160">
        <f t="shared" si="258"/>
        <v>-1.5060967982410831</v>
      </c>
      <c r="Z441" s="98" t="str">
        <f t="shared" si="248"/>
        <v>-51.2232956654884+1.22599796309464i</v>
      </c>
      <c r="AA441" s="160">
        <f t="shared" si="259"/>
        <v>51.237965317131348</v>
      </c>
      <c r="AB441" s="160">
        <f t="shared" si="260"/>
        <v>3.117662839598331</v>
      </c>
      <c r="AC441" s="171" t="str">
        <f t="shared" si="261"/>
        <v>0.00970990799514567+0.0010723878593825i</v>
      </c>
      <c r="AD441" s="190">
        <f t="shared" si="262"/>
        <v>-40.203044772271781</v>
      </c>
      <c r="AE441" s="169">
        <f t="shared" si="263"/>
        <v>6.3023554019720027</v>
      </c>
      <c r="AF441" s="98" t="str">
        <f t="shared" si="249"/>
        <v>-9.95024875621891E-06</v>
      </c>
      <c r="AG441" s="98" t="str">
        <f t="shared" si="250"/>
        <v>1.06810499447238i</v>
      </c>
      <c r="AH441" s="98">
        <f t="shared" si="264"/>
        <v>1.0681049944723799</v>
      </c>
      <c r="AI441" s="98">
        <f t="shared" si="265"/>
        <v>1.5707963267948966</v>
      </c>
      <c r="AJ441" s="98" t="str">
        <f t="shared" si="251"/>
        <v>1+10.6597198453133i</v>
      </c>
      <c r="AK441" s="98">
        <f t="shared" si="266"/>
        <v>10.706522646525631</v>
      </c>
      <c r="AL441" s="98">
        <f t="shared" si="267"/>
        <v>1.4772589824403852</v>
      </c>
      <c r="AM441" s="98" t="str">
        <f t="shared" si="252"/>
        <v>1+10670.3795651586i</v>
      </c>
      <c r="AN441" s="98">
        <f t="shared" si="268"/>
        <v>10670.379612017288</v>
      </c>
      <c r="AO441" s="98">
        <f t="shared" si="269"/>
        <v>1.5707026094167129</v>
      </c>
      <c r="AP441" s="168" t="str">
        <f t="shared" si="270"/>
        <v>-0.000866301174831433+0.00924384362185677i</v>
      </c>
      <c r="AQ441" s="98">
        <f t="shared" si="271"/>
        <v>-40.644971545757144</v>
      </c>
      <c r="AR441" s="169">
        <f t="shared" si="272"/>
        <v>95.353925448138369</v>
      </c>
      <c r="AS441" s="168" t="str">
        <f t="shared" si="273"/>
        <v>-0.0000183246903778094+0.0000888278602272853i</v>
      </c>
      <c r="AT441" s="190">
        <f t="shared" si="274"/>
        <v>-80.848016318028911</v>
      </c>
      <c r="AU441" s="169">
        <f t="shared" si="275"/>
        <v>101.65628085011038</v>
      </c>
      <c r="AV441" s="225"/>
      <c r="AX441">
        <f t="shared" si="276"/>
        <v>0</v>
      </c>
      <c r="AY441">
        <f t="shared" si="277"/>
        <v>0</v>
      </c>
    </row>
    <row r="442" spans="14:51" x14ac:dyDescent="0.55000000000000004">
      <c r="N442" s="170">
        <v>24</v>
      </c>
      <c r="O442" s="199">
        <f t="shared" si="278"/>
        <v>173780.0828749378</v>
      </c>
      <c r="P442" s="189" t="str">
        <f t="shared" si="244"/>
        <v>1078.86904761905</v>
      </c>
      <c r="Q442" s="160" t="str">
        <f t="shared" si="245"/>
        <v>1+34121.6394812581i</v>
      </c>
      <c r="R442" s="160">
        <f t="shared" si="253"/>
        <v>34121.639495911557</v>
      </c>
      <c r="S442" s="160">
        <f t="shared" si="254"/>
        <v>1.5707670198795516</v>
      </c>
      <c r="T442" s="160" t="str">
        <f t="shared" si="246"/>
        <v>1+0.0218378492680052i</v>
      </c>
      <c r="U442" s="160">
        <f t="shared" si="255"/>
        <v>1.0002384174088956</v>
      </c>
      <c r="V442" s="160">
        <f t="shared" si="256"/>
        <v>2.1834378831563583E-2</v>
      </c>
      <c r="W442" s="98" t="str">
        <f t="shared" si="247"/>
        <v>1-15.7940061045921i</v>
      </c>
      <c r="X442" s="160">
        <f t="shared" si="257"/>
        <v>15.825632019982409</v>
      </c>
      <c r="Y442" s="160">
        <f t="shared" si="258"/>
        <v>-1.5075655714971905</v>
      </c>
      <c r="Z442" s="98" t="str">
        <f t="shared" si="248"/>
        <v>-53.6845037646363+1.25455512418522i</v>
      </c>
      <c r="AA442" s="160">
        <f t="shared" si="259"/>
        <v>53.699160636036659</v>
      </c>
      <c r="AB442" s="160">
        <f t="shared" si="260"/>
        <v>3.1182278698027583</v>
      </c>
      <c r="AC442" s="171" t="str">
        <f t="shared" si="261"/>
        <v>0.00926566353903189+0.00100890584642446i</v>
      </c>
      <c r="AD442" s="190">
        <f t="shared" si="262"/>
        <v>-40.611281196276167</v>
      </c>
      <c r="AE442" s="169">
        <f t="shared" si="263"/>
        <v>6.2142558321139987</v>
      </c>
      <c r="AF442" s="98" t="str">
        <f t="shared" si="249"/>
        <v>-9.95024875621891E-06</v>
      </c>
      <c r="AG442" s="98" t="str">
        <f t="shared" si="250"/>
        <v>1.09298435586366i</v>
      </c>
      <c r="AH442" s="98">
        <f t="shared" si="264"/>
        <v>1.0929843558636601</v>
      </c>
      <c r="AI442" s="98">
        <f t="shared" si="265"/>
        <v>1.5707963267948966</v>
      </c>
      <c r="AJ442" s="98" t="str">
        <f t="shared" si="251"/>
        <v>1+10.9080166173852i</v>
      </c>
      <c r="AK442" s="98">
        <f t="shared" si="266"/>
        <v>10.953758557004608</v>
      </c>
      <c r="AL442" s="98">
        <f t="shared" si="267"/>
        <v>1.479376172245966</v>
      </c>
      <c r="AM442" s="98" t="str">
        <f t="shared" si="252"/>
        <v>1+10918.9246340026i</v>
      </c>
      <c r="AN442" s="98">
        <f t="shared" si="268"/>
        <v>10918.924679794654</v>
      </c>
      <c r="AO442" s="98">
        <f t="shared" si="269"/>
        <v>1.570704742684673</v>
      </c>
      <c r="AP442" s="168" t="str">
        <f t="shared" si="270"/>
        <v>-0.000827636156778519+0.00903697269435975i</v>
      </c>
      <c r="AQ442" s="98">
        <f t="shared" si="271"/>
        <v>-40.843266027677714</v>
      </c>
      <c r="AR442" s="169">
        <f t="shared" si="272"/>
        <v>95.232741635101149</v>
      </c>
      <c r="AS442" s="168" t="str">
        <f t="shared" si="273"/>
        <v>-0.000016786052746765+0.0000828985414400698i</v>
      </c>
      <c r="AT442" s="190">
        <f t="shared" si="274"/>
        <v>-81.454547223953867</v>
      </c>
      <c r="AU442" s="169">
        <f t="shared" si="275"/>
        <v>101.44699746721517</v>
      </c>
      <c r="AV442" s="225"/>
      <c r="AX442">
        <f t="shared" si="276"/>
        <v>0</v>
      </c>
      <c r="AY442">
        <f t="shared" si="277"/>
        <v>0</v>
      </c>
    </row>
    <row r="443" spans="14:51" x14ac:dyDescent="0.55000000000000004">
      <c r="N443" s="170">
        <v>25</v>
      </c>
      <c r="O443" s="199">
        <f t="shared" si="278"/>
        <v>177827.94100389251</v>
      </c>
      <c r="P443" s="189" t="str">
        <f t="shared" si="244"/>
        <v>1078.86904761905</v>
      </c>
      <c r="Q443" s="160" t="str">
        <f t="shared" si="245"/>
        <v>1+34916.4345663019i</v>
      </c>
      <c r="R443" s="160">
        <f t="shared" si="253"/>
        <v>34916.434580621797</v>
      </c>
      <c r="S443" s="160">
        <f t="shared" si="254"/>
        <v>1.5707676869863896</v>
      </c>
      <c r="T443" s="160" t="str">
        <f t="shared" si="246"/>
        <v>1+0.0223465181224332i</v>
      </c>
      <c r="U443" s="160">
        <f t="shared" si="255"/>
        <v>1.0002496522729694</v>
      </c>
      <c r="V443" s="160">
        <f t="shared" si="256"/>
        <v>2.2342799532914123E-2</v>
      </c>
      <c r="W443" s="98" t="str">
        <f t="shared" si="247"/>
        <v>1-16.1618957668686i</v>
      </c>
      <c r="X443" s="160">
        <f t="shared" si="257"/>
        <v>16.192803178545869</v>
      </c>
      <c r="Y443" s="160">
        <f t="shared" si="258"/>
        <v>-1.5090011754092703</v>
      </c>
      <c r="Z443" s="98" t="str">
        <f t="shared" si="248"/>
        <v>-56.261705027948+1.28377746700866i</v>
      </c>
      <c r="AA443" s="160">
        <f t="shared" si="259"/>
        <v>56.276349714925786</v>
      </c>
      <c r="AB443" s="160">
        <f t="shared" si="260"/>
        <v>3.1187786501332022</v>
      </c>
      <c r="AC443" s="171" t="str">
        <f t="shared" si="261"/>
        <v>0.0088420587792507+0.000949553969090954i</v>
      </c>
      <c r="AD443" s="190">
        <f t="shared" si="262"/>
        <v>-41.01913260589825</v>
      </c>
      <c r="AE443" s="169">
        <f t="shared" si="263"/>
        <v>6.1295365365242853</v>
      </c>
      <c r="AF443" s="98" t="str">
        <f t="shared" si="249"/>
        <v>-9.95024875621891E-06</v>
      </c>
      <c r="AG443" s="98" t="str">
        <f t="shared" si="250"/>
        <v>1.11844323202778i</v>
      </c>
      <c r="AH443" s="98">
        <f t="shared" si="264"/>
        <v>1.11844323202778</v>
      </c>
      <c r="AI443" s="98">
        <f t="shared" si="265"/>
        <v>1.5707963267948966</v>
      </c>
      <c r="AJ443" s="98" t="str">
        <f t="shared" si="251"/>
        <v>1+11.1620969642523i</v>
      </c>
      <c r="AK443" s="98">
        <f t="shared" si="266"/>
        <v>11.206801891680355</v>
      </c>
      <c r="AL443" s="98">
        <f t="shared" si="267"/>
        <v>1.4814459633928287</v>
      </c>
      <c r="AM443" s="98" t="str">
        <f t="shared" si="252"/>
        <v>1+11173.2590612166i</v>
      </c>
      <c r="AN443" s="98">
        <f t="shared" si="268"/>
        <v>11173.259105966301</v>
      </c>
      <c r="AO443" s="98">
        <f t="shared" si="269"/>
        <v>1.5707068273935267</v>
      </c>
      <c r="AP443" s="168" t="str">
        <f t="shared" si="270"/>
        <v>-0.000790682986120271+0.00883457667563784i</v>
      </c>
      <c r="AQ443" s="98">
        <f t="shared" si="271"/>
        <v>-41.041636645081695</v>
      </c>
      <c r="AR443" s="169">
        <f t="shared" si="272"/>
        <v>95.114270782931214</v>
      </c>
      <c r="AS443" s="168" t="str">
        <f t="shared" si="273"/>
        <v>-0.0000153801727866192+0.0000773650500880238i</v>
      </c>
      <c r="AT443" s="190">
        <f t="shared" si="274"/>
        <v>-82.060769250979945</v>
      </c>
      <c r="AU443" s="169">
        <f t="shared" si="275"/>
        <v>101.24380731945553</v>
      </c>
      <c r="AV443" s="225"/>
      <c r="AX443">
        <f t="shared" si="276"/>
        <v>0</v>
      </c>
      <c r="AY443">
        <f t="shared" si="277"/>
        <v>0</v>
      </c>
    </row>
    <row r="444" spans="14:51" x14ac:dyDescent="0.55000000000000004">
      <c r="N444" s="170">
        <v>26</v>
      </c>
      <c r="O444" s="199">
        <f t="shared" si="278"/>
        <v>181970.08586099857</v>
      </c>
      <c r="P444" s="189" t="str">
        <f t="shared" si="244"/>
        <v>1078.86904761905</v>
      </c>
      <c r="Q444" s="160" t="str">
        <f t="shared" si="245"/>
        <v>1+35729.7428071259i</v>
      </c>
      <c r="R444" s="160">
        <f t="shared" si="253"/>
        <v>35729.742821119842</v>
      </c>
      <c r="S444" s="160">
        <f t="shared" si="254"/>
        <v>1.5707683389080223</v>
      </c>
      <c r="T444" s="160" t="str">
        <f t="shared" si="246"/>
        <v>1+0.0228670353965606i</v>
      </c>
      <c r="U444" s="160">
        <f t="shared" si="255"/>
        <v>1.0002614164846246</v>
      </c>
      <c r="V444" s="160">
        <f t="shared" si="256"/>
        <v>2.2863050912342787E-2</v>
      </c>
      <c r="W444" s="98" t="str">
        <f t="shared" si="247"/>
        <v>1-16.5383546802085i</v>
      </c>
      <c r="X444" s="160">
        <f t="shared" si="257"/>
        <v>16.568559850764771</v>
      </c>
      <c r="Y444" s="160">
        <f t="shared" si="258"/>
        <v>-1.5104043474704028</v>
      </c>
      <c r="Z444" s="98" t="str">
        <f t="shared" si="248"/>
        <v>-58.9603660448332+1.31368048563788i</v>
      </c>
      <c r="AA444" s="160">
        <f t="shared" si="259"/>
        <v>58.974999114532132</v>
      </c>
      <c r="AB444" s="160">
        <f t="shared" si="260"/>
        <v>3.1193156011486791</v>
      </c>
      <c r="AC444" s="171" t="str">
        <f t="shared" si="261"/>
        <v>0.00843810674075724+0.000894050392354656i</v>
      </c>
      <c r="AD444" s="190">
        <f t="shared" si="262"/>
        <v>-41.426616438146752</v>
      </c>
      <c r="AE444" s="169">
        <f t="shared" si="263"/>
        <v>6.0481465284676501</v>
      </c>
      <c r="AF444" s="98" t="str">
        <f t="shared" si="249"/>
        <v>-9.95024875621891E-06</v>
      </c>
      <c r="AG444" s="98" t="str">
        <f t="shared" si="250"/>
        <v>1.14449512159786i</v>
      </c>
      <c r="AH444" s="98">
        <f t="shared" si="264"/>
        <v>1.14449512159786</v>
      </c>
      <c r="AI444" s="98">
        <f t="shared" si="265"/>
        <v>1.5707963267948966</v>
      </c>
      <c r="AJ444" s="98" t="str">
        <f t="shared" si="251"/>
        <v>1+11.4220956026776i</v>
      </c>
      <c r="AK444" s="98">
        <f t="shared" si="266"/>
        <v>11.465786844203366</v>
      </c>
      <c r="AL444" s="98">
        <f t="shared" si="267"/>
        <v>1.4834693823359353</v>
      </c>
      <c r="AM444" s="98" t="str">
        <f t="shared" si="252"/>
        <v>1+11433.5176982803i</v>
      </c>
      <c r="AN444" s="98">
        <f t="shared" si="268"/>
        <v>11433.517742011374</v>
      </c>
      <c r="AO444" s="98">
        <f t="shared" si="269"/>
        <v>1.5707088646486143</v>
      </c>
      <c r="AP444" s="168" t="str">
        <f t="shared" si="270"/>
        <v>-0.000755367083698485+0.00863656905225756i</v>
      </c>
      <c r="AQ444" s="98">
        <f t="shared" si="271"/>
        <v>-41.24008002591448</v>
      </c>
      <c r="AR444" s="169">
        <f t="shared" si="272"/>
        <v>94.998454143422691</v>
      </c>
      <c r="AS444" s="168" t="str">
        <f t="shared" si="273"/>
        <v>-0.0000140953960304713+0.0000722009552993175i</v>
      </c>
      <c r="AT444" s="190">
        <f t="shared" si="274"/>
        <v>-82.666696464061218</v>
      </c>
      <c r="AU444" s="169">
        <f t="shared" si="275"/>
        <v>101.04660067189035</v>
      </c>
      <c r="AV444" s="225"/>
      <c r="AX444">
        <f t="shared" si="276"/>
        <v>0</v>
      </c>
      <c r="AY444">
        <f t="shared" si="277"/>
        <v>0</v>
      </c>
    </row>
    <row r="445" spans="14:51" x14ac:dyDescent="0.55000000000000004">
      <c r="N445" s="170">
        <v>27</v>
      </c>
      <c r="O445" s="199">
        <f t="shared" si="278"/>
        <v>186208.71366628664</v>
      </c>
      <c r="P445" s="189" t="str">
        <f t="shared" si="244"/>
        <v>1078.86904761905</v>
      </c>
      <c r="Q445" s="160" t="str">
        <f t="shared" si="245"/>
        <v>1+36561.9954305256i</v>
      </c>
      <c r="R445" s="160">
        <f t="shared" si="253"/>
        <v>36561.995444201006</v>
      </c>
      <c r="S445" s="160">
        <f t="shared" si="254"/>
        <v>1.5707689759901067</v>
      </c>
      <c r="T445" s="160" t="str">
        <f t="shared" si="246"/>
        <v>1+0.0233996770755364i</v>
      </c>
      <c r="U445" s="160">
        <f t="shared" si="255"/>
        <v>1.0002737349782005</v>
      </c>
      <c r="V445" s="160">
        <f t="shared" si="256"/>
        <v>2.3395407686875893E-2</v>
      </c>
      <c r="W445" s="98" t="str">
        <f t="shared" si="247"/>
        <v>1-16.923582448111i</v>
      </c>
      <c r="X445" s="160">
        <f t="shared" si="257"/>
        <v>16.953101276109059</v>
      </c>
      <c r="Y445" s="160">
        <f t="shared" si="258"/>
        <v>-1.5117758095469571</v>
      </c>
      <c r="Z445" s="98" t="str">
        <f t="shared" si="248"/>
        <v>-61.7862110371265+1.34428003504922i</v>
      </c>
      <c r="AA445" s="160">
        <f t="shared" si="259"/>
        <v>61.800833029474326</v>
      </c>
      <c r="AB445" s="160">
        <f t="shared" si="260"/>
        <v>3.1198391270197945</v>
      </c>
      <c r="AC445" s="171" t="str">
        <f t="shared" si="261"/>
        <v>0.00805287013994851+0.000842133198819594i</v>
      </c>
      <c r="AD445" s="190">
        <f t="shared" si="262"/>
        <v>-41.833749280016271</v>
      </c>
      <c r="AE445" s="169">
        <f t="shared" si="263"/>
        <v>5.9700370110992989</v>
      </c>
      <c r="AF445" s="98" t="str">
        <f t="shared" si="249"/>
        <v>-9.95024875621891E-06</v>
      </c>
      <c r="AG445" s="98" t="str">
        <f t="shared" si="250"/>
        <v>1.1711538376306i</v>
      </c>
      <c r="AH445" s="98">
        <f t="shared" si="264"/>
        <v>1.1711538376306001</v>
      </c>
      <c r="AI445" s="98">
        <f t="shared" si="265"/>
        <v>1.5707963267948966</v>
      </c>
      <c r="AJ445" s="98" t="str">
        <f t="shared" si="251"/>
        <v>1+11.6881503873808i</v>
      </c>
      <c r="AK445" s="98">
        <f t="shared" si="266"/>
        <v>11.730850756787845</v>
      </c>
      <c r="AL445" s="98">
        <f t="shared" si="267"/>
        <v>1.4854474356074299</v>
      </c>
      <c r="AM445" s="98" t="str">
        <f t="shared" si="252"/>
        <v>1+11699.8385377682i</v>
      </c>
      <c r="AN445" s="98">
        <f t="shared" si="268"/>
        <v>11699.838580503834</v>
      </c>
      <c r="AO445" s="98">
        <f t="shared" si="269"/>
        <v>1.5707108555301148</v>
      </c>
      <c r="AP445" s="168" t="str">
        <f t="shared" si="270"/>
        <v>-0.000721617013654659+0.00844286428506248i</v>
      </c>
      <c r="AQ445" s="98">
        <f t="shared" si="271"/>
        <v>-41.438592945138836</v>
      </c>
      <c r="AR445" s="169">
        <f t="shared" si="272"/>
        <v>94.885234108421514</v>
      </c>
      <c r="AS445" s="168" t="str">
        <f t="shared" si="273"/>
        <v>-0.0000129211044093178+0.0000673815920527857i</v>
      </c>
      <c r="AT445" s="190">
        <f t="shared" si="274"/>
        <v>-83.272342225155114</v>
      </c>
      <c r="AU445" s="169">
        <f t="shared" si="275"/>
        <v>100.85527111952082</v>
      </c>
      <c r="AV445" s="225"/>
      <c r="AX445">
        <f t="shared" si="276"/>
        <v>0</v>
      </c>
      <c r="AY445">
        <f t="shared" si="277"/>
        <v>0</v>
      </c>
    </row>
    <row r="446" spans="14:51" x14ac:dyDescent="0.55000000000000004">
      <c r="N446" s="170">
        <v>28</v>
      </c>
      <c r="O446" s="199">
        <f t="shared" si="278"/>
        <v>190546.07179632492</v>
      </c>
      <c r="P446" s="189" t="str">
        <f t="shared" si="244"/>
        <v>1078.86904761905</v>
      </c>
      <c r="Q446" s="160" t="str">
        <f t="shared" si="245"/>
        <v>1+37413.6337078581i</v>
      </c>
      <c r="R446" s="160">
        <f t="shared" si="253"/>
        <v>37413.633721222206</v>
      </c>
      <c r="S446" s="160">
        <f t="shared" si="254"/>
        <v>1.5707695985704324</v>
      </c>
      <c r="T446" s="160" t="str">
        <f t="shared" si="246"/>
        <v>1+0.0239447255730292i</v>
      </c>
      <c r="U446" s="160">
        <f t="shared" si="255"/>
        <v>1.0002866338618983</v>
      </c>
      <c r="V446" s="160">
        <f t="shared" si="256"/>
        <v>2.3940150911455051E-2</v>
      </c>
      <c r="W446" s="98" t="str">
        <f t="shared" si="247"/>
        <v>1-17.3177833234376i</v>
      </c>
      <c r="X446" s="160">
        <f t="shared" si="257"/>
        <v>17.346631351289318</v>
      </c>
      <c r="Y446" s="160">
        <f t="shared" si="258"/>
        <v>-1.5131162681578636</v>
      </c>
      <c r="Z446" s="98" t="str">
        <f t="shared" si="248"/>
        <v>-64.7452340009248+1.37559233952881i</v>
      </c>
      <c r="AA446" s="160">
        <f t="shared" si="259"/>
        <v>64.759845430012248</v>
      </c>
      <c r="AB446" s="160">
        <f t="shared" si="260"/>
        <v>3.1203496164012252</v>
      </c>
      <c r="AC446" s="171" t="str">
        <f t="shared" si="261"/>
        <v>0.0076854586628523+0.000793558924409909i</v>
      </c>
      <c r="AD446" s="190">
        <f t="shared" si="262"/>
        <v>-42.240546910058619</v>
      </c>
      <c r="AE446" s="169">
        <f t="shared" si="263"/>
        <v>5.8951613195018258</v>
      </c>
      <c r="AF446" s="98" t="str">
        <f t="shared" si="249"/>
        <v>-9.95024875621891E-06</v>
      </c>
      <c r="AG446" s="98" t="str">
        <f t="shared" si="250"/>
        <v>1.19843351493011i</v>
      </c>
      <c r="AH446" s="98">
        <f t="shared" si="264"/>
        <v>1.19843351493011</v>
      </c>
      <c r="AI446" s="98">
        <f t="shared" si="265"/>
        <v>1.5707963267948966</v>
      </c>
      <c r="AJ446" s="98" t="str">
        <f t="shared" si="251"/>
        <v>1+11.9604023841305i</v>
      </c>
      <c r="AK446" s="98">
        <f t="shared" si="266"/>
        <v>12.002134193147258</v>
      </c>
      <c r="AL446" s="98">
        <f t="shared" si="267"/>
        <v>1.4873811100468322</v>
      </c>
      <c r="AM446" s="98" t="str">
        <f t="shared" si="252"/>
        <v>1+11972.3627865146i</v>
      </c>
      <c r="AN446" s="98">
        <f t="shared" si="268"/>
        <v>11972.362828277452</v>
      </c>
      <c r="AO446" s="98">
        <f t="shared" si="269"/>
        <v>1.5707128010936207</v>
      </c>
      <c r="AP446" s="168" t="str">
        <f t="shared" si="270"/>
        <v>-0.000689364360253223+0.00825337785026657i</v>
      </c>
      <c r="AQ446" s="98">
        <f t="shared" si="271"/>
        <v>-41.637172318529352</v>
      </c>
      <c r="AR446" s="169">
        <f t="shared" si="272"/>
        <v>94.774554196669072</v>
      </c>
      <c r="AS446" s="168" t="str">
        <f t="shared" si="273"/>
        <v>-0.0000118476229439759+0.0000628839430568754i</v>
      </c>
      <c r="AT446" s="190">
        <f t="shared" si="274"/>
        <v>-83.877719228587978</v>
      </c>
      <c r="AU446" s="169">
        <f t="shared" si="275"/>
        <v>100.66971551617092</v>
      </c>
      <c r="AV446" s="225"/>
      <c r="AX446">
        <f t="shared" si="276"/>
        <v>0</v>
      </c>
      <c r="AY446">
        <f t="shared" si="277"/>
        <v>0</v>
      </c>
    </row>
    <row r="447" spans="14:51" x14ac:dyDescent="0.55000000000000004">
      <c r="N447" s="170">
        <v>29</v>
      </c>
      <c r="O447" s="199">
        <f t="shared" si="278"/>
        <v>194984.45997580473</v>
      </c>
      <c r="P447" s="189" t="str">
        <f t="shared" si="244"/>
        <v>1078.86904761905</v>
      </c>
      <c r="Q447" s="160" t="str">
        <f t="shared" si="245"/>
        <v>1+38285.10918901i</v>
      </c>
      <c r="R447" s="160">
        <f t="shared" si="253"/>
        <v>38285.1092020699</v>
      </c>
      <c r="S447" s="160">
        <f t="shared" si="254"/>
        <v>1.5707702069790999</v>
      </c>
      <c r="T447" s="160" t="str">
        <f t="shared" si="246"/>
        <v>1+0.0245024698809664i</v>
      </c>
      <c r="U447" s="160">
        <f t="shared" si="255"/>
        <v>1.0003001404729821</v>
      </c>
      <c r="V447" s="160">
        <f t="shared" si="256"/>
        <v>2.4497568122207478E-2</v>
      </c>
      <c r="W447" s="98" t="str">
        <f t="shared" si="247"/>
        <v>1-17.7211663167101i</v>
      </c>
      <c r="X447" s="160">
        <f t="shared" si="257"/>
        <v>17.749358738402371</v>
      </c>
      <c r="Y447" s="160">
        <f t="shared" si="258"/>
        <v>-1.514426414752521</v>
      </c>
      <c r="Z447" s="98" t="str">
        <f t="shared" si="248"/>
        <v>-67.8437114206539+1.40763400127491i</v>
      </c>
      <c r="AA447" s="160">
        <f t="shared" si="259"/>
        <v>67.858312776037323</v>
      </c>
      <c r="AB447" s="160">
        <f t="shared" si="260"/>
        <v>3.1208474432459141</v>
      </c>
      <c r="AC447" s="171" t="str">
        <f t="shared" si="261"/>
        <v>0.00733502641139021+0.000748101207513008i</v>
      </c>
      <c r="AD447" s="190">
        <f t="shared" si="262"/>
        <v>-42.647024337652141</v>
      </c>
      <c r="AE447" s="169">
        <f t="shared" si="263"/>
        <v>5.8234748663107165</v>
      </c>
      <c r="AF447" s="98" t="str">
        <f t="shared" si="249"/>
        <v>-9.95024875621891E-06</v>
      </c>
      <c r="AG447" s="98" t="str">
        <f t="shared" si="250"/>
        <v>1.22634861754237i</v>
      </c>
      <c r="AH447" s="98">
        <f t="shared" si="264"/>
        <v>1.2263486175423699</v>
      </c>
      <c r="AI447" s="98">
        <f t="shared" si="265"/>
        <v>1.5707963267948966</v>
      </c>
      <c r="AJ447" s="98" t="str">
        <f t="shared" si="251"/>
        <v>1+12.2389959445387i</v>
      </c>
      <c r="AK447" s="98">
        <f t="shared" si="266"/>
        <v>12.279781013130272</v>
      </c>
      <c r="AL447" s="98">
        <f t="shared" si="267"/>
        <v>1.4892713730402072</v>
      </c>
      <c r="AM447" s="98" t="str">
        <f t="shared" si="252"/>
        <v>1+12251.2349404832i</v>
      </c>
      <c r="AN447" s="98">
        <f t="shared" si="268"/>
        <v>12251.234981295411</v>
      </c>
      <c r="AO447" s="98">
        <f t="shared" si="269"/>
        <v>1.5707147023706947</v>
      </c>
      <c r="AP447" s="168" t="str">
        <f t="shared" si="270"/>
        <v>-0.000658543608699179+0.00806802627572355i</v>
      </c>
      <c r="AQ447" s="98">
        <f t="shared" si="271"/>
        <v>-41.835815196709945</v>
      </c>
      <c r="AR447" s="169">
        <f t="shared" si="272"/>
        <v>94.666359040130942</v>
      </c>
      <c r="AS447" s="168" t="str">
        <f t="shared" si="273"/>
        <v>-0.0000108661349619762+0.0000586865285513546i</v>
      </c>
      <c r="AT447" s="190">
        <f t="shared" si="274"/>
        <v>-84.482839534362085</v>
      </c>
      <c r="AU447" s="169">
        <f t="shared" si="275"/>
        <v>100.4898339064417</v>
      </c>
      <c r="AV447" s="225"/>
      <c r="AX447">
        <f t="shared" si="276"/>
        <v>0</v>
      </c>
      <c r="AY447">
        <f t="shared" si="277"/>
        <v>0</v>
      </c>
    </row>
    <row r="448" spans="14:51" x14ac:dyDescent="0.55000000000000004">
      <c r="N448" s="170">
        <v>30</v>
      </c>
      <c r="O448" s="199">
        <f t="shared" si="278"/>
        <v>199526.23149688813</v>
      </c>
      <c r="P448" s="189" t="str">
        <f t="shared" si="244"/>
        <v>1078.86904761905</v>
      </c>
      <c r="Q448" s="160" t="str">
        <f t="shared" si="245"/>
        <v>1+39176.8839418175i</v>
      </c>
      <c r="R448" s="160">
        <f t="shared" si="253"/>
        <v>39176.883954580117</v>
      </c>
      <c r="S448" s="160">
        <f t="shared" si="254"/>
        <v>1.5707708015386954</v>
      </c>
      <c r="T448" s="160" t="str">
        <f t="shared" si="246"/>
        <v>1+0.0250732057227632i</v>
      </c>
      <c r="U448" s="160">
        <f t="shared" si="255"/>
        <v>1.0003142834355689</v>
      </c>
      <c r="V448" s="160">
        <f t="shared" si="256"/>
        <v>2.5067953482744845E-2</v>
      </c>
      <c r="W448" s="98" t="str">
        <f t="shared" si="247"/>
        <v>1-18.1339453069313i</v>
      </c>
      <c r="X448" s="160">
        <f t="shared" si="257"/>
        <v>18.161496975601317</v>
      </c>
      <c r="Y448" s="160">
        <f t="shared" si="258"/>
        <v>-1.5157069259870497</v>
      </c>
      <c r="Z448" s="98" t="str">
        <f t="shared" si="248"/>
        <v>-71.0882155823447+1.44042200920073i</v>
      </c>
      <c r="AA448" s="160">
        <f t="shared" si="259"/>
        <v>71.102807330277088</v>
      </c>
      <c r="AB448" s="160">
        <f t="shared" si="260"/>
        <v>3.1213329675654675</v>
      </c>
      <c r="AC448" s="171" t="str">
        <f t="shared" si="261"/>
        <v>0.00700076950575421+0.000705549542160197i</v>
      </c>
      <c r="AD448" s="190">
        <f t="shared" si="262"/>
        <v>-43.053195840109822</v>
      </c>
      <c r="AE448" s="169">
        <f t="shared" si="263"/>
        <v>5.7549350906911325</v>
      </c>
      <c r="AF448" s="98" t="str">
        <f t="shared" si="249"/>
        <v>-9.95024875621891E-06</v>
      </c>
      <c r="AG448" s="98" t="str">
        <f t="shared" si="250"/>
        <v>1.2549139464243i</v>
      </c>
      <c r="AH448" s="98">
        <f t="shared" si="264"/>
        <v>1.2549139464243</v>
      </c>
      <c r="AI448" s="98">
        <f t="shared" si="265"/>
        <v>1.5707963267948966</v>
      </c>
      <c r="AJ448" s="98" t="str">
        <f t="shared" si="251"/>
        <v>1+12.524078782599i</v>
      </c>
      <c r="AK448" s="98">
        <f t="shared" si="266"/>
        <v>12.563938449098931</v>
      </c>
      <c r="AL448" s="98">
        <f t="shared" si="267"/>
        <v>1.4911191727672393</v>
      </c>
      <c r="AM448" s="98" t="str">
        <f t="shared" si="252"/>
        <v>1+12536.6028613816i</v>
      </c>
      <c r="AN448" s="98">
        <f t="shared" si="268"/>
        <v>12536.60290126481</v>
      </c>
      <c r="AO448" s="98">
        <f t="shared" si="269"/>
        <v>1.5707165603694195</v>
      </c>
      <c r="AP448" s="168" t="str">
        <f t="shared" si="270"/>
        <v>-0.000629092029898761+0.00788672717270424i</v>
      </c>
      <c r="AQ448" s="98">
        <f t="shared" si="271"/>
        <v>-42.034518759428835</v>
      </c>
      <c r="AR448" s="169">
        <f t="shared" si="272"/>
        <v>94.560594369871865</v>
      </c>
      <c r="AS448" s="168" t="str">
        <f t="shared" si="273"/>
        <v>-9.96860504507212E-06+0.0000547693034971993i</v>
      </c>
      <c r="AT448" s="190">
        <f t="shared" si="274"/>
        <v>-85.087714599538657</v>
      </c>
      <c r="AU448" s="169">
        <f t="shared" si="275"/>
        <v>100.31552946056298</v>
      </c>
      <c r="AV448" s="225"/>
      <c r="AX448">
        <f t="shared" si="276"/>
        <v>0</v>
      </c>
      <c r="AY448">
        <f t="shared" si="277"/>
        <v>0</v>
      </c>
    </row>
    <row r="449" spans="14:51" x14ac:dyDescent="0.55000000000000004">
      <c r="N449" s="170">
        <v>31</v>
      </c>
      <c r="O449" s="199">
        <f t="shared" si="278"/>
        <v>204173.79446695308</v>
      </c>
      <c r="P449" s="189" t="str">
        <f t="shared" si="244"/>
        <v>1078.86904761905</v>
      </c>
      <c r="Q449" s="160" t="str">
        <f t="shared" si="245"/>
        <v>1+40089.4307970581i</v>
      </c>
      <c r="R449" s="160">
        <f t="shared" si="253"/>
        <v>40089.430809530219</v>
      </c>
      <c r="S449" s="160">
        <f t="shared" si="254"/>
        <v>1.570771382564462</v>
      </c>
      <c r="T449" s="160" t="str">
        <f t="shared" si="246"/>
        <v>1+0.0256572357101172i</v>
      </c>
      <c r="U449" s="160">
        <f t="shared" si="255"/>
        <v>1.0003290927211328</v>
      </c>
      <c r="V449" s="160">
        <f t="shared" si="256"/>
        <v>2.5651607933533563E-2</v>
      </c>
      <c r="W449" s="98" t="str">
        <f t="shared" si="247"/>
        <v>1-18.5563391549852i</v>
      </c>
      <c r="X449" s="160">
        <f t="shared" si="257"/>
        <v>18.58326459034679</v>
      </c>
      <c r="Y449" s="160">
        <f t="shared" si="258"/>
        <v>-1.5169584639986151</v>
      </c>
      <c r="Z449" s="98" t="str">
        <f t="shared" si="248"/>
        <v>-74.4856285143204+1.47397374794207i</v>
      </c>
      <c r="AA449" s="160">
        <f t="shared" si="259"/>
        <v>74.500211098915429</v>
      </c>
      <c r="AB449" s="160">
        <f t="shared" si="260"/>
        <v>3.121806536140848</v>
      </c>
      <c r="AC449" s="171" t="str">
        <f t="shared" si="261"/>
        <v>0.00668192383192047+0.000665708126678107i</v>
      </c>
      <c r="AD449" s="190">
        <f t="shared" si="262"/>
        <v>-43.459074997748665</v>
      </c>
      <c r="AE449" s="169">
        <f t="shared" si="263"/>
        <v>5.6895014104488864</v>
      </c>
      <c r="AF449" s="98" t="str">
        <f t="shared" si="249"/>
        <v>-9.95024875621891E-06</v>
      </c>
      <c r="AG449" s="98" t="str">
        <f t="shared" si="250"/>
        <v>1.28414464729137i</v>
      </c>
      <c r="AH449" s="98">
        <f t="shared" si="264"/>
        <v>1.28414464729137</v>
      </c>
      <c r="AI449" s="98">
        <f t="shared" si="265"/>
        <v>1.5707963267948966</v>
      </c>
      <c r="AJ449" s="98" t="str">
        <f t="shared" si="251"/>
        <v>1+12.8158020530056i</v>
      </c>
      <c r="AK449" s="98">
        <f t="shared" si="266"/>
        <v>12.854757184086463</v>
      </c>
      <c r="AL449" s="98">
        <f t="shared" si="267"/>
        <v>1.4929254384551827</v>
      </c>
      <c r="AM449" s="98" t="str">
        <f t="shared" si="252"/>
        <v>1+12828.6178550586i</v>
      </c>
      <c r="AN449" s="98">
        <f t="shared" si="268"/>
        <v>12828.617894033958</v>
      </c>
      <c r="AO449" s="98">
        <f t="shared" si="269"/>
        <v>1.5707183760749304</v>
      </c>
      <c r="AP449" s="168" t="str">
        <f t="shared" si="270"/>
        <v>-0.000600949569104529+0.00770939926350026i</v>
      </c>
      <c r="AQ449" s="98">
        <f t="shared" si="271"/>
        <v>-42.233280310060117</v>
      </c>
      <c r="AR449" s="169">
        <f t="shared" si="272"/>
        <v>94.45720700153602</v>
      </c>
      <c r="AS449" s="168" t="str">
        <f t="shared" si="273"/>
        <v>-9.14770898910023E-06+0.0000511135616566959i</v>
      </c>
      <c r="AT449" s="190">
        <f t="shared" si="274"/>
        <v>-85.692355307808782</v>
      </c>
      <c r="AU449" s="169">
        <f t="shared" si="275"/>
        <v>100.1467084119849</v>
      </c>
      <c r="AV449" s="225"/>
      <c r="AX449">
        <f t="shared" si="276"/>
        <v>0</v>
      </c>
      <c r="AY449">
        <f t="shared" si="277"/>
        <v>0</v>
      </c>
    </row>
    <row r="450" spans="14:51" x14ac:dyDescent="0.55000000000000004">
      <c r="N450" s="170">
        <v>32</v>
      </c>
      <c r="O450" s="199">
        <f t="shared" si="278"/>
        <v>208929.61308540447</v>
      </c>
      <c r="P450" s="189" t="str">
        <f t="shared" si="244"/>
        <v>1078.86904761905</v>
      </c>
      <c r="Q450" s="160" t="str">
        <f t="shared" si="245"/>
        <v>1+41023.2335991541i</v>
      </c>
      <c r="R450" s="160">
        <f t="shared" si="253"/>
        <v>41023.233611342315</v>
      </c>
      <c r="S450" s="160">
        <f t="shared" si="254"/>
        <v>1.5707719503644677</v>
      </c>
      <c r="T450" s="160" t="str">
        <f t="shared" si="246"/>
        <v>1+0.0262548695034586i</v>
      </c>
      <c r="U450" s="160">
        <f t="shared" si="255"/>
        <v>1.0003445997118412</v>
      </c>
      <c r="V450" s="160">
        <f t="shared" si="256"/>
        <v>2.6248839344391425E-2</v>
      </c>
      <c r="W450" s="98" t="str">
        <f t="shared" si="247"/>
        <v>1-18.9885718196814i</v>
      </c>
      <c r="X450" s="160">
        <f t="shared" si="257"/>
        <v>19.014885215304314</v>
      </c>
      <c r="Y450" s="160">
        <f t="shared" si="258"/>
        <v>-1.5181816766776053</v>
      </c>
      <c r="Z450" s="98" t="str">
        <f t="shared" si="248"/>
        <v>-78.0431565849109+1.50830700707493i</v>
      </c>
      <c r="AA450" s="160">
        <f t="shared" si="259"/>
        <v>78.057730429243918</v>
      </c>
      <c r="AB450" s="160">
        <f t="shared" si="260"/>
        <v>3.122268483187121</v>
      </c>
      <c r="AC450" s="171" t="str">
        <f t="shared" si="261"/>
        <v>0.00637776292419987+0.000628394800008598i</v>
      </c>
      <c r="AD450" s="190">
        <f t="shared" si="262"/>
        <v>-43.86467472704603</v>
      </c>
      <c r="AE450" s="169">
        <f t="shared" si="263"/>
        <v>5.627135177076803</v>
      </c>
      <c r="AF450" s="98" t="str">
        <f t="shared" si="249"/>
        <v>-9.95024875621891E-06</v>
      </c>
      <c r="AG450" s="98" t="str">
        <f t="shared" si="250"/>
        <v>1.3140562186481i</v>
      </c>
      <c r="AH450" s="98">
        <f t="shared" si="264"/>
        <v>1.3140562186481</v>
      </c>
      <c r="AI450" s="98">
        <f t="shared" si="265"/>
        <v>1.5707963267948966</v>
      </c>
      <c r="AJ450" s="98" t="str">
        <f t="shared" si="251"/>
        <v>1+13.114320431298i</v>
      </c>
      <c r="AK450" s="98">
        <f t="shared" si="266"/>
        <v>13.152391431780007</v>
      </c>
      <c r="AL450" s="98">
        <f t="shared" si="267"/>
        <v>1.4946910806387823</v>
      </c>
      <c r="AM450" s="98" t="str">
        <f t="shared" si="252"/>
        <v>1+13127.4347517293i</v>
      </c>
      <c r="AN450" s="98">
        <f t="shared" si="268"/>
        <v>13127.434789817473</v>
      </c>
      <c r="AO450" s="98">
        <f t="shared" si="269"/>
        <v>1.5707201504499382</v>
      </c>
      <c r="AP450" s="168" t="str">
        <f t="shared" si="270"/>
        <v>-0.000574058738378383+0.00753596240514854i</v>
      </c>
      <c r="AQ450" s="98">
        <f t="shared" si="271"/>
        <v>-42.432097270326985</v>
      </c>
      <c r="AR450" s="169">
        <f t="shared" si="272"/>
        <v>94.35614482048473</v>
      </c>
      <c r="AS450" s="168" t="str">
        <f t="shared" si="273"/>
        <v>-8.39677012639823E-06+0.000047701846099624i</v>
      </c>
      <c r="AT450" s="190">
        <f t="shared" si="274"/>
        <v>-86.296771997373014</v>
      </c>
      <c r="AU450" s="169">
        <f t="shared" si="275"/>
        <v>99.98327999756151</v>
      </c>
      <c r="AV450" s="225"/>
      <c r="AX450">
        <f t="shared" si="276"/>
        <v>0</v>
      </c>
      <c r="AY450">
        <f t="shared" si="277"/>
        <v>0</v>
      </c>
    </row>
    <row r="451" spans="14:51" x14ac:dyDescent="0.55000000000000004">
      <c r="N451" s="170">
        <v>33</v>
      </c>
      <c r="O451" s="199">
        <f t="shared" si="278"/>
        <v>213796.20895022334</v>
      </c>
      <c r="P451" s="189" t="str">
        <f t="shared" si="244"/>
        <v>1078.86904761905</v>
      </c>
      <c r="Q451" s="160" t="str">
        <f t="shared" si="245"/>
        <v>1+41978.7874627106i</v>
      </c>
      <c r="R451" s="160">
        <f t="shared" si="253"/>
        <v>41978.787474621378</v>
      </c>
      <c r="S451" s="160">
        <f t="shared" si="254"/>
        <v>1.5707725052397672</v>
      </c>
      <c r="T451" s="160" t="str">
        <f t="shared" si="246"/>
        <v>1+0.0268664239761348i</v>
      </c>
      <c r="U451" s="160">
        <f t="shared" si="255"/>
        <v>1.0003608372668662</v>
      </c>
      <c r="V451" s="160">
        <f t="shared" si="256"/>
        <v>2.6859962670151689E-2</v>
      </c>
      <c r="W451" s="98" t="str">
        <f t="shared" si="247"/>
        <v>1-19.4308724764997i</v>
      </c>
      <c r="X451" s="160">
        <f t="shared" si="257"/>
        <v>19.456587706943726</v>
      </c>
      <c r="Y451" s="160">
        <f t="shared" si="258"/>
        <v>-1.5193771979374218</v>
      </c>
      <c r="Z451" s="98" t="str">
        <f t="shared" si="248"/>
        <v>-81.7683457881174+1.54343999054773i</v>
      </c>
      <c r="AA451" s="160">
        <f t="shared" si="259"/>
        <v>81.782911295267283</v>
      </c>
      <c r="AB451" s="160">
        <f t="shared" si="260"/>
        <v>3.1227191309756872</v>
      </c>
      <c r="AC451" s="171" t="str">
        <f t="shared" si="261"/>
        <v>0.00608759597354146+0.000593440058586625i</v>
      </c>
      <c r="AD451" s="190">
        <f t="shared" si="262"/>
        <v>-44.270007311989261</v>
      </c>
      <c r="AE451" s="169">
        <f t="shared" si="263"/>
        <v>5.5677996335546025</v>
      </c>
      <c r="AF451" s="98" t="str">
        <f t="shared" si="249"/>
        <v>-9.95024875621891E-06</v>
      </c>
      <c r="AG451" s="98" t="str">
        <f t="shared" si="250"/>
        <v>1.34466452000555i</v>
      </c>
      <c r="AH451" s="98">
        <f t="shared" si="264"/>
        <v>1.34466452000555</v>
      </c>
      <c r="AI451" s="98">
        <f t="shared" si="265"/>
        <v>1.5707963267948966</v>
      </c>
      <c r="AJ451" s="98" t="str">
        <f t="shared" si="251"/>
        <v>1+13.4197921958715i</v>
      </c>
      <c r="AK451" s="98">
        <f t="shared" si="266"/>
        <v>13.456999018368606</v>
      </c>
      <c r="AL451" s="98">
        <f t="shared" si="267"/>
        <v>1.4964169914252743</v>
      </c>
      <c r="AM451" s="98" t="str">
        <f t="shared" si="252"/>
        <v>1+13433.2119880674i</v>
      </c>
      <c r="AN451" s="98">
        <f t="shared" si="268"/>
        <v>13433.21202528858</v>
      </c>
      <c r="AO451" s="98">
        <f t="shared" si="269"/>
        <v>1.5707218844352404</v>
      </c>
      <c r="AP451" s="168" t="str">
        <f t="shared" si="270"/>
        <v>-0.000548364512800972+0.00736633760955866i</v>
      </c>
      <c r="AQ451" s="98">
        <f t="shared" si="271"/>
        <v>-42.630967175236989</v>
      </c>
      <c r="AR451" s="169">
        <f t="shared" si="272"/>
        <v>94.257356766642189</v>
      </c>
      <c r="AS451" s="168" t="str">
        <f t="shared" si="273"/>
        <v>-7.70970142274557E-06+0.0000445178657030929i</v>
      </c>
      <c r="AT451" s="190">
        <f t="shared" si="274"/>
        <v>-86.90097448722625</v>
      </c>
      <c r="AU451" s="169">
        <f t="shared" si="275"/>
        <v>99.825156400196789</v>
      </c>
      <c r="AV451" s="225"/>
      <c r="AX451">
        <f t="shared" si="276"/>
        <v>0</v>
      </c>
      <c r="AY451">
        <f t="shared" si="277"/>
        <v>0</v>
      </c>
    </row>
    <row r="452" spans="14:51" x14ac:dyDescent="0.55000000000000004">
      <c r="N452" s="170">
        <v>34</v>
      </c>
      <c r="O452" s="199">
        <f t="shared" si="278"/>
        <v>218776.16239495538</v>
      </c>
      <c r="P452" s="189" t="str">
        <f t="shared" si="244"/>
        <v>1078.86904761905</v>
      </c>
      <c r="Q452" s="160" t="str">
        <f t="shared" si="245"/>
        <v>1+42956.599035035i</v>
      </c>
      <c r="R452" s="160">
        <f t="shared" si="253"/>
        <v>42956.599046674659</v>
      </c>
      <c r="S452" s="160">
        <f t="shared" si="254"/>
        <v>1.5707730474845629</v>
      </c>
      <c r="T452" s="160" t="str">
        <f t="shared" si="246"/>
        <v>1+0.0274922233824224i</v>
      </c>
      <c r="U452" s="160">
        <f t="shared" si="255"/>
        <v>1.0003778397918004</v>
      </c>
      <c r="V452" s="160">
        <f t="shared" si="256"/>
        <v>2.7485300109547361E-2</v>
      </c>
      <c r="W452" s="98" t="str">
        <f t="shared" si="247"/>
        <v>1-19.8834756391032i</v>
      </c>
      <c r="X452" s="160">
        <f t="shared" si="257"/>
        <v>19.908606266909054</v>
      </c>
      <c r="Y452" s="160">
        <f t="shared" si="258"/>
        <v>-1.520545647981715</v>
      </c>
      <c r="Z452" s="98" t="str">
        <f t="shared" si="248"/>
        <v>-85.669097749686+1.57939132633336i</v>
      </c>
      <c r="AA452" s="160">
        <f t="shared" si="259"/>
        <v>85.683655303721451</v>
      </c>
      <c r="AB452" s="160">
        <f t="shared" si="260"/>
        <v>3.1231587904171625</v>
      </c>
      <c r="AC452" s="171" t="str">
        <f t="shared" si="261"/>
        <v>0.00581076595303088+0.000560686147288581i</v>
      </c>
      <c r="AD452" s="190">
        <f t="shared" si="262"/>
        <v>-44.675084433726354</v>
      </c>
      <c r="AE452" s="169">
        <f t="shared" si="263"/>
        <v>5.511459874735773</v>
      </c>
      <c r="AF452" s="98" t="str">
        <f t="shared" si="249"/>
        <v>-9.95024875621891E-06</v>
      </c>
      <c r="AG452" s="98" t="str">
        <f t="shared" si="250"/>
        <v>1.37598578029024i</v>
      </c>
      <c r="AH452" s="98">
        <f t="shared" si="264"/>
        <v>1.37598578029024</v>
      </c>
      <c r="AI452" s="98">
        <f t="shared" si="265"/>
        <v>1.5707963267948966</v>
      </c>
      <c r="AJ452" s="98" t="str">
        <f t="shared" si="251"/>
        <v>1+13.7323793118993i</v>
      </c>
      <c r="AK452" s="98">
        <f t="shared" si="266"/>
        <v>13.76874146630257</v>
      </c>
      <c r="AL452" s="98">
        <f t="shared" si="267"/>
        <v>1.4981040447636855</v>
      </c>
      <c r="AM452" s="98" t="str">
        <f t="shared" si="252"/>
        <v>1+13746.1116912112i</v>
      </c>
      <c r="AN452" s="98">
        <f t="shared" si="268"/>
        <v>13746.111727585121</v>
      </c>
      <c r="AO452" s="98">
        <f t="shared" si="269"/>
        <v>1.5707235789502187</v>
      </c>
      <c r="AP452" s="168" t="str">
        <f t="shared" si="270"/>
        <v>-0.000523814230350405+0.00720044706030519i</v>
      </c>
      <c r="AQ452" s="98">
        <f t="shared" si="271"/>
        <v>-42.829887668223009</v>
      </c>
      <c r="AR452" s="169">
        <f t="shared" si="272"/>
        <v>94.160792819094354</v>
      </c>
      <c r="AS452" s="168" t="str">
        <f t="shared" si="273"/>
        <v>-7.08095281643111E-06+0.0000415464172419126i</v>
      </c>
      <c r="AT452" s="190">
        <f t="shared" si="274"/>
        <v>-87.504972101949363</v>
      </c>
      <c r="AU452" s="169">
        <f t="shared" si="275"/>
        <v>99.672252693830117</v>
      </c>
      <c r="AV452" s="225"/>
      <c r="AX452">
        <f t="shared" si="276"/>
        <v>0</v>
      </c>
      <c r="AY452">
        <f t="shared" si="277"/>
        <v>0</v>
      </c>
    </row>
    <row r="453" spans="14:51" x14ac:dyDescent="0.55000000000000004">
      <c r="N453" s="170">
        <v>35</v>
      </c>
      <c r="O453" s="199">
        <f t="shared" si="278"/>
        <v>223872.11385683404</v>
      </c>
      <c r="P453" s="189" t="str">
        <f t="shared" si="244"/>
        <v>1078.86904761905</v>
      </c>
      <c r="Q453" s="160" t="str">
        <f t="shared" si="245"/>
        <v>1+43957.1867647656i</v>
      </c>
      <c r="R453" s="160">
        <f t="shared" si="253"/>
        <v>43957.186776140305</v>
      </c>
      <c r="S453" s="160">
        <f t="shared" si="254"/>
        <v>1.57077357738636</v>
      </c>
      <c r="T453" s="160" t="str">
        <f t="shared" si="246"/>
        <v>1+0.02813259952945i</v>
      </c>
      <c r="U453" s="160">
        <f t="shared" si="255"/>
        <v>1.0003956433113272</v>
      </c>
      <c r="V453" s="160">
        <f t="shared" si="256"/>
        <v>2.81251812673558E-2</v>
      </c>
      <c r="W453" s="98" t="str">
        <f t="shared" si="247"/>
        <v>1-20.3466212836794i</v>
      </c>
      <c r="X453" s="160">
        <f t="shared" si="257"/>
        <v>20.371180566218435</v>
      </c>
      <c r="Y453" s="160">
        <f t="shared" si="258"/>
        <v>-1.5216876335688698</v>
      </c>
      <c r="Z453" s="98" t="str">
        <f t="shared" si="248"/>
        <v>-89.7536864875109+1.61618007630594i</v>
      </c>
      <c r="AA453" s="160">
        <f t="shared" si="259"/>
        <v>89.768236454424368</v>
      </c>
      <c r="AB453" s="160">
        <f t="shared" si="260"/>
        <v>3.1235877616077872</v>
      </c>
      <c r="AC453" s="171" t="str">
        <f t="shared" si="261"/>
        <v>0.00554664785270161+0.000529986218528303i</v>
      </c>
      <c r="AD453" s="190">
        <f t="shared" si="262"/>
        <v>-45.079917198609834</v>
      </c>
      <c r="AE453" s="169">
        <f t="shared" si="263"/>
        <v>5.4580828101673786</v>
      </c>
      <c r="AF453" s="98" t="str">
        <f t="shared" si="249"/>
        <v>-9.95024875621891E-06</v>
      </c>
      <c r="AG453" s="98" t="str">
        <f t="shared" si="250"/>
        <v>1.40803660644897i</v>
      </c>
      <c r="AH453" s="98">
        <f t="shared" si="264"/>
        <v>1.40803660644897</v>
      </c>
      <c r="AI453" s="98">
        <f t="shared" si="265"/>
        <v>1.5707963267948966</v>
      </c>
      <c r="AJ453" s="98" t="str">
        <f t="shared" si="251"/>
        <v>1+14.0522475172078i</v>
      </c>
      <c r="AK453" s="98">
        <f t="shared" si="266"/>
        <v>14.087784080006079</v>
      </c>
      <c r="AL453" s="98">
        <f t="shared" si="267"/>
        <v>1.4997530967176644</v>
      </c>
      <c r="AM453" s="98" t="str">
        <f t="shared" si="252"/>
        <v>1+14066.299764725i</v>
      </c>
      <c r="AN453" s="98">
        <f t="shared" si="268"/>
        <v>14066.29980027095</v>
      </c>
      <c r="AO453" s="98">
        <f t="shared" si="269"/>
        <v>1.5707252348933276</v>
      </c>
      <c r="AP453" s="168" t="str">
        <f t="shared" si="270"/>
        <v>-0.00050035749536961+0.00703821412633317i</v>
      </c>
      <c r="AQ453" s="98">
        <f t="shared" si="271"/>
        <v>-43.028856496482206</v>
      </c>
      <c r="AR453" s="169">
        <f t="shared" si="272"/>
        <v>94.066403980484807</v>
      </c>
      <c r="AS453" s="168" t="str">
        <f t="shared" si="273"/>
        <v>-0.0000065054633172828+0.0000387733126937968i</v>
      </c>
      <c r="AT453" s="190">
        <f t="shared" si="274"/>
        <v>-88.108773695092026</v>
      </c>
      <c r="AU453" s="169">
        <f t="shared" si="275"/>
        <v>99.524486790652176</v>
      </c>
      <c r="AV453" s="225"/>
      <c r="AX453">
        <f t="shared" si="276"/>
        <v>0</v>
      </c>
      <c r="AY453">
        <f t="shared" si="277"/>
        <v>0</v>
      </c>
    </row>
    <row r="454" spans="14:51" x14ac:dyDescent="0.55000000000000004">
      <c r="N454" s="170">
        <v>36</v>
      </c>
      <c r="O454" s="199">
        <f t="shared" si="278"/>
        <v>229086.76527677779</v>
      </c>
      <c r="P454" s="189" t="str">
        <f t="shared" si="244"/>
        <v>1078.86904761905</v>
      </c>
      <c r="Q454" s="160" t="str">
        <f t="shared" si="245"/>
        <v>1+44981.0811767609i</v>
      </c>
      <c r="R454" s="160">
        <f t="shared" si="253"/>
        <v>44981.081187876684</v>
      </c>
      <c r="S454" s="160">
        <f t="shared" si="254"/>
        <v>1.5707740952261198</v>
      </c>
      <c r="T454" s="160" t="str">
        <f t="shared" si="246"/>
        <v>1+0.028787891953127i</v>
      </c>
      <c r="U454" s="160">
        <f t="shared" si="255"/>
        <v>1.000414285545296</v>
      </c>
      <c r="V454" s="160">
        <f t="shared" si="256"/>
        <v>2.8779943319852775E-2</v>
      </c>
      <c r="W454" s="98" t="str">
        <f t="shared" si="247"/>
        <v>1-20.8205549761796i</v>
      </c>
      <c r="X454" s="160">
        <f t="shared" si="257"/>
        <v>20.844555872364303</v>
      </c>
      <c r="Y454" s="160">
        <f t="shared" si="258"/>
        <v>-1.5228037482736019</v>
      </c>
      <c r="Z454" s="98" t="str">
        <f t="shared" si="248"/>
        <v>-94.0307759619337+1.65382574634764i</v>
      </c>
      <c r="AA454" s="160">
        <f t="shared" si="259"/>
        <v>94.045318690526273</v>
      </c>
      <c r="AB454" s="160">
        <f t="shared" si="260"/>
        <v>3.124006334342031</v>
      </c>
      <c r="AC454" s="171" t="str">
        <f t="shared" si="261"/>
        <v>0.005294647016381+0.000501203554088146i</v>
      </c>
      <c r="AD454" s="190">
        <f t="shared" si="262"/>
        <v>-45.484516164725804</v>
      </c>
      <c r="AE454" s="169">
        <f t="shared" si="263"/>
        <v>5.4076371292030085</v>
      </c>
      <c r="AF454" s="98" t="str">
        <f t="shared" si="249"/>
        <v>-9.95024875621891E-06</v>
      </c>
      <c r="AG454" s="98" t="str">
        <f t="shared" si="250"/>
        <v>1.44083399225401i</v>
      </c>
      <c r="AH454" s="98">
        <f t="shared" si="264"/>
        <v>1.4408339922540101</v>
      </c>
      <c r="AI454" s="98">
        <f t="shared" si="265"/>
        <v>1.5707963267948966</v>
      </c>
      <c r="AJ454" s="98" t="str">
        <f t="shared" si="251"/>
        <v>1+14.3795664101533i</v>
      </c>
      <c r="AK454" s="98">
        <f t="shared" si="266"/>
        <v>14.414296033591411</v>
      </c>
      <c r="AL454" s="98">
        <f t="shared" si="267"/>
        <v>1.5013649857411717</v>
      </c>
      <c r="AM454" s="98" t="str">
        <f t="shared" si="252"/>
        <v>1+14393.9459765635i</v>
      </c>
      <c r="AN454" s="98">
        <f t="shared" si="268"/>
        <v>14393.946011300326</v>
      </c>
      <c r="AO454" s="98">
        <f t="shared" si="269"/>
        <v>1.5707268531425695</v>
      </c>
      <c r="AP454" s="168" t="str">
        <f t="shared" si="270"/>
        <v>-0.000477946085538051+0.00687956337280956i</v>
      </c>
      <c r="AQ454" s="98">
        <f t="shared" si="271"/>
        <v>-43.227871506505593</v>
      </c>
      <c r="AR454" s="169">
        <f t="shared" si="272"/>
        <v>93.974142261246143</v>
      </c>
      <c r="AS454" s="168" t="str">
        <f t="shared" si="273"/>
        <v>-0.0000059786174288118+0.000036185311409116i</v>
      </c>
      <c r="AT454" s="190">
        <f t="shared" si="274"/>
        <v>-88.712387671231397</v>
      </c>
      <c r="AU454" s="169">
        <f t="shared" si="275"/>
        <v>99.38177939044914</v>
      </c>
      <c r="AV454" s="225"/>
      <c r="AX454">
        <f t="shared" si="276"/>
        <v>0</v>
      </c>
      <c r="AY454">
        <f t="shared" si="277"/>
        <v>0</v>
      </c>
    </row>
    <row r="455" spans="14:51" x14ac:dyDescent="0.55000000000000004">
      <c r="N455" s="170">
        <v>37</v>
      </c>
      <c r="O455" s="199">
        <f t="shared" si="278"/>
        <v>234422.88153199267</v>
      </c>
      <c r="P455" s="189" t="str">
        <f t="shared" si="244"/>
        <v>1078.86904761905</v>
      </c>
      <c r="Q455" s="160" t="str">
        <f t="shared" si="245"/>
        <v>1+46028.8251533912i</v>
      </c>
      <c r="R455" s="160">
        <f t="shared" si="253"/>
        <v>46028.825164253954</v>
      </c>
      <c r="S455" s="160">
        <f t="shared" si="254"/>
        <v>1.5707746012784076</v>
      </c>
      <c r="T455" s="160" t="str">
        <f t="shared" si="246"/>
        <v>1+0.0294584480981704i</v>
      </c>
      <c r="U455" s="160">
        <f t="shared" si="255"/>
        <v>1.0004338059883584</v>
      </c>
      <c r="V455" s="160">
        <f t="shared" si="256"/>
        <v>2.9449931183618307E-2</v>
      </c>
      <c r="W455" s="98" t="str">
        <f t="shared" si="247"/>
        <v>1-21.3055280025208i</v>
      </c>
      <c r="X455" s="160">
        <f t="shared" si="257"/>
        <v>21.328983179378191</v>
      </c>
      <c r="Y455" s="160">
        <f t="shared" si="258"/>
        <v>-1.5238945727455209</v>
      </c>
      <c r="Z455" s="98" t="str">
        <f t="shared" si="248"/>
        <v>-98.50943845317+1.69234829669103i</v>
      </c>
      <c r="AA455" s="160">
        <f t="shared" si="259"/>
        <v>98.523974275889856</v>
      </c>
      <c r="AB455" s="160">
        <f t="shared" si="260"/>
        <v>3.1244147885938354</v>
      </c>
      <c r="AC455" s="171" t="str">
        <f t="shared" si="261"/>
        <v>0.00505419757385145+0.000474210844735121i</v>
      </c>
      <c r="AD455" s="190">
        <f t="shared" si="262"/>
        <v>-45.888891366992191</v>
      </c>
      <c r="AE455" s="169">
        <f t="shared" si="263"/>
        <v>5.3600932682783542</v>
      </c>
      <c r="AF455" s="98" t="str">
        <f t="shared" si="249"/>
        <v>-9.95024875621891E-06</v>
      </c>
      <c r="AG455" s="98" t="str">
        <f t="shared" si="250"/>
        <v>1.47439532731343i</v>
      </c>
      <c r="AH455" s="98">
        <f t="shared" si="264"/>
        <v>1.47439532731343</v>
      </c>
      <c r="AI455" s="98">
        <f t="shared" si="265"/>
        <v>1.5707963267948966</v>
      </c>
      <c r="AJ455" s="98" t="str">
        <f t="shared" si="251"/>
        <v>1+14.7145095395457i</v>
      </c>
      <c r="AK455" s="98">
        <f t="shared" si="266"/>
        <v>14.748450460620649</v>
      </c>
      <c r="AL455" s="98">
        <f t="shared" si="267"/>
        <v>1.5029405329563896</v>
      </c>
      <c r="AM455" s="98" t="str">
        <f t="shared" si="252"/>
        <v>1+14729.2240490852i</v>
      </c>
      <c r="AN455" s="98">
        <f t="shared" si="268"/>
        <v>14729.224083031319</v>
      </c>
      <c r="AO455" s="98">
        <f t="shared" si="269"/>
        <v>1.570728434555962</v>
      </c>
      <c r="AP455" s="168" t="str">
        <f t="shared" si="270"/>
        <v>-0.00045653386226106+0.0067244205693386i</v>
      </c>
      <c r="AQ455" s="98">
        <f t="shared" si="271"/>
        <v>-43.426930639791976</v>
      </c>
      <c r="AR455" s="169">
        <f t="shared" si="272"/>
        <v>93.883960663703604</v>
      </c>
      <c r="AS455" s="168" t="str">
        <f t="shared" si="273"/>
        <v>-5.49620549756116E-06+0.0000337700568186349i</v>
      </c>
      <c r="AT455" s="190">
        <f t="shared" si="274"/>
        <v>-89.315822006784188</v>
      </c>
      <c r="AU455" s="169">
        <f t="shared" si="275"/>
        <v>99.244053931981966</v>
      </c>
      <c r="AV455" s="225"/>
      <c r="AX455">
        <f t="shared" si="276"/>
        <v>0</v>
      </c>
      <c r="AY455">
        <f t="shared" si="277"/>
        <v>0</v>
      </c>
    </row>
    <row r="456" spans="14:51" x14ac:dyDescent="0.55000000000000004">
      <c r="N456" s="170">
        <v>38</v>
      </c>
      <c r="O456" s="199">
        <f t="shared" si="278"/>
        <v>239883.29190194907</v>
      </c>
      <c r="P456" s="189" t="str">
        <f t="shared" si="244"/>
        <v>1078.86904761905</v>
      </c>
      <c r="Q456" s="160" t="str">
        <f t="shared" si="245"/>
        <v>1+47100.9742223813i</v>
      </c>
      <c r="R456" s="160">
        <f t="shared" si="253"/>
        <v>47100.974232996792</v>
      </c>
      <c r="S456" s="160">
        <f t="shared" si="254"/>
        <v>1.570775095811539</v>
      </c>
      <c r="T456" s="160" t="str">
        <f t="shared" si="246"/>
        <v>1+0.030144623502324i</v>
      </c>
      <c r="U456" s="160">
        <f t="shared" si="255"/>
        <v>1.0004542459933372</v>
      </c>
      <c r="V456" s="160">
        <f t="shared" si="256"/>
        <v>3.0135497687735859E-2</v>
      </c>
      <c r="W456" s="98" t="str">
        <f t="shared" si="247"/>
        <v>1-21.8017975018208i</v>
      </c>
      <c r="X456" s="160">
        <f t="shared" si="257"/>
        <v>21.824719340930816</v>
      </c>
      <c r="Y456" s="160">
        <f t="shared" si="258"/>
        <v>-1.524960674964537</v>
      </c>
      <c r="Z456" s="98" t="str">
        <f t="shared" si="248"/>
        <v>-103.199173804828+1.7317681525022i</v>
      </c>
      <c r="AA456" s="160">
        <f t="shared" si="259"/>
        <v>103.21370303856519</v>
      </c>
      <c r="AB456" s="160">
        <f t="shared" si="260"/>
        <v>3.1248133949687302</v>
      </c>
      <c r="AC456" s="171" t="str">
        <f t="shared" si="261"/>
        <v>0.00482476096211651+0.000448889523091956i</v>
      </c>
      <c r="AD456" s="190">
        <f t="shared" si="262"/>
        <v>-46.293052340902591</v>
      </c>
      <c r="AE456" s="169">
        <f t="shared" si="263"/>
        <v>5.3154233802309179</v>
      </c>
      <c r="AF456" s="98" t="str">
        <f t="shared" si="249"/>
        <v>-9.95024875621891E-06</v>
      </c>
      <c r="AG456" s="98" t="str">
        <f t="shared" si="250"/>
        <v>1.50873840629131i</v>
      </c>
      <c r="AH456" s="98">
        <f t="shared" si="264"/>
        <v>1.5087384062913101</v>
      </c>
      <c r="AI456" s="98">
        <f t="shared" si="265"/>
        <v>1.5707963267948966</v>
      </c>
      <c r="AJ456" s="98" t="str">
        <f t="shared" si="251"/>
        <v>1+15.0572544966653i</v>
      </c>
      <c r="AK456" s="98">
        <f t="shared" si="266"/>
        <v>15.090424545961168</v>
      </c>
      <c r="AL456" s="98">
        <f t="shared" si="267"/>
        <v>1.5044805424332532</v>
      </c>
      <c r="AM456" s="98" t="str">
        <f t="shared" si="252"/>
        <v>1+15072.311751162i</v>
      </c>
      <c r="AN456" s="98">
        <f t="shared" si="268"/>
        <v>15072.31178433541</v>
      </c>
      <c r="AO456" s="98">
        <f t="shared" si="269"/>
        <v>1.5707299799719909</v>
      </c>
      <c r="AP456" s="168" t="str">
        <f t="shared" si="270"/>
        <v>-0.000436076684388195+0.00657271269574686i</v>
      </c>
      <c r="AQ456" s="98">
        <f t="shared" si="271"/>
        <v>-43.626031928738158</v>
      </c>
      <c r="AR456" s="169">
        <f t="shared" si="272"/>
        <v>93.795813166085225</v>
      </c>
      <c r="AS456" s="168" t="str">
        <f t="shared" si="273"/>
        <v>-5.05438763073962E-06+0.0000315160173747605i</v>
      </c>
      <c r="AT456" s="190">
        <f t="shared" si="274"/>
        <v>-89.919084269640734</v>
      </c>
      <c r="AU456" s="169">
        <f t="shared" si="275"/>
        <v>99.111236546316135</v>
      </c>
      <c r="AV456" s="225"/>
      <c r="AX456">
        <f t="shared" si="276"/>
        <v>0</v>
      </c>
      <c r="AY456">
        <f t="shared" si="277"/>
        <v>0</v>
      </c>
    </row>
    <row r="457" spans="14:51" x14ac:dyDescent="0.55000000000000004">
      <c r="N457" s="170">
        <v>39</v>
      </c>
      <c r="O457" s="199">
        <f t="shared" si="278"/>
        <v>245470.89156850305</v>
      </c>
      <c r="P457" s="189" t="str">
        <f t="shared" si="244"/>
        <v>1078.86904761905</v>
      </c>
      <c r="Q457" s="160" t="str">
        <f t="shared" si="245"/>
        <v>1+48198.0968513591i</v>
      </c>
      <c r="R457" s="160">
        <f t="shared" si="253"/>
        <v>48198.096861732949</v>
      </c>
      <c r="S457" s="160">
        <f t="shared" si="254"/>
        <v>1.5707755790877218</v>
      </c>
      <c r="T457" s="160" t="str">
        <f t="shared" si="246"/>
        <v>1+0.0308467819848698i</v>
      </c>
      <c r="U457" s="160">
        <f t="shared" si="255"/>
        <v>1.0004756488584927</v>
      </c>
      <c r="V457" s="160">
        <f t="shared" si="256"/>
        <v>3.083700374942781E-2</v>
      </c>
      <c r="W457" s="98" t="str">
        <f t="shared" si="247"/>
        <v>1-22.3096266027372i</v>
      </c>
      <c r="X457" s="160">
        <f t="shared" si="257"/>
        <v>22.332027206538132</v>
      </c>
      <c r="Y457" s="160">
        <f t="shared" si="258"/>
        <v>-1.5260026104930129</v>
      </c>
      <c r="Z457" s="98" t="str">
        <f t="shared" si="248"/>
        <v>-108.109929574352+1.77210621471048i</v>
      </c>
      <c r="AA457" s="160">
        <f t="shared" si="259"/>
        <v>108.12445252119227</v>
      </c>
      <c r="AB457" s="160">
        <f t="shared" si="260"/>
        <v>3.1252024151289084</v>
      </c>
      <c r="AC457" s="171" t="str">
        <f t="shared" si="261"/>
        <v>0.00460582453002435+0.000425129145613473i</v>
      </c>
      <c r="AD457" s="190">
        <f t="shared" si="262"/>
        <v>-46.697008144989894</v>
      </c>
      <c r="AE457" s="169">
        <f t="shared" si="263"/>
        <v>5.2736013055529858</v>
      </c>
      <c r="AF457" s="98" t="str">
        <f t="shared" si="249"/>
        <v>-9.95024875621891E-06</v>
      </c>
      <c r="AG457" s="98" t="str">
        <f t="shared" si="250"/>
        <v>1.54388143834274i</v>
      </c>
      <c r="AH457" s="98">
        <f t="shared" si="264"/>
        <v>1.5438814383427399</v>
      </c>
      <c r="AI457" s="98">
        <f t="shared" si="265"/>
        <v>1.5707963267948966</v>
      </c>
      <c r="AJ457" s="98" t="str">
        <f t="shared" si="251"/>
        <v>1+15.4079830094255i</v>
      </c>
      <c r="AK457" s="98">
        <f t="shared" si="266"/>
        <v>15.440399619787852</v>
      </c>
      <c r="AL457" s="98">
        <f t="shared" si="267"/>
        <v>1.5059858014700827</v>
      </c>
      <c r="AM457" s="98" t="str">
        <f t="shared" si="252"/>
        <v>1+15423.3909924349i</v>
      </c>
      <c r="AN457" s="98">
        <f t="shared" si="268"/>
        <v>15423.391024853192</v>
      </c>
      <c r="AO457" s="98">
        <f t="shared" si="269"/>
        <v>1.5707314902100569</v>
      </c>
      <c r="AP457" s="168" t="str">
        <f t="shared" si="270"/>
        <v>-0.000416532325170226+0.00642436794562845i</v>
      </c>
      <c r="AQ457" s="98">
        <f t="shared" si="271"/>
        <v>-43.825173492701246</v>
      </c>
      <c r="AR457" s="169">
        <f t="shared" si="272"/>
        <v>93.709654706468214</v>
      </c>
      <c r="AS457" s="168" t="str">
        <f t="shared" si="273"/>
        <v>-4.64966085664871E-06+0.0000294124314423576i</v>
      </c>
      <c r="AT457" s="190">
        <f t="shared" si="274"/>
        <v>-90.522181637691148</v>
      </c>
      <c r="AU457" s="169">
        <f t="shared" si="275"/>
        <v>98.983256012021215</v>
      </c>
      <c r="AV457" s="225"/>
      <c r="AX457">
        <f t="shared" si="276"/>
        <v>0</v>
      </c>
      <c r="AY457">
        <f t="shared" si="277"/>
        <v>0</v>
      </c>
    </row>
    <row r="458" spans="14:51" x14ac:dyDescent="0.55000000000000004">
      <c r="N458" s="170">
        <v>40</v>
      </c>
      <c r="O458" s="199">
        <f t="shared" si="278"/>
        <v>251188.64315095844</v>
      </c>
      <c r="P458" s="189" t="str">
        <f t="shared" si="244"/>
        <v>1078.86904761905</v>
      </c>
      <c r="Q458" s="160" t="str">
        <f t="shared" si="245"/>
        <v>1+49320.774749265i</v>
      </c>
      <c r="R458" s="160">
        <f t="shared" si="253"/>
        <v>49320.774759402724</v>
      </c>
      <c r="S458" s="160">
        <f t="shared" si="254"/>
        <v>1.5707760513631956</v>
      </c>
      <c r="T458" s="160" t="str">
        <f t="shared" si="246"/>
        <v>1+0.0315652958395296i</v>
      </c>
      <c r="U458" s="160">
        <f t="shared" si="255"/>
        <v>1.0004980599188771</v>
      </c>
      <c r="V458" s="160">
        <f t="shared" si="256"/>
        <v>3.1554818553164533E-2</v>
      </c>
      <c r="W458" s="98" t="str">
        <f t="shared" si="247"/>
        <v>1-22.8292845629814i</v>
      </c>
      <c r="X458" s="160">
        <f t="shared" si="257"/>
        <v>22.851175760944574</v>
      </c>
      <c r="Y458" s="160">
        <f t="shared" si="258"/>
        <v>-1.5270209227245595</v>
      </c>
      <c r="Z458" s="98" t="str">
        <f t="shared" si="248"/>
        <v>-113.252122133128+1.81338387109042i</v>
      </c>
      <c r="AA458" s="160">
        <f t="shared" si="259"/>
        <v>113.26663908106779</v>
      </c>
      <c r="AB458" s="160">
        <f t="shared" si="260"/>
        <v>3.1255821021931469</v>
      </c>
      <c r="AC458" s="171" t="str">
        <f t="shared" si="261"/>
        <v>0.00439690022092766+0.000402826819865073i</v>
      </c>
      <c r="AD458" s="190">
        <f t="shared" si="262"/>
        <v>-47.100767382077649</v>
      </c>
      <c r="AE458" s="169">
        <f t="shared" si="263"/>
        <v>5.2346025454769221</v>
      </c>
      <c r="AF458" s="98" t="str">
        <f t="shared" si="249"/>
        <v>-9.95024875621891E-06</v>
      </c>
      <c r="AG458" s="98" t="str">
        <f t="shared" si="250"/>
        <v>1.57984305676845i</v>
      </c>
      <c r="AH458" s="98">
        <f t="shared" si="264"/>
        <v>1.57984305676845</v>
      </c>
      <c r="AI458" s="98">
        <f t="shared" si="265"/>
        <v>1.5707963267948966</v>
      </c>
      <c r="AJ458" s="98" t="str">
        <f t="shared" si="251"/>
        <v>1+15.7668810387261i</v>
      </c>
      <c r="AK458" s="98">
        <f t="shared" si="266"/>
        <v>15.798561253776896</v>
      </c>
      <c r="AL458" s="98">
        <f t="shared" si="267"/>
        <v>1.507457080874792</v>
      </c>
      <c r="AM458" s="98" t="str">
        <f t="shared" si="252"/>
        <v>1+15782.6479197648i</v>
      </c>
      <c r="AN458" s="98">
        <f t="shared" si="268"/>
        <v>15782.64795144516</v>
      </c>
      <c r="AO458" s="98">
        <f t="shared" si="269"/>
        <v>1.5707329660709075</v>
      </c>
      <c r="AP458" s="168" t="str">
        <f t="shared" si="270"/>
        <v>-0.000397860392364089+0.00627931572783318i</v>
      </c>
      <c r="AQ458" s="98">
        <f t="shared" si="271"/>
        <v>-44.024353534222776</v>
      </c>
      <c r="AR458" s="169">
        <f t="shared" si="272"/>
        <v>93.625441166691729</v>
      </c>
      <c r="AS458" s="168" t="str">
        <f t="shared" si="273"/>
        <v>-0.0000042788292326558+0.0000274492558743779i</v>
      </c>
      <c r="AT458" s="190">
        <f t="shared" si="274"/>
        <v>-91.125120916300432</v>
      </c>
      <c r="AU458" s="169">
        <f t="shared" si="275"/>
        <v>98.860043712168661</v>
      </c>
      <c r="AV458" s="225"/>
      <c r="AX458">
        <f t="shared" si="276"/>
        <v>0</v>
      </c>
      <c r="AY458">
        <f t="shared" si="277"/>
        <v>0</v>
      </c>
    </row>
    <row r="459" spans="14:51" x14ac:dyDescent="0.55000000000000004">
      <c r="N459" s="170">
        <v>41</v>
      </c>
      <c r="O459" s="199">
        <f t="shared" si="278"/>
        <v>257039.57827688678</v>
      </c>
      <c r="P459" s="189" t="str">
        <f t="shared" si="244"/>
        <v>1078.86904761905</v>
      </c>
      <c r="Q459" s="160" t="str">
        <f t="shared" si="245"/>
        <v>1+50469.6031747803i</v>
      </c>
      <c r="R459" s="160">
        <f t="shared" si="253"/>
        <v>50469.60318468725</v>
      </c>
      <c r="S459" s="160">
        <f t="shared" si="254"/>
        <v>1.5707765128883675</v>
      </c>
      <c r="T459" s="160" t="str">
        <f t="shared" si="246"/>
        <v>1+0.0323005460318594i</v>
      </c>
      <c r="U459" s="160">
        <f t="shared" si="255"/>
        <v>1.0005215266419589</v>
      </c>
      <c r="V459" s="160">
        <f t="shared" si="256"/>
        <v>3.2289319733284645E-2</v>
      </c>
      <c r="W459" s="98" t="str">
        <f t="shared" si="247"/>
        <v>1-23.361046912082i</v>
      </c>
      <c r="X459" s="160">
        <f t="shared" si="257"/>
        <v>23.382440266757783</v>
      </c>
      <c r="Y459" s="160">
        <f t="shared" si="258"/>
        <v>-1.5280161431293999</v>
      </c>
      <c r="Z459" s="98" t="str">
        <f t="shared" si="248"/>
        <v>-118.636658760996+1.85562300760176i</v>
      </c>
      <c r="AA459" s="160">
        <f t="shared" si="259"/>
        <v>118.65116998462067</v>
      </c>
      <c r="AB459" s="160">
        <f t="shared" si="260"/>
        <v>3.1259527011133441</v>
      </c>
      <c r="AC459" s="171" t="str">
        <f t="shared" si="261"/>
        <v>0.00419752332844902+0.000381886673614876i</v>
      </c>
      <c r="AD459" s="190">
        <f t="shared" si="262"/>
        <v>-47.50433821938141</v>
      </c>
      <c r="AE459" s="169">
        <f t="shared" si="263"/>
        <v>5.1984042367986651</v>
      </c>
      <c r="AF459" s="98" t="str">
        <f t="shared" si="249"/>
        <v>-9.95024875621891E-06</v>
      </c>
      <c r="AG459" s="98" t="str">
        <f t="shared" si="250"/>
        <v>1.61664232889457i</v>
      </c>
      <c r="AH459" s="98">
        <f t="shared" si="264"/>
        <v>1.6166423288945699</v>
      </c>
      <c r="AI459" s="98">
        <f t="shared" si="265"/>
        <v>1.5707963267948966</v>
      </c>
      <c r="AJ459" s="98" t="str">
        <f t="shared" si="251"/>
        <v>1+16.1341388770526i</v>
      </c>
      <c r="AK459" s="98">
        <f t="shared" si="266"/>
        <v>16.165099359546794</v>
      </c>
      <c r="AL459" s="98">
        <f t="shared" si="267"/>
        <v>1.5088951352462407</v>
      </c>
      <c r="AM459" s="98" t="str">
        <f t="shared" si="252"/>
        <v>1+16150.2730159297i</v>
      </c>
      <c r="AN459" s="98">
        <f t="shared" si="268"/>
        <v>16150.273046888929</v>
      </c>
      <c r="AO459" s="98">
        <f t="shared" si="269"/>
        <v>1.570734408337064</v>
      </c>
      <c r="AP459" s="168" t="str">
        <f t="shared" si="270"/>
        <v>-0.000380022251393961+0.00613748666606289i</v>
      </c>
      <c r="AQ459" s="98">
        <f t="shared" si="271"/>
        <v>-44.223570335412667</v>
      </c>
      <c r="AR459" s="169">
        <f t="shared" si="272"/>
        <v>93.543129356261076</v>
      </c>
      <c r="AS459" s="168" t="str">
        <f t="shared" si="273"/>
        <v>-3.93897663281428E-06+0.0000256171180253593i</v>
      </c>
      <c r="AT459" s="190">
        <f t="shared" si="274"/>
        <v>-91.72790855479407</v>
      </c>
      <c r="AU459" s="169">
        <f t="shared" si="275"/>
        <v>98.741533593059742</v>
      </c>
      <c r="AV459" s="225"/>
      <c r="AX459">
        <f t="shared" si="276"/>
        <v>0</v>
      </c>
      <c r="AY459">
        <f t="shared" si="277"/>
        <v>0</v>
      </c>
    </row>
    <row r="460" spans="14:51" x14ac:dyDescent="0.55000000000000004">
      <c r="N460" s="170">
        <v>42</v>
      </c>
      <c r="O460" s="199">
        <f t="shared" si="278"/>
        <v>263026.79918953858</v>
      </c>
      <c r="P460" s="189" t="str">
        <f t="shared" si="244"/>
        <v>1078.86904761905</v>
      </c>
      <c r="Q460" s="160" t="str">
        <f t="shared" si="245"/>
        <v>1+51645.1912519431i</v>
      </c>
      <c r="R460" s="160">
        <f t="shared" si="253"/>
        <v>51645.191261624546</v>
      </c>
      <c r="S460" s="160">
        <f t="shared" si="254"/>
        <v>1.5707769639079436</v>
      </c>
      <c r="T460" s="160" t="str">
        <f t="shared" si="246"/>
        <v>1+0.0330529224012436i</v>
      </c>
      <c r="U460" s="160">
        <f t="shared" si="255"/>
        <v>1.000546098727721</v>
      </c>
      <c r="V460" s="160">
        <f t="shared" si="256"/>
        <v>3.3040893560163695E-2</v>
      </c>
      <c r="W460" s="98" t="str">
        <f t="shared" si="247"/>
        <v>1-23.9051955974754i</v>
      </c>
      <c r="X460" s="160">
        <f t="shared" si="257"/>
        <v>23.926102410412721</v>
      </c>
      <c r="Y460" s="160">
        <f t="shared" si="258"/>
        <v>-1.5289887914962381</v>
      </c>
      <c r="Z460" s="98" t="str">
        <f t="shared" si="248"/>
        <v>-124.274960782062+1.89884601999383i</v>
      </c>
      <c r="AA460" s="160">
        <f t="shared" si="259"/>
        <v>124.28946654318977</v>
      </c>
      <c r="AB460" s="160">
        <f t="shared" si="260"/>
        <v>3.1263144490292798</v>
      </c>
      <c r="AC460" s="171" t="str">
        <f t="shared" si="261"/>
        <v>0.00400725132077639+0.000362219362537524i</v>
      </c>
      <c r="AD460" s="190">
        <f t="shared" si="262"/>
        <v>-47.907728407522008</v>
      </c>
      <c r="AE460" s="169">
        <f t="shared" si="263"/>
        <v>5.164985128352237</v>
      </c>
      <c r="AF460" s="98" t="str">
        <f t="shared" si="249"/>
        <v>-9.95024875621891E-06</v>
      </c>
      <c r="AG460" s="98" t="str">
        <f t="shared" si="250"/>
        <v>1.65429876618225i</v>
      </c>
      <c r="AH460" s="98">
        <f t="shared" si="264"/>
        <v>1.6542987661822499</v>
      </c>
      <c r="AI460" s="98">
        <f t="shared" si="265"/>
        <v>1.5707963267948966</v>
      </c>
      <c r="AJ460" s="98" t="str">
        <f t="shared" si="251"/>
        <v>1+16.5099512493724i</v>
      </c>
      <c r="AK460" s="98">
        <f t="shared" si="266"/>
        <v>16.540208289397484</v>
      </c>
      <c r="AL460" s="98">
        <f t="shared" si="267"/>
        <v>1.5103007032552949</v>
      </c>
      <c r="AM460" s="98" t="str">
        <f t="shared" si="252"/>
        <v>1+16526.4612006218i</v>
      </c>
      <c r="AN460" s="98">
        <f t="shared" si="268"/>
        <v>16526.46123087631</v>
      </c>
      <c r="AO460" s="98">
        <f t="shared" si="269"/>
        <v>1.5707358177732349</v>
      </c>
      <c r="AP460" s="168" t="str">
        <f t="shared" si="270"/>
        <v>-0.000362980951477046+0.00599881259673608i</v>
      </c>
      <c r="AQ460" s="98">
        <f t="shared" si="271"/>
        <v>-44.422822254483961</v>
      </c>
      <c r="AR460" s="169">
        <f t="shared" si="272"/>
        <v>93.462676996267774</v>
      </c>
      <c r="AS460" s="168" t="str">
        <f t="shared" si="273"/>
        <v>-3.62744197199488E-06+0.0000239072709725034i</v>
      </c>
      <c r="AT460" s="190">
        <f t="shared" si="274"/>
        <v>-92.33055066200599</v>
      </c>
      <c r="AU460" s="169">
        <f t="shared" si="275"/>
        <v>98.627662124620031</v>
      </c>
      <c r="AV460" s="225"/>
      <c r="AX460">
        <f t="shared" si="276"/>
        <v>0</v>
      </c>
      <c r="AY460">
        <f t="shared" si="277"/>
        <v>0</v>
      </c>
    </row>
    <row r="461" spans="14:51" x14ac:dyDescent="0.55000000000000004">
      <c r="N461" s="170">
        <v>43</v>
      </c>
      <c r="O461" s="199">
        <f t="shared" si="278"/>
        <v>269153.48039269145</v>
      </c>
      <c r="P461" s="189" t="str">
        <f t="shared" si="244"/>
        <v>1078.86904761905</v>
      </c>
      <c r="Q461" s="160" t="str">
        <f t="shared" si="245"/>
        <v>1+52848.1622931128i</v>
      </c>
      <c r="R461" s="160">
        <f t="shared" si="253"/>
        <v>52848.162302573859</v>
      </c>
      <c r="S461" s="160">
        <f t="shared" si="254"/>
        <v>1.570777404661061</v>
      </c>
      <c r="T461" s="160" t="str">
        <f t="shared" si="246"/>
        <v>1+0.0338228238675922i</v>
      </c>
      <c r="U461" s="160">
        <f t="shared" si="255"/>
        <v>1.0005718282134364</v>
      </c>
      <c r="V461" s="160">
        <f t="shared" si="256"/>
        <v>3.3809935129960181E-2</v>
      </c>
      <c r="W461" s="98" t="str">
        <f t="shared" si="247"/>
        <v>1-24.4620191339974i</v>
      </c>
      <c r="X461" s="160">
        <f t="shared" si="257"/>
        <v>24.482450451538856</v>
      </c>
      <c r="Y461" s="160">
        <f t="shared" si="258"/>
        <v>-1.5299393761705666</v>
      </c>
      <c r="Z461" s="98" t="str">
        <f t="shared" si="248"/>
        <v>-130.178987790855+1.94307582567989i</v>
      </c>
      <c r="AA461" s="160">
        <f t="shared" si="259"/>
        <v>130.19348833914819</v>
      </c>
      <c r="AB461" s="160">
        <f t="shared" si="260"/>
        <v>3.1266675756031086</v>
      </c>
      <c r="AC461" s="171" t="str">
        <f t="shared" si="261"/>
        <v>0.00382566272924365+0.000343741613589056i</v>
      </c>
      <c r="AD461" s="190">
        <f t="shared" si="262"/>
        <v>-48.310945298503924</v>
      </c>
      <c r="AE461" s="169">
        <f t="shared" si="263"/>
        <v>5.1343255590551129</v>
      </c>
      <c r="AF461" s="98" t="str">
        <f t="shared" si="249"/>
        <v>-9.95024875621891E-06</v>
      </c>
      <c r="AG461" s="98" t="str">
        <f t="shared" si="250"/>
        <v>1.69283233457299i</v>
      </c>
      <c r="AH461" s="98">
        <f t="shared" si="264"/>
        <v>1.6928323345729901</v>
      </c>
      <c r="AI461" s="98">
        <f t="shared" si="265"/>
        <v>1.5707963267948966</v>
      </c>
      <c r="AJ461" s="98" t="str">
        <f t="shared" si="251"/>
        <v>1+16.8945174163797i</v>
      </c>
      <c r="AK461" s="98">
        <f t="shared" si="266"/>
        <v>16.924086939399626</v>
      </c>
      <c r="AL461" s="98">
        <f t="shared" si="267"/>
        <v>1.5116745079252121</v>
      </c>
      <c r="AM461" s="98" t="str">
        <f t="shared" si="252"/>
        <v>1+16911.4119337961i</v>
      </c>
      <c r="AN461" s="98">
        <f t="shared" si="268"/>
        <v>16911.411963361934</v>
      </c>
      <c r="AO461" s="98">
        <f t="shared" si="269"/>
        <v>1.5707371951267219</v>
      </c>
      <c r="AP461" s="168" t="str">
        <f t="shared" si="270"/>
        <v>-0.000346701154622784+0.0058632265652673i</v>
      </c>
      <c r="AQ461" s="98">
        <f t="shared" si="271"/>
        <v>-44.622107722433341</v>
      </c>
      <c r="AR461" s="169">
        <f t="shared" si="272"/>
        <v>93.384042703347859</v>
      </c>
      <c r="AS461" s="168" t="str">
        <f t="shared" si="273"/>
        <v>-3.34179664580933E-06+0.0000223115517295311i</v>
      </c>
      <c r="AT461" s="190">
        <f t="shared" si="274"/>
        <v>-92.93305302093728</v>
      </c>
      <c r="AU461" s="169">
        <f t="shared" si="275"/>
        <v>98.518368262403001</v>
      </c>
      <c r="AV461" s="225"/>
      <c r="AX461">
        <f t="shared" si="276"/>
        <v>0</v>
      </c>
      <c r="AY461">
        <f t="shared" si="277"/>
        <v>0</v>
      </c>
    </row>
    <row r="462" spans="14:51" x14ac:dyDescent="0.55000000000000004">
      <c r="N462" s="170">
        <v>44</v>
      </c>
      <c r="O462" s="199">
        <f t="shared" si="278"/>
        <v>275422.87033381703</v>
      </c>
      <c r="P462" s="189" t="str">
        <f t="shared" si="244"/>
        <v>1078.86904761905</v>
      </c>
      <c r="Q462" s="160" t="str">
        <f t="shared" si="245"/>
        <v>1+54079.1541294584i</v>
      </c>
      <c r="R462" s="160">
        <f t="shared" si="253"/>
        <v>54079.154138704114</v>
      </c>
      <c r="S462" s="160">
        <f t="shared" si="254"/>
        <v>1.5707778353814124</v>
      </c>
      <c r="T462" s="160" t="str">
        <f t="shared" si="246"/>
        <v>1+0.0346106586428534i</v>
      </c>
      <c r="U462" s="160">
        <f t="shared" si="255"/>
        <v>1.0005987695833392</v>
      </c>
      <c r="V462" s="160">
        <f t="shared" si="256"/>
        <v>3.4596848557971231E-2</v>
      </c>
      <c r="W462" s="98" t="str">
        <f t="shared" si="247"/>
        <v>1-25.0318127568573i</v>
      </c>
      <c r="X462" s="160">
        <f t="shared" si="257"/>
        <v>25.051779375812085</v>
      </c>
      <c r="Y462" s="160">
        <f t="shared" si="258"/>
        <v>-1.5308683942893735</v>
      </c>
      <c r="Z462" s="98" t="str">
        <f t="shared" si="248"/>
        <v>-136.361263020225+1.98833587588838i</v>
      </c>
      <c r="AA462" s="160">
        <f t="shared" si="259"/>
        <v>136.37575859377037</v>
      </c>
      <c r="AB462" s="160">
        <f t="shared" si="260"/>
        <v>3.1270123033349475</v>
      </c>
      <c r="AC462" s="171" t="str">
        <f t="shared" si="261"/>
        <v>0.00365235609725057+0.000326375801350219i</v>
      </c>
      <c r="AD462" s="190">
        <f t="shared" si="262"/>
        <v>-48.713995862711634</v>
      </c>
      <c r="AE462" s="169">
        <f t="shared" si="263"/>
        <v>5.106407437449735</v>
      </c>
      <c r="AF462" s="98" t="str">
        <f t="shared" si="249"/>
        <v>-9.95024875621891E-06</v>
      </c>
      <c r="AG462" s="98" t="str">
        <f t="shared" si="250"/>
        <v>1.73226346507481i</v>
      </c>
      <c r="AH462" s="98">
        <f t="shared" si="264"/>
        <v>1.7322634650748101</v>
      </c>
      <c r="AI462" s="98">
        <f t="shared" si="265"/>
        <v>1.5707963267948966</v>
      </c>
      <c r="AJ462" s="98" t="str">
        <f t="shared" si="251"/>
        <v>1+17.2880412801466i</v>
      </c>
      <c r="AK462" s="98">
        <f t="shared" si="266"/>
        <v>17.316938854891557</v>
      </c>
      <c r="AL462" s="98">
        <f t="shared" si="267"/>
        <v>1.5130172569110081</v>
      </c>
      <c r="AM462" s="98" t="str">
        <f t="shared" si="252"/>
        <v>1+17305.3293214267i</v>
      </c>
      <c r="AN462" s="98">
        <f t="shared" si="268"/>
        <v>17305.329350319531</v>
      </c>
      <c r="AO462" s="98">
        <f t="shared" si="269"/>
        <v>1.5707385411278161</v>
      </c>
      <c r="AP462" s="168" t="str">
        <f t="shared" si="270"/>
        <v>-0.00033114906741461+0.00573066282089863i</v>
      </c>
      <c r="AQ462" s="98">
        <f t="shared" si="271"/>
        <v>-44.821425239862492</v>
      </c>
      <c r="AR462" s="169">
        <f t="shared" si="272"/>
        <v>93.307185973698196</v>
      </c>
      <c r="AS462" s="168" t="str">
        <f t="shared" si="273"/>
        <v>-3.07982398590929E-06+0.0000208223422529524i</v>
      </c>
      <c r="AT462" s="190">
        <f t="shared" si="274"/>
        <v>-93.535421102574148</v>
      </c>
      <c r="AU462" s="169">
        <f t="shared" si="275"/>
        <v>98.413593411147943</v>
      </c>
      <c r="AV462" s="225"/>
      <c r="AX462">
        <f t="shared" si="276"/>
        <v>0</v>
      </c>
      <c r="AY462">
        <f t="shared" si="277"/>
        <v>0</v>
      </c>
    </row>
    <row r="463" spans="14:51" x14ac:dyDescent="0.55000000000000004">
      <c r="N463" s="170">
        <v>45</v>
      </c>
      <c r="O463" s="199">
        <f t="shared" si="278"/>
        <v>281838.29312644573</v>
      </c>
      <c r="P463" s="189" t="str">
        <f t="shared" si="244"/>
        <v>1078.86904761905</v>
      </c>
      <c r="Q463" s="160" t="str">
        <f t="shared" si="245"/>
        <v>1+55338.8194491456i</v>
      </c>
      <c r="R463" s="160">
        <f t="shared" si="253"/>
        <v>55338.819458180849</v>
      </c>
      <c r="S463" s="160">
        <f t="shared" si="254"/>
        <v>1.5707782562973716</v>
      </c>
      <c r="T463" s="160" t="str">
        <f t="shared" si="246"/>
        <v>1+0.0354168444474532i</v>
      </c>
      <c r="U463" s="160">
        <f t="shared" si="255"/>
        <v>1.0006269798834204</v>
      </c>
      <c r="V463" s="160">
        <f t="shared" si="256"/>
        <v>3.5402047175624382E-2</v>
      </c>
      <c r="W463" s="98" t="str">
        <f t="shared" si="247"/>
        <v>1-25.6148785781761i</v>
      </c>
      <c r="X463" s="160">
        <f t="shared" si="257"/>
        <v>25.634391051372862</v>
      </c>
      <c r="Y463" s="160">
        <f t="shared" si="258"/>
        <v>-1.5317763320122091</v>
      </c>
      <c r="Z463" s="98" t="str">
        <f t="shared" si="248"/>
        <v>-142.834899904806+2.03465016809699i</v>
      </c>
      <c r="AA463" s="160">
        <f t="shared" si="259"/>
        <v>142.84939073066599</v>
      </c>
      <c r="AB463" s="160">
        <f t="shared" si="260"/>
        <v>3.1273488478608527</v>
      </c>
      <c r="AC463" s="171" t="str">
        <f t="shared" si="261"/>
        <v>0.00348694898585369+0.000310049554852909i</v>
      </c>
      <c r="AD463" s="190">
        <f t="shared" si="262"/>
        <v>-49.116886704973616</v>
      </c>
      <c r="AE463" s="169">
        <f t="shared" si="263"/>
        <v>5.0812142226712158</v>
      </c>
      <c r="AF463" s="98" t="str">
        <f t="shared" si="249"/>
        <v>-9.95024875621891E-06</v>
      </c>
      <c r="AG463" s="98" t="str">
        <f t="shared" si="250"/>
        <v>1.77261306459503i</v>
      </c>
      <c r="AH463" s="98">
        <f t="shared" si="264"/>
        <v>1.77261306459503</v>
      </c>
      <c r="AI463" s="98">
        <f t="shared" si="265"/>
        <v>1.5707963267948966</v>
      </c>
      <c r="AJ463" s="98" t="str">
        <f t="shared" si="251"/>
        <v>1+17.6907314922344i</v>
      </c>
      <c r="AK463" s="98">
        <f t="shared" si="266"/>
        <v>17.718972338438082</v>
      </c>
      <c r="AL463" s="98">
        <f t="shared" si="267"/>
        <v>1.5143296427774748</v>
      </c>
      <c r="AM463" s="98" t="str">
        <f t="shared" si="252"/>
        <v>1+17708.4222237266i</v>
      </c>
      <c r="AN463" s="98">
        <f t="shared" si="268"/>
        <v>17708.422251961754</v>
      </c>
      <c r="AO463" s="98">
        <f t="shared" si="269"/>
        <v>1.5707398564901849</v>
      </c>
      <c r="AP463" s="168" t="str">
        <f t="shared" si="270"/>
        <v>-0.000316292375484496+0.00560105681021289i</v>
      </c>
      <c r="AQ463" s="98">
        <f t="shared" si="271"/>
        <v>-45.020773373933324</v>
      </c>
      <c r="AR463" s="169">
        <f t="shared" si="272"/>
        <v>93.232067167169305</v>
      </c>
      <c r="AS463" s="168" t="str">
        <f t="shared" si="273"/>
        <v>-2.83950054864128E-06+0.0000194325330538584i</v>
      </c>
      <c r="AT463" s="190">
        <f t="shared" si="274"/>
        <v>-94.137660078906947</v>
      </c>
      <c r="AU463" s="169">
        <f t="shared" si="275"/>
        <v>98.313281389840526</v>
      </c>
      <c r="AV463" s="225"/>
      <c r="AX463">
        <f t="shared" si="276"/>
        <v>0</v>
      </c>
      <c r="AY463">
        <f t="shared" si="277"/>
        <v>0</v>
      </c>
    </row>
    <row r="464" spans="14:51" x14ac:dyDescent="0.55000000000000004">
      <c r="N464" s="170">
        <v>46</v>
      </c>
      <c r="O464" s="199">
        <f t="shared" si="278"/>
        <v>288403.1503126609</v>
      </c>
      <c r="P464" s="189" t="str">
        <f t="shared" si="244"/>
        <v>1078.86904761905</v>
      </c>
      <c r="Q464" s="160" t="str">
        <f t="shared" si="245"/>
        <v>1+56627.8261434006i</v>
      </c>
      <c r="R464" s="160">
        <f t="shared" si="253"/>
        <v>56627.826152230184</v>
      </c>
      <c r="S464" s="160">
        <f t="shared" si="254"/>
        <v>1.5707786676321138</v>
      </c>
      <c r="T464" s="160" t="str">
        <f t="shared" si="246"/>
        <v>1+0.0362418087317764i</v>
      </c>
      <c r="U464" s="160">
        <f t="shared" si="255"/>
        <v>1.0006565188415806</v>
      </c>
      <c r="V464" s="160">
        <f t="shared" si="256"/>
        <v>3.622595373112826E-2</v>
      </c>
      <c r="W464" s="98" t="str">
        <f t="shared" si="247"/>
        <v>1-26.21152574717i</v>
      </c>
      <c r="X464" s="160">
        <f t="shared" si="257"/>
        <v>26.230594388891681</v>
      </c>
      <c r="Y464" s="160">
        <f t="shared" si="258"/>
        <v>-1.5326636647485823</v>
      </c>
      <c r="Z464" s="98" t="str">
        <f t="shared" si="248"/>
        <v>-149.613629896366+2.08204325875651i</v>
      </c>
      <c r="AA464" s="160">
        <f t="shared" si="259"/>
        <v>149.62811619110263</v>
      </c>
      <c r="AB464" s="160">
        <f t="shared" si="260"/>
        <v>3.1276774182343523</v>
      </c>
      <c r="AC464" s="171" t="str">
        <f t="shared" si="261"/>
        <v>0.00332907703261549+0.000294695392603159i</v>
      </c>
      <c r="AD464" s="190">
        <f t="shared" si="262"/>
        <v>-49.519624079737824</v>
      </c>
      <c r="AE464" s="169">
        <f t="shared" si="263"/>
        <v>5.0587309067775283</v>
      </c>
      <c r="AF464" s="98" t="str">
        <f t="shared" si="249"/>
        <v>-9.95024875621891E-06</v>
      </c>
      <c r="AG464" s="98" t="str">
        <f t="shared" si="250"/>
        <v>1.81390252702541i</v>
      </c>
      <c r="AH464" s="98">
        <f t="shared" si="264"/>
        <v>1.8139025270254101</v>
      </c>
      <c r="AI464" s="98">
        <f t="shared" si="265"/>
        <v>1.5707963267948966</v>
      </c>
      <c r="AJ464" s="98" t="str">
        <f t="shared" si="251"/>
        <v>1+18.1028015643239i</v>
      </c>
      <c r="AK464" s="98">
        <f t="shared" si="266"/>
        <v>18.130400560309965</v>
      </c>
      <c r="AL464" s="98">
        <f t="shared" si="267"/>
        <v>1.5156123432755653</v>
      </c>
      <c r="AM464" s="98" t="str">
        <f t="shared" si="252"/>
        <v>1+18120.9043658882i</v>
      </c>
      <c r="AN464" s="98">
        <f t="shared" si="268"/>
        <v>18120.90439348064</v>
      </c>
      <c r="AO464" s="98">
        <f t="shared" si="269"/>
        <v>1.5707411419112509</v>
      </c>
      <c r="AP464" s="168" t="str">
        <f t="shared" si="270"/>
        <v>-0.000302100180591306+0.00547434516944731i</v>
      </c>
      <c r="AQ464" s="98">
        <f t="shared" si="271"/>
        <v>-45.220150755453339</v>
      </c>
      <c r="AR464" s="169">
        <f t="shared" si="272"/>
        <v>93.158647491451362</v>
      </c>
      <c r="AS464" s="168" t="str">
        <f t="shared" si="273"/>
        <v>-2.61897907171099E-06+0.0000181354892408918i</v>
      </c>
      <c r="AT464" s="190">
        <f t="shared" si="274"/>
        <v>-94.739774835191142</v>
      </c>
      <c r="AU464" s="169">
        <f t="shared" si="275"/>
        <v>98.21737839822886</v>
      </c>
      <c r="AV464" s="225"/>
      <c r="AX464">
        <f t="shared" si="276"/>
        <v>0</v>
      </c>
      <c r="AY464">
        <f t="shared" si="277"/>
        <v>0</v>
      </c>
    </row>
    <row r="465" spans="14:51" x14ac:dyDescent="0.55000000000000004">
      <c r="N465" s="170">
        <v>47</v>
      </c>
      <c r="O465" s="199">
        <f t="shared" si="278"/>
        <v>295120.92266663886</v>
      </c>
      <c r="P465" s="189" t="str">
        <f t="shared" si="244"/>
        <v>1078.86904761905</v>
      </c>
      <c r="Q465" s="160" t="str">
        <f t="shared" si="245"/>
        <v>1+57946.8576606347i</v>
      </c>
      <c r="R465" s="160">
        <f t="shared" si="253"/>
        <v>57946.857669263292</v>
      </c>
      <c r="S465" s="160">
        <f t="shared" si="254"/>
        <v>1.5707790696037345</v>
      </c>
      <c r="T465" s="160" t="str">
        <f t="shared" si="246"/>
        <v>1+0.0370859889028062i</v>
      </c>
      <c r="U465" s="160">
        <f t="shared" si="255"/>
        <v>1.0006874489933903</v>
      </c>
      <c r="V465" s="160">
        <f t="shared" si="256"/>
        <v>3.7069000593801728E-2</v>
      </c>
      <c r="W465" s="98" t="str">
        <f t="shared" si="247"/>
        <v>1-26.8220706140656i</v>
      </c>
      <c r="X465" s="160">
        <f t="shared" si="257"/>
        <v>26.840705505368543</v>
      </c>
      <c r="Y465" s="160">
        <f t="shared" si="258"/>
        <v>-1.5335308573816682</v>
      </c>
      <c r="Z465" s="98" t="str">
        <f t="shared" si="248"/>
        <v>-156.711831590057+2.13054027631092i</v>
      </c>
      <c r="AA465" s="160">
        <f t="shared" si="259"/>
        <v>156.72631356022947</v>
      </c>
      <c r="AB465" s="160">
        <f t="shared" si="260"/>
        <v>3.1279982171926326</v>
      </c>
      <c r="AC465" s="171" t="str">
        <f t="shared" si="261"/>
        <v>0.00317839306053271+0.00028025038369533i</v>
      </c>
      <c r="AD465" s="190">
        <f t="shared" si="262"/>
        <v>-49.922213905402174</v>
      </c>
      <c r="AE465" s="169">
        <f t="shared" si="263"/>
        <v>5.0389439983808044</v>
      </c>
      <c r="AF465" s="98" t="str">
        <f t="shared" si="249"/>
        <v>-9.95024875621891E-06</v>
      </c>
      <c r="AG465" s="98" t="str">
        <f t="shared" si="250"/>
        <v>1.85615374458545i</v>
      </c>
      <c r="AH465" s="98">
        <f t="shared" si="264"/>
        <v>1.8561537445854499</v>
      </c>
      <c r="AI465" s="98">
        <f t="shared" si="265"/>
        <v>1.5707963267948966</v>
      </c>
      <c r="AJ465" s="98" t="str">
        <f t="shared" si="251"/>
        <v>1+18.5244699814217i</v>
      </c>
      <c r="AK465" s="98">
        <f t="shared" si="266"/>
        <v>18.551441671541152</v>
      </c>
      <c r="AL465" s="98">
        <f t="shared" si="267"/>
        <v>1.5168660216168735</v>
      </c>
      <c r="AM465" s="98" t="str">
        <f t="shared" si="252"/>
        <v>1+18542.9944514031i</v>
      </c>
      <c r="AN465" s="98">
        <f t="shared" si="268"/>
        <v>18542.994478367462</v>
      </c>
      <c r="AO465" s="98">
        <f t="shared" si="269"/>
        <v>1.5707423980725614</v>
      </c>
      <c r="AP465" s="168" t="str">
        <f t="shared" si="270"/>
        <v>-0.00028854294021552+0.00535046571572081i</v>
      </c>
      <c r="AQ465" s="98">
        <f t="shared" si="271"/>
        <v>-45.419556076084262</v>
      </c>
      <c r="AR465" s="169">
        <f t="shared" si="272"/>
        <v>93.086888986368905</v>
      </c>
      <c r="AS465" s="168" t="str">
        <f t="shared" si="273"/>
        <v>-2.41657294862618E-06+0.0000169250188317572i</v>
      </c>
      <c r="AT465" s="190">
        <f t="shared" si="274"/>
        <v>-95.341769981486451</v>
      </c>
      <c r="AU465" s="169">
        <f t="shared" si="275"/>
        <v>98.125832984749735</v>
      </c>
      <c r="AV465" s="225"/>
      <c r="AX465">
        <f t="shared" si="276"/>
        <v>0</v>
      </c>
      <c r="AY465">
        <f t="shared" si="277"/>
        <v>0</v>
      </c>
    </row>
    <row r="466" spans="14:51" x14ac:dyDescent="0.55000000000000004">
      <c r="N466" s="170">
        <v>48</v>
      </c>
      <c r="O466" s="199">
        <f t="shared" si="278"/>
        <v>301995.17204020242</v>
      </c>
      <c r="P466" s="189" t="str">
        <f t="shared" si="244"/>
        <v>1078.86904761905</v>
      </c>
      <c r="Q466" s="160" t="str">
        <f t="shared" si="245"/>
        <v>1+59296.6133688178i</v>
      </c>
      <c r="R466" s="160">
        <f t="shared" si="253"/>
        <v>59296.613377249989</v>
      </c>
      <c r="S466" s="160">
        <f t="shared" si="254"/>
        <v>1.5707794624253637</v>
      </c>
      <c r="T466" s="160" t="str">
        <f t="shared" si="246"/>
        <v>1+0.0379498325560434i</v>
      </c>
      <c r="U466" s="160">
        <f t="shared" si="255"/>
        <v>1.0007198358137164</v>
      </c>
      <c r="V466" s="160">
        <f t="shared" si="256"/>
        <v>3.7931629962097528E-2</v>
      </c>
      <c r="W466" s="98" t="str">
        <f t="shared" si="247"/>
        <v>1-27.4468368978328i</v>
      </c>
      <c r="X466" s="160">
        <f t="shared" si="257"/>
        <v>27.465047891752089</v>
      </c>
      <c r="Y466" s="160">
        <f t="shared" si="258"/>
        <v>-1.5343783644883109</v>
      </c>
      <c r="Z466" s="98" t="str">
        <f t="shared" si="248"/>
        <v>-164.144561223344+2.18016693452086i</v>
      </c>
      <c r="AA466" s="160">
        <f t="shared" si="259"/>
        <v>164.15903906598169</v>
      </c>
      <c r="AB466" s="160">
        <f t="shared" si="260"/>
        <v>3.1283114414083868</v>
      </c>
      <c r="AC466" s="171" t="str">
        <f t="shared" si="261"/>
        <v>0.00303456623408131+0.00026665583307836i</v>
      </c>
      <c r="AD466" s="190">
        <f t="shared" si="262"/>
        <v>-50.324661777840177</v>
      </c>
      <c r="AE466" s="169">
        <f t="shared" si="263"/>
        <v>5.0218415075247673</v>
      </c>
      <c r="AF466" s="98" t="str">
        <f t="shared" si="249"/>
        <v>-9.95024875621891E-06</v>
      </c>
      <c r="AG466" s="98" t="str">
        <f t="shared" si="250"/>
        <v>1.89938911942997i</v>
      </c>
      <c r="AH466" s="98">
        <f t="shared" si="264"/>
        <v>1.8993891194299699</v>
      </c>
      <c r="AI466" s="98">
        <f t="shared" si="265"/>
        <v>1.5707963267948966</v>
      </c>
      <c r="AJ466" s="98" t="str">
        <f t="shared" si="251"/>
        <v>1+18.955960317704i</v>
      </c>
      <c r="AK466" s="98">
        <f t="shared" si="266"/>
        <v>18.98231891962541</v>
      </c>
      <c r="AL466" s="98">
        <f t="shared" si="267"/>
        <v>1.5180913267459741</v>
      </c>
      <c r="AM466" s="98" t="str">
        <f t="shared" si="252"/>
        <v>1+18974.9162780217i</v>
      </c>
      <c r="AN466" s="98">
        <f t="shared" si="268"/>
        <v>18974.916304372276</v>
      </c>
      <c r="AO466" s="98">
        <f t="shared" si="269"/>
        <v>1.5707436256401499</v>
      </c>
      <c r="AP466" s="168" t="str">
        <f t="shared" si="270"/>
        <v>-0.000275592409584042+0.00522935743727775i</v>
      </c>
      <c r="AQ466" s="98">
        <f t="shared" si="271"/>
        <v>-45.618988085671042</v>
      </c>
      <c r="AR466" s="169">
        <f t="shared" si="272"/>
        <v>93.016754508297595</v>
      </c>
      <c r="AS466" s="168" t="str">
        <f t="shared" si="273"/>
        <v>-2.23074208439466E-06+0.0000157953431815373i</v>
      </c>
      <c r="AT466" s="190">
        <f t="shared" si="274"/>
        <v>-95.94364986351124</v>
      </c>
      <c r="AU466" s="169">
        <f t="shared" si="275"/>
        <v>98.038596015822392</v>
      </c>
      <c r="AV466" s="225"/>
      <c r="AX466">
        <f t="shared" si="276"/>
        <v>0</v>
      </c>
      <c r="AY466">
        <f t="shared" si="277"/>
        <v>0</v>
      </c>
    </row>
    <row r="467" spans="14:51" x14ac:dyDescent="0.55000000000000004">
      <c r="N467" s="170">
        <v>49</v>
      </c>
      <c r="O467" s="199">
        <f t="shared" si="278"/>
        <v>309029.54325135931</v>
      </c>
      <c r="P467" s="189" t="str">
        <f t="shared" ref="P467:P530" si="279">COMPLEX(Adc,0)</f>
        <v>1078.86904761905</v>
      </c>
      <c r="Q467" s="160" t="str">
        <f t="shared" ref="Q467:Q530" si="280">IMSUM(COMPLEX(1,0),IMDIV(COMPLEX(0,2*PI()*O467),COMPLEX(wp_lf,0)))</f>
        <v>1+60677.8089262925i</v>
      </c>
      <c r="R467" s="160">
        <f t="shared" si="253"/>
        <v>60677.808934532746</v>
      </c>
      <c r="S467" s="160">
        <f t="shared" si="254"/>
        <v>1.5707798463052809</v>
      </c>
      <c r="T467" s="160" t="str">
        <f t="shared" ref="T467:T530" si="281">IMSUM(COMPLEX(1,0),IMDIV(COMPLEX(0,2*PI()*O467),COMPLEX(wz_esr,0)))</f>
        <v>1+0.0388337977128272i</v>
      </c>
      <c r="U467" s="160">
        <f t="shared" si="255"/>
        <v>1.0007537478544863</v>
      </c>
      <c r="V467" s="160">
        <f t="shared" si="256"/>
        <v>3.881429407533063E-2</v>
      </c>
      <c r="W467" s="98" t="str">
        <f t="shared" ref="W467:W530" si="282">IMSUB(COMPLEX(1,0),IMDIV(COMPLEX(0,2*PI()*O467),COMPLEX(wz_rhp,0)))</f>
        <v>1-28.0861558578252i</v>
      </c>
      <c r="X467" s="160">
        <f t="shared" si="257"/>
        <v>28.103952584468416</v>
      </c>
      <c r="Y467" s="160">
        <f t="shared" si="258"/>
        <v>-1.5352066305553167</v>
      </c>
      <c r="Z467" s="98" t="str">
        <f t="shared" ref="Z467:Z530" si="283">IF(Dc_Mode_Loop="CCM",IMSUM(COMPLEX(1,0),IMDIV(COMPLEX(0,2*PI()*O467),COMPLEX(Q*(wsl/2),0)),IMDIV(IMPOWER(COMPLEX(0,2*PI()*O467),2),IMPOWER(COMPLEX(wsl/2,0),2))),COMPLEX(1,0))</f>
        <v>-171.927584612303+2.23094954609741i</v>
      </c>
      <c r="AA467" s="160">
        <f t="shared" si="259"/>
        <v>171.94205851535523</v>
      </c>
      <c r="AB467" s="160">
        <f t="shared" si="260"/>
        <v>3.128617281728264</v>
      </c>
      <c r="AC467" s="171" t="str">
        <f t="shared" si="261"/>
        <v>0.00289728125961554+0.000253856989186796i</v>
      </c>
      <c r="AD467" s="190">
        <f t="shared" si="262"/>
        <v>-50.726972983158106</v>
      </c>
      <c r="AE467" s="169">
        <f t="shared" si="263"/>
        <v>5.0074129317543283</v>
      </c>
      <c r="AF467" s="98" t="str">
        <f t="shared" ref="AF467:AF530" si="284">COMPLEX(Adc_ea,0)</f>
        <v>-9.95024875621891E-06</v>
      </c>
      <c r="AG467" s="98" t="str">
        <f t="shared" ref="AG467:AG530" si="285">COMPLEX(0,2*PI()*O467*wp0_ea)</f>
        <v>1.943631575527i</v>
      </c>
      <c r="AH467" s="98">
        <f t="shared" si="264"/>
        <v>1.9436315755269999</v>
      </c>
      <c r="AI467" s="98">
        <f t="shared" si="265"/>
        <v>1.5707963267948966</v>
      </c>
      <c r="AJ467" s="98" t="str">
        <f t="shared" ref="AJ467:AJ530" si="286">IMSUM(COMPLEX(1,0),IMDIV(COMPLEX(0,2*PI()*O467),COMPLEX(wp1_ea,0)))</f>
        <v>1+19.3975013550585i</v>
      </c>
      <c r="AK467" s="98">
        <f t="shared" si="266"/>
        <v>19.423260766912861</v>
      </c>
      <c r="AL467" s="98">
        <f t="shared" si="267"/>
        <v>1.5192888936104041</v>
      </c>
      <c r="AM467" s="98" t="str">
        <f t="shared" ref="AM467:AM530" si="287">IMSUM(COMPLEX(1,0),IMDIV(COMPLEX(0,2*PI()*O467),COMPLEX(wz_ea,0)))</f>
        <v>1+19416.8988564136i</v>
      </c>
      <c r="AN467" s="98">
        <f t="shared" si="268"/>
        <v>19416.898882164365</v>
      </c>
      <c r="AO467" s="98">
        <f t="shared" si="269"/>
        <v>1.5707448252648886</v>
      </c>
      <c r="AP467" s="168" t="str">
        <f t="shared" si="270"/>
        <v>-0.000263221586040649+0.00511096048284677i</v>
      </c>
      <c r="AQ467" s="98">
        <f t="shared" si="271"/>
        <v>-45.818445589683883</v>
      </c>
      <c r="AR467" s="169">
        <f t="shared" si="272"/>
        <v>92.948207714715593</v>
      </c>
      <c r="AS467" s="168" t="str">
        <f t="shared" si="273"/>
        <v>-2.06008000839003E-06+0.0000147410693862663i</v>
      </c>
      <c r="AT467" s="190">
        <f t="shared" si="274"/>
        <v>-96.545418572841996</v>
      </c>
      <c r="AU467" s="169">
        <f t="shared" si="275"/>
        <v>97.955620646469924</v>
      </c>
      <c r="AV467" s="225"/>
      <c r="AX467">
        <f t="shared" si="276"/>
        <v>0</v>
      </c>
      <c r="AY467">
        <f t="shared" si="277"/>
        <v>0</v>
      </c>
    </row>
    <row r="468" spans="14:51" x14ac:dyDescent="0.55000000000000004">
      <c r="N468" s="170">
        <v>50</v>
      </c>
      <c r="O468" s="199">
        <f t="shared" si="278"/>
        <v>316227.7660168382</v>
      </c>
      <c r="P468" s="189" t="str">
        <f t="shared" si="279"/>
        <v>1078.86904761905</v>
      </c>
      <c r="Q468" s="160" t="str">
        <f t="shared" si="280"/>
        <v>1+62091.1766612256i</v>
      </c>
      <c r="R468" s="160">
        <f t="shared" ref="R468:R531" si="288">IMABS(Q468)</f>
        <v>62091.176669278277</v>
      </c>
      <c r="S468" s="160">
        <f t="shared" ref="S468:S531" si="289">IMARGUMENT(Q468)</f>
        <v>1.5707802214470246</v>
      </c>
      <c r="T468" s="160" t="str">
        <f t="shared" si="281"/>
        <v>1+0.0397383530631844i</v>
      </c>
      <c r="U468" s="160">
        <f t="shared" ref="U468:U531" si="290">IMABS(T468)</f>
        <v>1.0007892568888688</v>
      </c>
      <c r="V468" s="160">
        <f t="shared" ref="V468:V531" si="291">IMARGUMENT(T468)</f>
        <v>3.9717455429117983E-2</v>
      </c>
      <c r="W468" s="98" t="str">
        <f t="shared" si="282"/>
        <v>1-28.7403664694175i</v>
      </c>
      <c r="X468" s="160">
        <f t="shared" ref="X468:X531" si="292">IMABS(W468)</f>
        <v>28.757758340948925</v>
      </c>
      <c r="Y468" s="160">
        <f t="shared" ref="Y468:Y531" si="293">IMARGUMENT(W468)</f>
        <v>-1.5360160901920334</v>
      </c>
      <c r="Z468" s="98" t="str">
        <f t="shared" si="283"/>
        <v>-180.077410593029+2.2829150366534i</v>
      </c>
      <c r="AA468" s="160">
        <f t="shared" ref="AA468:AA531" si="294">IMABS(Z468)</f>
        <v>180.09188073579256</v>
      </c>
      <c r="AB468" s="160">
        <f t="shared" ref="AB468:AB531" si="295">IMARGUMENT(Z468)</f>
        <v>3.1289159233987816</v>
      </c>
      <c r="AC468" s="171" t="str">
        <f t="shared" ref="AC468:AC531" si="296">(IMDIV(IMPRODUCT(P468,T468,W468),IMPRODUCT(Q468,Z468)))</f>
        <v>0.00276623762754191+0.000241802772288659i</v>
      </c>
      <c r="AD468" s="190">
        <f t="shared" ref="AD468:AD531" si="297">20*LOG(IMABS(AC468))</f>
        <v>-51.129152509719908</v>
      </c>
      <c r="AE468" s="169">
        <f t="shared" ref="AE468:AE531" si="298">(180/PI())*IMARGUMENT(AC468)</f>
        <v>4.9956492433295923</v>
      </c>
      <c r="AF468" s="98" t="str">
        <f t="shared" si="284"/>
        <v>-9.95024875621891E-06</v>
      </c>
      <c r="AG468" s="98" t="str">
        <f t="shared" si="285"/>
        <v>1.98890457081238i</v>
      </c>
      <c r="AH468" s="98">
        <f t="shared" ref="AH468:AH531" si="299">IMABS(AG468)</f>
        <v>1.98890457081238</v>
      </c>
      <c r="AI468" s="98">
        <f t="shared" ref="AI468:AI531" si="300">IMARGUMENT(AG468)</f>
        <v>1.5707963267948966</v>
      </c>
      <c r="AJ468" s="98" t="str">
        <f t="shared" si="286"/>
        <v>1+19.8493272043878i</v>
      </c>
      <c r="AK468" s="98">
        <f t="shared" ref="AK468:AK531" si="301">IMABS(AJ468)</f>
        <v>19.874501011770072</v>
      </c>
      <c r="AL468" s="98">
        <f t="shared" ref="AL468:AL531" si="302">IMARGUMENT(AJ468)</f>
        <v>1.5204593434280902</v>
      </c>
      <c r="AM468" s="98" t="str">
        <f t="shared" si="287"/>
        <v>1+19869.1765315922i</v>
      </c>
      <c r="AN468" s="98">
        <f t="shared" ref="AN468:AN531" si="303">IMABS(AM468)</f>
        <v>19869.176556756804</v>
      </c>
      <c r="AO468" s="98">
        <f t="shared" ref="AO468:AO531" si="304">IMARGUMENT(AM468)</f>
        <v>1.5707459975828346</v>
      </c>
      <c r="AP468" s="168" t="str">
        <f t="shared" ref="AP468:AP531" si="305">IMPRODUCT(AF468,IMDIV(AM468,IMPRODUCT(AG468,AJ468)))</f>
        <v>-0.000251404655679106+0.00499521615020353i</v>
      </c>
      <c r="AQ468" s="98">
        <f t="shared" ref="AQ468:AQ531" si="306">20*LOG(IMABS(AP468))</f>
        <v>-46.017927446771203</v>
      </c>
      <c r="AR468" s="169">
        <f t="shared" ref="AR468:AR531" si="307">(180/PI())*IMARGUMENT(AP468)</f>
        <v>92.881213048900875</v>
      </c>
      <c r="AS468" s="168" t="str">
        <f t="shared" ref="AS468:AS531" si="308">IMPRODUCT(AC468,AP468)</f>
        <v>-1.90330213157906E-06+0.0000137571645296886i</v>
      </c>
      <c r="AT468" s="190">
        <f t="shared" ref="AT468:AT531" si="309">20*LOG(IMABS(AS468))</f>
        <v>-97.147079956491083</v>
      </c>
      <c r="AU468" s="169">
        <f t="shared" ref="AU468:AU531" si="310">(180/PI())*IMARGUMENT(AS468)</f>
        <v>97.876862292230442</v>
      </c>
      <c r="AV468" s="225"/>
      <c r="AX468">
        <f t="shared" ref="AX468:AX531" si="311">SUM((AT469&lt;0)*(AT468&gt;0))*O468</f>
        <v>0</v>
      </c>
      <c r="AY468">
        <f t="shared" ref="AY468:AY531" si="312">IF(AX468&gt;0,AU468,0)</f>
        <v>0</v>
      </c>
    </row>
    <row r="469" spans="14:51" x14ac:dyDescent="0.55000000000000004">
      <c r="N469" s="170">
        <v>51</v>
      </c>
      <c r="O469" s="199">
        <f t="shared" si="278"/>
        <v>323593.65692962846</v>
      </c>
      <c r="P469" s="189" t="str">
        <f t="shared" si="279"/>
        <v>1078.86904761905</v>
      </c>
      <c r="Q469" s="160" t="str">
        <f t="shared" si="280"/>
        <v>1+63537.4659598984i</v>
      </c>
      <c r="R469" s="160">
        <f t="shared" si="288"/>
        <v>63537.46596776777</v>
      </c>
      <c r="S469" s="160">
        <f t="shared" si="289"/>
        <v>1.5707805880494996</v>
      </c>
      <c r="T469" s="160" t="str">
        <f t="shared" si="281"/>
        <v>1+0.040663978214335i</v>
      </c>
      <c r="U469" s="160">
        <f t="shared" si="290"/>
        <v>1.0008264380621728</v>
      </c>
      <c r="V469" s="160">
        <f t="shared" si="291"/>
        <v>4.0641586994529445E-2</v>
      </c>
      <c r="W469" s="98" t="str">
        <f t="shared" si="282"/>
        <v>1-29.4098156037357i</v>
      </c>
      <c r="X469" s="160">
        <f t="shared" si="292"/>
        <v>29.426811819253135</v>
      </c>
      <c r="Y469" s="160">
        <f t="shared" si="293"/>
        <v>-1.536807168339227</v>
      </c>
      <c r="Z469" s="98" t="str">
        <f t="shared" si="283"/>
        <v>-188.611326039095+2.33609095897979i</v>
      </c>
      <c r="AA469" s="160">
        <f t="shared" si="294"/>
        <v>188.62579259262085</v>
      </c>
      <c r="AB469" s="160">
        <f t="shared" si="295"/>
        <v>3.1292075462805125</v>
      </c>
      <c r="AC469" s="171" t="str">
        <f t="shared" si="296"/>
        <v>0.00264114889386008+0.000230445522029743i</v>
      </c>
      <c r="AD469" s="190">
        <f t="shared" si="297"/>
        <v>-51.531205059471191</v>
      </c>
      <c r="AE469" s="169">
        <f t="shared" si="298"/>
        <v>4.9865428775360714</v>
      </c>
      <c r="AF469" s="98" t="str">
        <f t="shared" si="284"/>
        <v>-9.95024875621891E-06</v>
      </c>
      <c r="AG469" s="98" t="str">
        <f t="shared" si="285"/>
        <v>2.03523210962747i</v>
      </c>
      <c r="AH469" s="98">
        <f t="shared" si="299"/>
        <v>2.0352321096274699</v>
      </c>
      <c r="AI469" s="98">
        <f t="shared" si="300"/>
        <v>1.5707963267948966</v>
      </c>
      <c r="AJ469" s="98" t="str">
        <f t="shared" si="286"/>
        <v>1+20.3116774297378i</v>
      </c>
      <c r="AK469" s="98">
        <f t="shared" si="301"/>
        <v>20.336278912567064</v>
      </c>
      <c r="AL469" s="98">
        <f t="shared" si="302"/>
        <v>1.5216032839520492</v>
      </c>
      <c r="AM469" s="98" t="str">
        <f t="shared" si="287"/>
        <v>1+20331.9891071675i</v>
      </c>
      <c r="AN469" s="98">
        <f t="shared" si="303"/>
        <v>20331.989131759292</v>
      </c>
      <c r="AO469" s="98">
        <f t="shared" si="304"/>
        <v>1.5707471432155664</v>
      </c>
      <c r="AP469" s="168" t="str">
        <f t="shared" si="305"/>
        <v>-0.000240116942157959+0.0048820668740225i</v>
      </c>
      <c r="AQ469" s="98">
        <f t="shared" si="306"/>
        <v>-46.217432566417116</v>
      </c>
      <c r="AR469" s="169">
        <f t="shared" si="307"/>
        <v>92.815735724784417</v>
      </c>
      <c r="AS469" s="168" t="str">
        <f t="shared" si="308"/>
        <v>-1.75923504554579E-06+0.0000128389316499917i</v>
      </c>
      <c r="AT469" s="190">
        <f t="shared" si="309"/>
        <v>-97.748637625888307</v>
      </c>
      <c r="AU469" s="169">
        <f t="shared" si="310"/>
        <v>97.802278602320499</v>
      </c>
      <c r="AV469" s="225"/>
      <c r="AX469">
        <f t="shared" si="311"/>
        <v>0</v>
      </c>
      <c r="AY469">
        <f t="shared" si="312"/>
        <v>0</v>
      </c>
    </row>
    <row r="470" spans="14:51" x14ac:dyDescent="0.55000000000000004">
      <c r="N470" s="170">
        <v>52</v>
      </c>
      <c r="O470" s="199">
        <f t="shared" si="278"/>
        <v>331131.12148259126</v>
      </c>
      <c r="P470" s="189" t="str">
        <f t="shared" si="279"/>
        <v>1078.86904761905</v>
      </c>
      <c r="Q470" s="160" t="str">
        <f t="shared" si="280"/>
        <v>1+65017.4436640413i</v>
      </c>
      <c r="R470" s="160">
        <f t="shared" si="288"/>
        <v>65017.443671731533</v>
      </c>
      <c r="S470" s="160">
        <f t="shared" si="289"/>
        <v>1.5707809463070834</v>
      </c>
      <c r="T470" s="160" t="str">
        <f t="shared" si="281"/>
        <v>1+0.0416111639449864i</v>
      </c>
      <c r="U470" s="160">
        <f t="shared" si="290"/>
        <v>1.0008653700497667</v>
      </c>
      <c r="V470" s="160">
        <f t="shared" si="291"/>
        <v>4.1587172440944738E-2</v>
      </c>
      <c r="W470" s="98" t="str">
        <f t="shared" si="282"/>
        <v>1-30.094858211572i</v>
      </c>
      <c r="X470" s="160">
        <f t="shared" si="292"/>
        <v>30.111467761878075</v>
      </c>
      <c r="Y470" s="160">
        <f t="shared" si="293"/>
        <v>-1.537580280474256</v>
      </c>
      <c r="Z470" s="98" t="str">
        <f t="shared" si="283"/>
        <v>-197.547432529325+2.39050550765445i</v>
      </c>
      <c r="AA470" s="160">
        <f t="shared" si="294"/>
        <v>197.56189565680506</v>
      </c>
      <c r="AB470" s="160">
        <f t="shared" si="295"/>
        <v>3.129492325051288</v>
      </c>
      <c r="AC470" s="171" t="str">
        <f t="shared" si="296"/>
        <v>0.00252174199881906+0.000219740762771153i</v>
      </c>
      <c r="AD470" s="190">
        <f t="shared" si="297"/>
        <v>-51.933135058594353</v>
      </c>
      <c r="AE470" s="169">
        <f t="shared" si="298"/>
        <v>4.9800877220492712</v>
      </c>
      <c r="AF470" s="98" t="str">
        <f t="shared" si="284"/>
        <v>-9.95024875621891E-06</v>
      </c>
      <c r="AG470" s="98" t="str">
        <f t="shared" si="285"/>
        <v>2.08263875544657i</v>
      </c>
      <c r="AH470" s="98">
        <f t="shared" si="299"/>
        <v>2.08263875544657</v>
      </c>
      <c r="AI470" s="98">
        <f t="shared" si="300"/>
        <v>1.5707963267948966</v>
      </c>
      <c r="AJ470" s="98" t="str">
        <f t="shared" si="286"/>
        <v>1+20.7847971753179i</v>
      </c>
      <c r="AK470" s="98">
        <f t="shared" si="301"/>
        <v>20.808839314558202</v>
      </c>
      <c r="AL470" s="98">
        <f t="shared" si="302"/>
        <v>1.5227213097322032</v>
      </c>
      <c r="AM470" s="98" t="str">
        <f t="shared" si="287"/>
        <v>1+20805.5819724932i</v>
      </c>
      <c r="AN470" s="98">
        <f t="shared" si="303"/>
        <v>20805.581996525212</v>
      </c>
      <c r="AO470" s="98">
        <f t="shared" si="304"/>
        <v>1.5707482627705136</v>
      </c>
      <c r="AP470" s="168" t="str">
        <f t="shared" si="305"/>
        <v>-0.000229334857617752+0.00477145621309517i</v>
      </c>
      <c r="AQ470" s="98">
        <f t="shared" si="306"/>
        <v>-46.416959906700235</v>
      </c>
      <c r="AR470" s="169">
        <f t="shared" si="307"/>
        <v>92.751741711968165</v>
      </c>
      <c r="AS470" s="168" t="str">
        <f t="shared" si="308"/>
        <v>-1.62680677004256E-06+0.0000119819873115453i</v>
      </c>
      <c r="AT470" s="190">
        <f t="shared" si="309"/>
        <v>-98.350094965294588</v>
      </c>
      <c r="AU470" s="169">
        <f t="shared" si="310"/>
        <v>97.731829434017413</v>
      </c>
      <c r="AV470" s="225"/>
      <c r="AX470">
        <f t="shared" si="311"/>
        <v>0</v>
      </c>
      <c r="AY470">
        <f t="shared" si="312"/>
        <v>0</v>
      </c>
    </row>
    <row r="471" spans="14:51" x14ac:dyDescent="0.55000000000000004">
      <c r="N471" s="170">
        <v>53</v>
      </c>
      <c r="O471" s="199">
        <f t="shared" si="278"/>
        <v>338844.15613920329</v>
      </c>
      <c r="P471" s="189" t="str">
        <f t="shared" si="279"/>
        <v>1078.86904761905</v>
      </c>
      <c r="Q471" s="160" t="str">
        <f t="shared" si="280"/>
        <v>1+66531.8944774222i</v>
      </c>
      <c r="R471" s="160">
        <f t="shared" si="288"/>
        <v>66531.894484937395</v>
      </c>
      <c r="S471" s="160">
        <f t="shared" si="289"/>
        <v>1.570781296409729</v>
      </c>
      <c r="T471" s="160" t="str">
        <f t="shared" si="281"/>
        <v>1+0.0425804124655502i</v>
      </c>
      <c r="U471" s="160">
        <f t="shared" si="290"/>
        <v>1.0009061352223476</v>
      </c>
      <c r="V471" s="160">
        <f t="shared" si="291"/>
        <v>4.2554706362603591E-2</v>
      </c>
      <c r="W471" s="98" t="str">
        <f t="shared" si="282"/>
        <v>1-30.7958575115845i</v>
      </c>
      <c r="X471" s="160">
        <f t="shared" si="292"/>
        <v>30.812089183854692</v>
      </c>
      <c r="Y471" s="160">
        <f t="shared" si="293"/>
        <v>-1.5383358328125674</v>
      </c>
      <c r="Z471" s="98" t="str">
        <f t="shared" si="283"/>
        <v>-206.904684743666+2.44618753399136i</v>
      </c>
      <c r="AA471" s="160">
        <f t="shared" si="294"/>
        <v>206.91914460080119</v>
      </c>
      <c r="AB471" s="160">
        <f t="shared" si="295"/>
        <v>3.1297704293991129</v>
      </c>
      <c r="AC471" s="171" t="str">
        <f t="shared" si="296"/>
        <v>0.00240775662058396+0.000209646985424312i</v>
      </c>
      <c r="AD471" s="190">
        <f t="shared" si="297"/>
        <v>-52.334946667521159</v>
      </c>
      <c r="AE471" s="169">
        <f t="shared" si="298"/>
        <v>4.9762791073109458</v>
      </c>
      <c r="AF471" s="98" t="str">
        <f t="shared" si="284"/>
        <v>-9.95024875621891E-06</v>
      </c>
      <c r="AG471" s="98" t="str">
        <f t="shared" si="285"/>
        <v>2.13114964390079i</v>
      </c>
      <c r="AH471" s="98">
        <f t="shared" si="299"/>
        <v>2.1311496439007902</v>
      </c>
      <c r="AI471" s="98">
        <f t="shared" si="300"/>
        <v>1.5707963267948966</v>
      </c>
      <c r="AJ471" s="98" t="str">
        <f t="shared" si="286"/>
        <v>1+21.2689372954796i</v>
      </c>
      <c r="AK471" s="98">
        <f t="shared" si="301"/>
        <v>21.292432779723484</v>
      </c>
      <c r="AL471" s="98">
        <f t="shared" si="302"/>
        <v>1.5238140023741731</v>
      </c>
      <c r="AM471" s="98" t="str">
        <f t="shared" si="287"/>
        <v>1+21290.2062327751i</v>
      </c>
      <c r="AN471" s="98">
        <f t="shared" si="303"/>
        <v>21290.206256260077</v>
      </c>
      <c r="AO471" s="98">
        <f t="shared" si="304"/>
        <v>1.5707493568412789</v>
      </c>
      <c r="AP471" s="168" t="str">
        <f t="shared" si="305"/>
        <v>-0.000219035855623439+0.00466332883698744i</v>
      </c>
      <c r="AQ471" s="98">
        <f t="shared" si="306"/>
        <v>-46.616508472149071</v>
      </c>
      <c r="AR471" s="169">
        <f t="shared" si="307"/>
        <v>92.689197720915672</v>
      </c>
      <c r="AS471" s="168" t="str">
        <f t="shared" si="308"/>
        <v>-1.50503786423929E-06+0.0000111822406743853i</v>
      </c>
      <c r="AT471" s="190">
        <f t="shared" si="309"/>
        <v>-98.951455139670244</v>
      </c>
      <c r="AU471" s="169">
        <f t="shared" si="310"/>
        <v>97.66547682822663</v>
      </c>
      <c r="AV471" s="225"/>
      <c r="AX471">
        <f t="shared" si="311"/>
        <v>0</v>
      </c>
      <c r="AY471">
        <f t="shared" si="312"/>
        <v>0</v>
      </c>
    </row>
    <row r="472" spans="14:51" x14ac:dyDescent="0.55000000000000004">
      <c r="N472" s="170">
        <v>54</v>
      </c>
      <c r="O472" s="199">
        <f t="shared" si="278"/>
        <v>346736.85045253241</v>
      </c>
      <c r="P472" s="189" t="str">
        <f t="shared" si="279"/>
        <v>1078.86904761905</v>
      </c>
      <c r="Q472" s="160" t="str">
        <f t="shared" si="280"/>
        <v>1+68081.6213819088i</v>
      </c>
      <c r="R472" s="160">
        <f t="shared" si="288"/>
        <v>68081.621389252934</v>
      </c>
      <c r="S472" s="160">
        <f t="shared" si="289"/>
        <v>1.5707816385430655</v>
      </c>
      <c r="T472" s="160" t="str">
        <f t="shared" si="281"/>
        <v>1+0.0435722376844216i</v>
      </c>
      <c r="U472" s="160">
        <f t="shared" si="290"/>
        <v>1.0009488198188894</v>
      </c>
      <c r="V472" s="160">
        <f t="shared" si="291"/>
        <v>4.3544694508831895E-2</v>
      </c>
      <c r="W472" s="98" t="str">
        <f t="shared" si="282"/>
        <v>1-31.5131851828811i</v>
      </c>
      <c r="X472" s="160">
        <f t="shared" si="292"/>
        <v>31.529047565230332</v>
      </c>
      <c r="Y472" s="160">
        <f t="shared" si="293"/>
        <v>-1.5390742225055265</v>
      </c>
      <c r="Z472" s="98" t="str">
        <f t="shared" si="283"/>
        <v>-216.702930668615+2.5031665613379i</v>
      </c>
      <c r="AA472" s="160">
        <f t="shared" si="294"/>
        <v>216.71738740396529</v>
      </c>
      <c r="AB472" s="160">
        <f t="shared" si="295"/>
        <v>3.1300420242054354</v>
      </c>
      <c r="AC472" s="171" t="str">
        <f t="shared" si="296"/>
        <v>0.00229894456194174+0.000200125444586384i</v>
      </c>
      <c r="AD472" s="190">
        <f t="shared" si="297"/>
        <v>-52.736643790333162</v>
      </c>
      <c r="AE472" s="169">
        <f t="shared" si="298"/>
        <v>4.9751137978791586</v>
      </c>
      <c r="AF472" s="98" t="str">
        <f t="shared" si="284"/>
        <v>-9.95024875621891E-06</v>
      </c>
      <c r="AG472" s="98" t="str">
        <f t="shared" si="285"/>
        <v>2.1807904961053i</v>
      </c>
      <c r="AH472" s="98">
        <f t="shared" si="299"/>
        <v>2.1807904961053</v>
      </c>
      <c r="AI472" s="98">
        <f t="shared" si="300"/>
        <v>1.5707963267948966</v>
      </c>
      <c r="AJ472" s="98" t="str">
        <f t="shared" si="286"/>
        <v>1+21.7643544877231i</v>
      </c>
      <c r="AK472" s="98">
        <f t="shared" si="301"/>
        <v>21.787315719640009</v>
      </c>
      <c r="AL472" s="98">
        <f t="shared" si="302"/>
        <v>1.5248819307949262</v>
      </c>
      <c r="AM472" s="98" t="str">
        <f t="shared" si="287"/>
        <v>1+21786.1188422108i</v>
      </c>
      <c r="AN472" s="98">
        <f t="shared" si="303"/>
        <v>21786.118865161192</v>
      </c>
      <c r="AO472" s="98">
        <f t="shared" si="304"/>
        <v>1.5707504260079532</v>
      </c>
      <c r="AP472" s="168" t="str">
        <f t="shared" si="305"/>
        <v>-0.000209198386056717+0.00455763051220326i</v>
      </c>
      <c r="AQ472" s="98">
        <f t="shared" si="306"/>
        <v>-46.816077311690442</v>
      </c>
      <c r="AR472" s="169">
        <f t="shared" si="307"/>
        <v>92.628071188322465</v>
      </c>
      <c r="AS472" s="168" t="str">
        <f t="shared" si="308"/>
        <v>-1.39303332450722E-06+0.0000104358739613531i</v>
      </c>
      <c r="AT472" s="190">
        <f t="shared" si="309"/>
        <v>-99.552721102023582</v>
      </c>
      <c r="AU472" s="169">
        <f t="shared" si="310"/>
        <v>97.603184986201597</v>
      </c>
      <c r="AV472" s="225"/>
      <c r="AX472">
        <f t="shared" si="311"/>
        <v>0</v>
      </c>
      <c r="AY472">
        <f t="shared" si="312"/>
        <v>0</v>
      </c>
    </row>
    <row r="473" spans="14:51" x14ac:dyDescent="0.55000000000000004">
      <c r="N473" s="170">
        <v>55</v>
      </c>
      <c r="O473" s="199">
        <f t="shared" si="278"/>
        <v>354813.38923357555</v>
      </c>
      <c r="P473" s="189" t="str">
        <f t="shared" si="279"/>
        <v>1078.86904761905</v>
      </c>
      <c r="Q473" s="160" t="str">
        <f t="shared" si="280"/>
        <v>1+69667.4460632184i</v>
      </c>
      <c r="R473" s="160">
        <f t="shared" si="288"/>
        <v>69667.446070395352</v>
      </c>
      <c r="S473" s="160">
        <f t="shared" si="289"/>
        <v>1.5707819728884964</v>
      </c>
      <c r="T473" s="160" t="str">
        <f t="shared" si="281"/>
        <v>1+0.0445871654804598i</v>
      </c>
      <c r="U473" s="160">
        <f t="shared" si="290"/>
        <v>1.00099351412763</v>
      </c>
      <c r="V473" s="160">
        <f t="shared" si="291"/>
        <v>4.4557654017914158E-2</v>
      </c>
      <c r="W473" s="98" t="str">
        <f t="shared" si="282"/>
        <v>1-32.2472215620878i</v>
      </c>
      <c r="X473" s="160">
        <f t="shared" si="292"/>
        <v>32.262723048037657</v>
      </c>
      <c r="Y473" s="160">
        <f t="shared" si="293"/>
        <v>-1.5397958378346062</v>
      </c>
      <c r="Z473" s="98" t="str">
        <f t="shared" si="283"/>
        <v>-226.96295369745+2.56147280072857i</v>
      </c>
      <c r="AA473" s="160">
        <f t="shared" si="294"/>
        <v>226.97740745276766</v>
      </c>
      <c r="AB473" s="160">
        <f t="shared" si="295"/>
        <v>3.1303072697193679</v>
      </c>
      <c r="AC473" s="171" t="str">
        <f t="shared" si="296"/>
        <v>0.00219506916820161+0.000191139969869882i</v>
      </c>
      <c r="AD473" s="190">
        <f t="shared" si="297"/>
        <v>-53.138230083571074</v>
      </c>
      <c r="AE473" s="169">
        <f t="shared" si="298"/>
        <v>4.9765899847137947</v>
      </c>
      <c r="AF473" s="98" t="str">
        <f t="shared" si="284"/>
        <v>-9.95024875621891E-06</v>
      </c>
      <c r="AG473" s="98" t="str">
        <f t="shared" si="285"/>
        <v>2.23158763229702i</v>
      </c>
      <c r="AH473" s="98">
        <f t="shared" si="299"/>
        <v>2.2315876322970198</v>
      </c>
      <c r="AI473" s="98">
        <f t="shared" si="300"/>
        <v>1.5707963267948966</v>
      </c>
      <c r="AJ473" s="98" t="str">
        <f t="shared" si="286"/>
        <v>1+22.2713114288011i</v>
      </c>
      <c r="AK473" s="98">
        <f t="shared" si="301"/>
        <v>22.293750531452677</v>
      </c>
      <c r="AL473" s="98">
        <f t="shared" si="302"/>
        <v>1.5259256514751725</v>
      </c>
      <c r="AM473" s="98" t="str">
        <f t="shared" si="287"/>
        <v>1+22293.5827402299i</v>
      </c>
      <c r="AN473" s="98">
        <f t="shared" si="303"/>
        <v>22293.582762657876</v>
      </c>
      <c r="AO473" s="98">
        <f t="shared" si="304"/>
        <v>1.5707514708374231</v>
      </c>
      <c r="AP473" s="168" t="str">
        <f t="shared" si="305"/>
        <v>-0.000199801851885084+0.00445430808791696i</v>
      </c>
      <c r="AQ473" s="98">
        <f t="shared" si="306"/>
        <v>-47.01566551668666</v>
      </c>
      <c r="AR473" s="169">
        <f t="shared" si="307"/>
        <v>92.568330262672774</v>
      </c>
      <c r="AS473" s="168" t="str">
        <f t="shared" si="308"/>
        <v>-1.28997519853815E-06+9.73932422950832E-06i</v>
      </c>
      <c r="AT473" s="190">
        <f t="shared" si="309"/>
        <v>-100.15389560025774</v>
      </c>
      <c r="AU473" s="169">
        <f t="shared" si="310"/>
        <v>97.544920247386543</v>
      </c>
      <c r="AV473" s="225"/>
      <c r="AX473">
        <f t="shared" si="311"/>
        <v>0</v>
      </c>
      <c r="AY473">
        <f t="shared" si="312"/>
        <v>0</v>
      </c>
    </row>
    <row r="474" spans="14:51" x14ac:dyDescent="0.55000000000000004">
      <c r="N474" s="170">
        <v>56</v>
      </c>
      <c r="O474" s="199">
        <f t="shared" si="278"/>
        <v>363078.05477010203</v>
      </c>
      <c r="P474" s="189" t="str">
        <f t="shared" si="279"/>
        <v>1078.86904761905</v>
      </c>
      <c r="Q474" s="160" t="str">
        <f t="shared" si="280"/>
        <v>1+71290.2093465891i</v>
      </c>
      <c r="R474" s="160">
        <f t="shared" si="288"/>
        <v>71290.20935360268</v>
      </c>
      <c r="S474" s="160">
        <f t="shared" si="289"/>
        <v>1.5707822996232963</v>
      </c>
      <c r="T474" s="160" t="str">
        <f t="shared" si="281"/>
        <v>1+0.045625733981817i</v>
      </c>
      <c r="U474" s="160">
        <f t="shared" si="290"/>
        <v>1.0010403126754583</v>
      </c>
      <c r="V474" s="160">
        <f t="shared" si="291"/>
        <v>4.5594113654580035E-2</v>
      </c>
      <c r="W474" s="98" t="str">
        <f t="shared" si="282"/>
        <v>1-32.9983558450093i</v>
      </c>
      <c r="X474" s="160">
        <f t="shared" si="292"/>
        <v>33.013504637857814</v>
      </c>
      <c r="Y474" s="160">
        <f t="shared" si="293"/>
        <v>-1.5405010584019598</v>
      </c>
      <c r="Z474" s="98" t="str">
        <f t="shared" si="283"/>
        <v>-237.706516714607+2.62113716690331i</v>
      </c>
      <c r="AA474" s="160">
        <f t="shared" si="294"/>
        <v>237.72096762515386</v>
      </c>
      <c r="AB474" s="160">
        <f t="shared" si="295"/>
        <v>3.1305663217234194</v>
      </c>
      <c r="AC474" s="171" t="str">
        <f t="shared" si="296"/>
        <v>0.00209590477455991+0.000182656790403638i</v>
      </c>
      <c r="AD474" s="190">
        <f t="shared" si="297"/>
        <v>-53.539708964479189</v>
      </c>
      <c r="AE474" s="169">
        <f t="shared" si="298"/>
        <v>4.9807072783636084</v>
      </c>
      <c r="AF474" s="98" t="str">
        <f t="shared" si="284"/>
        <v>-9.95024875621891E-06</v>
      </c>
      <c r="AG474" s="98" t="str">
        <f t="shared" si="285"/>
        <v>2.28356798578994i</v>
      </c>
      <c r="AH474" s="98">
        <f t="shared" si="299"/>
        <v>2.28356798578994</v>
      </c>
      <c r="AI474" s="98">
        <f t="shared" si="300"/>
        <v>1.5707963267948966</v>
      </c>
      <c r="AJ474" s="98" t="str">
        <f t="shared" si="286"/>
        <v>1+22.7900769139945i</v>
      </c>
      <c r="AK474" s="98">
        <f t="shared" si="301"/>
        <v>22.812005737018943</v>
      </c>
      <c r="AL474" s="98">
        <f t="shared" si="302"/>
        <v>1.5269457087084157</v>
      </c>
      <c r="AM474" s="98" t="str">
        <f t="shared" si="287"/>
        <v>1+22812.8669909085i</v>
      </c>
      <c r="AN474" s="98">
        <f t="shared" si="303"/>
        <v>22812.867012825955</v>
      </c>
      <c r="AO474" s="98">
        <f t="shared" si="304"/>
        <v>1.5707524918836706</v>
      </c>
      <c r="AP474" s="168" t="str">
        <f t="shared" si="305"/>
        <v>-0.000190826567736368+0.00435330948133188i</v>
      </c>
      <c r="AQ474" s="98">
        <f t="shared" si="306"/>
        <v>-47.215272219058086</v>
      </c>
      <c r="AR474" s="169">
        <f t="shared" si="307"/>
        <v>92.509943789986792</v>
      </c>
      <c r="AS474" s="168" t="str">
        <f t="shared" si="308"/>
        <v>-1.19511585192534E-06+9.08926635867395E-06i</v>
      </c>
      <c r="AT474" s="190">
        <f t="shared" si="309"/>
        <v>-100.75498118353728</v>
      </c>
      <c r="AU474" s="169">
        <f t="shared" si="310"/>
        <v>97.490651068350402</v>
      </c>
      <c r="AV474" s="225"/>
      <c r="AX474">
        <f t="shared" si="311"/>
        <v>0</v>
      </c>
      <c r="AY474">
        <f t="shared" si="312"/>
        <v>0</v>
      </c>
    </row>
    <row r="475" spans="14:51" x14ac:dyDescent="0.55000000000000004">
      <c r="N475" s="170">
        <v>57</v>
      </c>
      <c r="O475" s="199">
        <f t="shared" si="278"/>
        <v>371535.2290971732</v>
      </c>
      <c r="P475" s="189" t="str">
        <f t="shared" si="279"/>
        <v>1078.86904761905</v>
      </c>
      <c r="Q475" s="160" t="str">
        <f t="shared" si="280"/>
        <v>1+72950.7716425925i</v>
      </c>
      <c r="R475" s="160">
        <f t="shared" si="288"/>
        <v>72950.77164944644</v>
      </c>
      <c r="S475" s="160">
        <f t="shared" si="289"/>
        <v>1.5707826189207039</v>
      </c>
      <c r="T475" s="160" t="str">
        <f t="shared" si="281"/>
        <v>1+0.0466884938512592i</v>
      </c>
      <c r="U475" s="160">
        <f t="shared" si="290"/>
        <v>1.0010893144260899</v>
      </c>
      <c r="V475" s="160">
        <f t="shared" si="291"/>
        <v>4.6654614051055844E-2</v>
      </c>
      <c r="W475" s="98" t="str">
        <f t="shared" si="282"/>
        <v>1-33.7669862929847i</v>
      </c>
      <c r="X475" s="160">
        <f t="shared" si="292"/>
        <v>33.781790410080646</v>
      </c>
      <c r="Y475" s="160">
        <f t="shared" si="293"/>
        <v>-1.5411902553174095</v>
      </c>
      <c r="Z475" s="98" t="str">
        <f t="shared" si="283"/>
        <v>-248.956408257654+2.68219129469878i</v>
      </c>
      <c r="AA475" s="160">
        <f t="shared" si="294"/>
        <v>248.9708564525034</v>
      </c>
      <c r="AB475" s="160">
        <f t="shared" si="295"/>
        <v>3.1308193316912551</v>
      </c>
      <c r="AC475" s="171" t="str">
        <f t="shared" si="296"/>
        <v>0.00200123618130833+0.000174644371559093i</v>
      </c>
      <c r="AD475" s="190">
        <f t="shared" si="297"/>
        <v>-53.941083618704234</v>
      </c>
      <c r="AE475" s="169">
        <f t="shared" si="298"/>
        <v>4.9874667030193418</v>
      </c>
      <c r="AF475" s="98" t="str">
        <f t="shared" si="284"/>
        <v>-9.95024875621891E-06</v>
      </c>
      <c r="AG475" s="98" t="str">
        <f t="shared" si="285"/>
        <v>2.33675911725552i</v>
      </c>
      <c r="AH475" s="98">
        <f t="shared" si="299"/>
        <v>2.3367591172555202</v>
      </c>
      <c r="AI475" s="98">
        <f t="shared" si="300"/>
        <v>1.5707963267948966</v>
      </c>
      <c r="AJ475" s="98" t="str">
        <f t="shared" si="286"/>
        <v>1+23.32092599963i</v>
      </c>
      <c r="AK475" s="98">
        <f t="shared" si="301"/>
        <v>23.342356125297599</v>
      </c>
      <c r="AL475" s="98">
        <f t="shared" si="302"/>
        <v>1.5279426348465754</v>
      </c>
      <c r="AM475" s="98" t="str">
        <f t="shared" si="287"/>
        <v>1+23344.2469256296i</v>
      </c>
      <c r="AN475" s="98">
        <f t="shared" si="303"/>
        <v>23344.246947048148</v>
      </c>
      <c r="AO475" s="98">
        <f t="shared" si="304"/>
        <v>1.5707534896880679</v>
      </c>
      <c r="AP475" s="168" t="str">
        <f t="shared" si="305"/>
        <v>-0.000182253720209688+0.00425458366271889i</v>
      </c>
      <c r="AQ475" s="98">
        <f t="shared" si="306"/>
        <v>-47.414896589487086</v>
      </c>
      <c r="AR475" s="169">
        <f t="shared" si="307"/>
        <v>92.452881299764712</v>
      </c>
      <c r="AS475" s="168" t="str">
        <f t="shared" si="308"/>
        <v>-0.0000011077718290828+8.48259717580603E-06i</v>
      </c>
      <c r="AT475" s="190">
        <f t="shared" si="309"/>
        <v>-101.35598020819133</v>
      </c>
      <c r="AU475" s="169">
        <f t="shared" si="310"/>
        <v>97.440348002784077</v>
      </c>
      <c r="AV475" s="225"/>
      <c r="AX475">
        <f t="shared" si="311"/>
        <v>0</v>
      </c>
      <c r="AY475">
        <f t="shared" si="312"/>
        <v>0</v>
      </c>
    </row>
    <row r="476" spans="14:51" x14ac:dyDescent="0.55000000000000004">
      <c r="N476" s="170">
        <v>58</v>
      </c>
      <c r="O476" s="199">
        <f t="shared" si="278"/>
        <v>380189.39632056188</v>
      </c>
      <c r="P476" s="189" t="str">
        <f t="shared" si="279"/>
        <v>1078.86904761905</v>
      </c>
      <c r="Q476" s="160" t="str">
        <f t="shared" si="280"/>
        <v>1+74650.0134033384i</v>
      </c>
      <c r="R476" s="160">
        <f t="shared" si="288"/>
        <v>74650.013410036307</v>
      </c>
      <c r="S476" s="160">
        <f t="shared" si="289"/>
        <v>1.5707829309500152</v>
      </c>
      <c r="T476" s="160" t="str">
        <f t="shared" si="281"/>
        <v>1+0.0477760085781366i</v>
      </c>
      <c r="U476" s="160">
        <f t="shared" si="290"/>
        <v>1.0011406229874293</v>
      </c>
      <c r="V476" s="160">
        <f t="shared" si="291"/>
        <v>4.7739707951633056E-2</v>
      </c>
      <c r="W476" s="98" t="str">
        <f t="shared" si="282"/>
        <v>1-34.5535204440515i</v>
      </c>
      <c r="X476" s="160">
        <f t="shared" si="292"/>
        <v>34.567987720975097</v>
      </c>
      <c r="Y476" s="160">
        <f t="shared" si="293"/>
        <v>-1.5418637913818773</v>
      </c>
      <c r="Z476" s="98" t="str">
        <f t="shared" si="283"/>
        <v>-260.736490854855+2.74466755582171i</v>
      </c>
      <c r="AA476" s="160">
        <f t="shared" si="294"/>
        <v>260.75093645717908</v>
      </c>
      <c r="AB476" s="160">
        <f t="shared" si="295"/>
        <v>3.1310664469379597</v>
      </c>
      <c r="AC476" s="171" t="str">
        <f t="shared" si="296"/>
        <v>0.0019108581553631+0.000167073263026566i</v>
      </c>
      <c r="AD476" s="190">
        <f t="shared" si="297"/>
        <v>-54.342357007471904</v>
      </c>
      <c r="AE476" s="169">
        <f t="shared" si="298"/>
        <v>4.9968706914018099</v>
      </c>
      <c r="AF476" s="98" t="str">
        <f t="shared" si="284"/>
        <v>-9.95024875621891E-06</v>
      </c>
      <c r="AG476" s="98" t="str">
        <f t="shared" si="285"/>
        <v>2.39118922933574i</v>
      </c>
      <c r="AH476" s="98">
        <f t="shared" si="299"/>
        <v>2.39118922933574</v>
      </c>
      <c r="AI476" s="98">
        <f t="shared" si="300"/>
        <v>1.5707963267948966</v>
      </c>
      <c r="AJ476" s="98" t="str">
        <f t="shared" si="286"/>
        <v>1+23.8641401489194i</v>
      </c>
      <c r="AK476" s="98">
        <f t="shared" si="301"/>
        <v>23.885082898061441</v>
      </c>
      <c r="AL476" s="98">
        <f t="shared" si="302"/>
        <v>1.5289169505421181</v>
      </c>
      <c r="AM476" s="98" t="str">
        <f t="shared" si="287"/>
        <v>1+23888.0042890683i</v>
      </c>
      <c r="AN476" s="98">
        <f t="shared" si="303"/>
        <v>23888.004309999309</v>
      </c>
      <c r="AO476" s="98">
        <f t="shared" si="304"/>
        <v>1.5707544647796645</v>
      </c>
      <c r="AP476" s="168" t="str">
        <f t="shared" si="305"/>
        <v>-0.000174065329855723+0.00415808064018383i</v>
      </c>
      <c r="AQ476" s="98">
        <f t="shared" si="306"/>
        <v>-47.614537835700681</v>
      </c>
      <c r="AR476" s="169">
        <f t="shared" si="307"/>
        <v>92.397112991129887</v>
      </c>
      <c r="AS476" s="168" t="str">
        <f t="shared" si="308"/>
        <v>-1.02731825560388E-06+0.0000079164206393139i</v>
      </c>
      <c r="AT476" s="190">
        <f t="shared" si="309"/>
        <v>-101.95689484317258</v>
      </c>
      <c r="AU476" s="169">
        <f t="shared" si="310"/>
        <v>97.393983682531697</v>
      </c>
      <c r="AV476" s="225"/>
      <c r="AX476">
        <f t="shared" si="311"/>
        <v>0</v>
      </c>
      <c r="AY476">
        <f t="shared" si="312"/>
        <v>0</v>
      </c>
    </row>
    <row r="477" spans="14:51" x14ac:dyDescent="0.55000000000000004">
      <c r="N477" s="170">
        <v>59</v>
      </c>
      <c r="O477" s="199">
        <f t="shared" si="278"/>
        <v>389045.14499428123</v>
      </c>
      <c r="P477" s="189" t="str">
        <f t="shared" si="279"/>
        <v>1078.86904761905</v>
      </c>
      <c r="Q477" s="160" t="str">
        <f t="shared" si="280"/>
        <v>1+76388.8355893006i</v>
      </c>
      <c r="R477" s="160">
        <f t="shared" si="288"/>
        <v>76388.83559584606</v>
      </c>
      <c r="S477" s="160">
        <f t="shared" si="289"/>
        <v>1.5707832358766725</v>
      </c>
      <c r="T477" s="160" t="str">
        <f t="shared" si="281"/>
        <v>1+0.0488888547771524i</v>
      </c>
      <c r="U477" s="160">
        <f t="shared" si="290"/>
        <v>1.0011943468285374</v>
      </c>
      <c r="V477" s="160">
        <f t="shared" si="291"/>
        <v>4.8849960460682726E-2</v>
      </c>
      <c r="W477" s="98" t="str">
        <f t="shared" si="282"/>
        <v>1-35.3583753290277i</v>
      </c>
      <c r="X477" s="160">
        <f t="shared" si="292"/>
        <v>35.372513423679621</v>
      </c>
      <c r="Y477" s="160">
        <f t="shared" si="293"/>
        <v>-1.5425220212672996</v>
      </c>
      <c r="Z477" s="98" t="str">
        <f t="shared" si="283"/>
        <v>-273.071751640782+2.8085990760127i</v>
      </c>
      <c r="AA477" s="160">
        <f t="shared" si="294"/>
        <v>273.08619476812572</v>
      </c>
      <c r="AB477" s="160">
        <f t="shared" si="295"/>
        <v>3.1313078107632624</v>
      </c>
      <c r="AC477" s="171" t="str">
        <f t="shared" si="296"/>
        <v>0.00182457495668723+0.000159915957431315i</v>
      </c>
      <c r="AD477" s="190">
        <f t="shared" si="297"/>
        <v>-54.743531874257314</v>
      </c>
      <c r="AE477" s="169">
        <f t="shared" si="298"/>
        <v>5.0089230804525933</v>
      </c>
      <c r="AF477" s="98" t="str">
        <f t="shared" si="284"/>
        <v>-9.95024875621891E-06</v>
      </c>
      <c r="AG477" s="98" t="str">
        <f t="shared" si="285"/>
        <v>2.44688718159648i</v>
      </c>
      <c r="AH477" s="98">
        <f t="shared" si="299"/>
        <v>2.4468871815964799</v>
      </c>
      <c r="AI477" s="98">
        <f t="shared" si="300"/>
        <v>1.5707963267948966</v>
      </c>
      <c r="AJ477" s="98" t="str">
        <f t="shared" si="286"/>
        <v>1+24.420007381195i</v>
      </c>
      <c r="AK477" s="98">
        <f t="shared" si="301"/>
        <v>24.440473819008055</v>
      </c>
      <c r="AL477" s="98">
        <f t="shared" si="302"/>
        <v>1.5298691649866323</v>
      </c>
      <c r="AM477" s="98" t="str">
        <f t="shared" si="287"/>
        <v>1+24444.4273885762i</v>
      </c>
      <c r="AN477" s="98">
        <f t="shared" si="303"/>
        <v>24444.427409030759</v>
      </c>
      <c r="AO477" s="98">
        <f t="shared" si="304"/>
        <v>1.5707554176754663</v>
      </c>
      <c r="AP477" s="168" t="str">
        <f t="shared" si="305"/>
        <v>-0.000166244214761348+0.00406375144420999i</v>
      </c>
      <c r="AQ477" s="98">
        <f t="shared" si="306"/>
        <v>-47.814195200827569</v>
      </c>
      <c r="AR477" s="169">
        <f t="shared" si="307"/>
        <v>92.342609719175599</v>
      </c>
      <c r="AS477" s="168" t="str">
        <f t="shared" si="308"/>
        <v>-9.53183733911419E-07+7.38803401253613E-06i</v>
      </c>
      <c r="AT477" s="190">
        <f t="shared" si="309"/>
        <v>-102.5577270750849</v>
      </c>
      <c r="AU477" s="169">
        <f t="shared" si="310"/>
        <v>97.351532799628202</v>
      </c>
      <c r="AV477" s="225"/>
      <c r="AX477">
        <f t="shared" si="311"/>
        <v>0</v>
      </c>
      <c r="AY477">
        <f t="shared" si="312"/>
        <v>0</v>
      </c>
    </row>
    <row r="478" spans="14:51" x14ac:dyDescent="0.55000000000000004">
      <c r="N478" s="170">
        <v>60</v>
      </c>
      <c r="O478" s="199">
        <f t="shared" si="278"/>
        <v>398107.17055349716</v>
      </c>
      <c r="P478" s="189" t="str">
        <f t="shared" si="279"/>
        <v>1078.86904761905</v>
      </c>
      <c r="Q478" s="160" t="str">
        <f t="shared" si="280"/>
        <v>1+78168.1601470178i</v>
      </c>
      <c r="R478" s="160">
        <f t="shared" si="288"/>
        <v>78168.160153414268</v>
      </c>
      <c r="S478" s="160">
        <f t="shared" si="289"/>
        <v>1.5707835338623515</v>
      </c>
      <c r="T478" s="160" t="str">
        <f t="shared" si="281"/>
        <v>1+0.0500276224940914i</v>
      </c>
      <c r="U478" s="160">
        <f t="shared" si="290"/>
        <v>1.0012505995066425</v>
      </c>
      <c r="V478" s="160">
        <f t="shared" si="291"/>
        <v>4.9985949294042008E-2</v>
      </c>
      <c r="W478" s="98" t="str">
        <f t="shared" si="282"/>
        <v>1-36.1819776926267i</v>
      </c>
      <c r="X478" s="160">
        <f t="shared" si="292"/>
        <v>36.195794089227228</v>
      </c>
      <c r="Y478" s="160">
        <f t="shared" si="293"/>
        <v>-1.5431652916930567</v>
      </c>
      <c r="Z478" s="98" t="str">
        <f t="shared" si="283"/>
        <v>-285.988355357378+2.87401975260999i</v>
      </c>
      <c r="AA478" s="160">
        <f t="shared" si="294"/>
        <v>286.00279612191957</v>
      </c>
      <c r="AB478" s="160">
        <f t="shared" si="295"/>
        <v>3.1315435625881327</v>
      </c>
      <c r="AC478" s="171" t="str">
        <f t="shared" si="296"/>
        <v>0.00174219988826349+0.000153146758739188i</v>
      </c>
      <c r="AD478" s="190">
        <f t="shared" si="297"/>
        <v>-55.144610750967999</v>
      </c>
      <c r="AE478" s="169">
        <f t="shared" si="298"/>
        <v>5.0236291077972908</v>
      </c>
      <c r="AF478" s="98" t="str">
        <f t="shared" si="284"/>
        <v>-9.95024875621891E-06</v>
      </c>
      <c r="AG478" s="98" t="str">
        <f t="shared" si="285"/>
        <v>2.50388250582928i</v>
      </c>
      <c r="AH478" s="98">
        <f t="shared" si="299"/>
        <v>2.5038825058292802</v>
      </c>
      <c r="AI478" s="98">
        <f t="shared" si="300"/>
        <v>1.5707963267948966</v>
      </c>
      <c r="AJ478" s="98" t="str">
        <f t="shared" si="286"/>
        <v>1+24.9888224246211i</v>
      </c>
      <c r="AK478" s="98">
        <f t="shared" si="301"/>
        <v>25.008823366349056</v>
      </c>
      <c r="AL478" s="98">
        <f t="shared" si="302"/>
        <v>1.5307997761458072</v>
      </c>
      <c r="AM478" s="98" t="str">
        <f t="shared" si="287"/>
        <v>1+25013.8112470457i</v>
      </c>
      <c r="AN478" s="98">
        <f t="shared" si="303"/>
        <v>25013.811267034656</v>
      </c>
      <c r="AO478" s="98">
        <f t="shared" si="304"/>
        <v>1.5707563488807119</v>
      </c>
      <c r="AP478" s="168" t="str">
        <f t="shared" si="305"/>
        <v>-0.000158773955675674+0.00397154811201714i</v>
      </c>
      <c r="AQ478" s="98">
        <f t="shared" si="306"/>
        <v>-48.0138679618276</v>
      </c>
      <c r="AR478" s="169">
        <f t="shared" si="307"/>
        <v>92.289342981517521</v>
      </c>
      <c r="AS478" s="168" t="str">
        <f t="shared" si="308"/>
        <v>-8.84845688369478E-07+6.89491496030541E-06i</v>
      </c>
      <c r="AT478" s="190">
        <f t="shared" si="309"/>
        <v>-103.15847871279558</v>
      </c>
      <c r="AU478" s="169">
        <f t="shared" si="310"/>
        <v>97.312972089314826</v>
      </c>
      <c r="AV478" s="225"/>
      <c r="AX478">
        <f t="shared" si="311"/>
        <v>0</v>
      </c>
      <c r="AY478">
        <f t="shared" si="312"/>
        <v>0</v>
      </c>
    </row>
    <row r="479" spans="14:51" x14ac:dyDescent="0.55000000000000004">
      <c r="N479" s="170">
        <v>61</v>
      </c>
      <c r="O479" s="199">
        <f t="shared" si="278"/>
        <v>407380.27780411334</v>
      </c>
      <c r="P479" s="189" t="str">
        <f t="shared" si="279"/>
        <v>1078.86904761905</v>
      </c>
      <c r="Q479" s="160" t="str">
        <f t="shared" si="280"/>
        <v>1+79988.9304979231i</v>
      </c>
      <c r="R479" s="160">
        <f t="shared" si="288"/>
        <v>79988.930504173957</v>
      </c>
      <c r="S479" s="160">
        <f t="shared" si="289"/>
        <v>1.5707838250650483</v>
      </c>
      <c r="T479" s="160" t="str">
        <f t="shared" si="281"/>
        <v>1+0.0511929155186708i</v>
      </c>
      <c r="U479" s="160">
        <f t="shared" si="290"/>
        <v>1.0013094999046508</v>
      </c>
      <c r="V479" s="160">
        <f t="shared" si="291"/>
        <v>5.1148265033683582E-2</v>
      </c>
      <c r="W479" s="98" t="str">
        <f t="shared" si="282"/>
        <v>1-37.0247642197235i</v>
      </c>
      <c r="X479" s="160">
        <f t="shared" si="292"/>
        <v>37.038266232723657</v>
      </c>
      <c r="Y479" s="160">
        <f t="shared" si="293"/>
        <v>-1.5437939415989579</v>
      </c>
      <c r="Z479" s="98" t="str">
        <f t="shared" si="283"/>
        <v>-299.513699852887+2.94096427252228i</v>
      </c>
      <c r="AA479" s="160">
        <f t="shared" si="294"/>
        <v>299.52813836168633</v>
      </c>
      <c r="AB479" s="160">
        <f t="shared" si="295"/>
        <v>3.1317738380851403</v>
      </c>
      <c r="AC479" s="171" t="str">
        <f t="shared" si="296"/>
        <v>0.0016635548683567+0.000146741659757006i</v>
      </c>
      <c r="AD479" s="190">
        <f t="shared" si="297"/>
        <v>-55.545595963655636</v>
      </c>
      <c r="AE479" s="169">
        <f t="shared" si="298"/>
        <v>5.040995408951602</v>
      </c>
      <c r="AF479" s="98" t="str">
        <f t="shared" si="284"/>
        <v>-9.95024875621891E-06</v>
      </c>
      <c r="AG479" s="98" t="str">
        <f t="shared" si="285"/>
        <v>2.56220542170948i</v>
      </c>
      <c r="AH479" s="98">
        <f t="shared" si="299"/>
        <v>2.5622054217094798</v>
      </c>
      <c r="AI479" s="98">
        <f t="shared" si="300"/>
        <v>1.5707963267948966</v>
      </c>
      <c r="AJ479" s="98" t="str">
        <f t="shared" si="286"/>
        <v>1+25.5708868724629i</v>
      </c>
      <c r="AK479" s="98">
        <f t="shared" si="301"/>
        <v>25.590432888958627</v>
      </c>
      <c r="AL479" s="98">
        <f t="shared" si="302"/>
        <v>1.5317092709907711</v>
      </c>
      <c r="AM479" s="98" t="str">
        <f t="shared" si="287"/>
        <v>1+25596.4577593354i</v>
      </c>
      <c r="AN479" s="98">
        <f t="shared" si="303"/>
        <v>25596.457778869353</v>
      </c>
      <c r="AO479" s="98">
        <f t="shared" si="304"/>
        <v>1.5707572588891381</v>
      </c>
      <c r="AP479" s="168" t="str">
        <f t="shared" si="305"/>
        <v>-0.000151638862616598+0.00388142367177643i</v>
      </c>
      <c r="AQ479" s="98">
        <f t="shared" si="306"/>
        <v>-48.213555427989391</v>
      </c>
      <c r="AR479" s="169">
        <f t="shared" si="307"/>
        <v>92.237284905054338</v>
      </c>
      <c r="AS479" s="168" t="str">
        <f t="shared" si="308"/>
        <v>-8.2182611995452E-07+6.43470950695459E-06i</v>
      </c>
      <c r="AT479" s="190">
        <f t="shared" si="309"/>
        <v>-103.75915139164503</v>
      </c>
      <c r="AU479" s="169">
        <f t="shared" si="310"/>
        <v>97.27828031400594</v>
      </c>
      <c r="AV479" s="225"/>
      <c r="AX479">
        <f t="shared" si="311"/>
        <v>0</v>
      </c>
      <c r="AY479">
        <f t="shared" si="312"/>
        <v>0</v>
      </c>
    </row>
    <row r="480" spans="14:51" x14ac:dyDescent="0.55000000000000004">
      <c r="N480" s="170">
        <v>62</v>
      </c>
      <c r="O480" s="199">
        <f t="shared" si="278"/>
        <v>416869.38347033598</v>
      </c>
      <c r="P480" s="189" t="str">
        <f t="shared" si="279"/>
        <v>1078.86904761905</v>
      </c>
      <c r="Q480" s="160" t="str">
        <f t="shared" si="280"/>
        <v>1+81852.1120385572i</v>
      </c>
      <c r="R480" s="160">
        <f t="shared" si="288"/>
        <v>81852.112044665773</v>
      </c>
      <c r="S480" s="160">
        <f t="shared" si="289"/>
        <v>1.5707841096391624</v>
      </c>
      <c r="T480" s="160" t="str">
        <f t="shared" si="281"/>
        <v>1+0.0523853517046766i</v>
      </c>
      <c r="U480" s="160">
        <f t="shared" si="290"/>
        <v>1.0013711724796268</v>
      </c>
      <c r="V480" s="160">
        <f t="shared" si="291"/>
        <v>5.2337511385562731E-2</v>
      </c>
      <c r="W480" s="98" t="str">
        <f t="shared" si="282"/>
        <v>1-37.8871817668903i</v>
      </c>
      <c r="X480" s="160">
        <f t="shared" si="292"/>
        <v>37.900376544796821</v>
      </c>
      <c r="Y480" s="160">
        <f t="shared" si="293"/>
        <v>-1.5444083023148234</v>
      </c>
      <c r="Z480" s="98" t="str">
        <f t="shared" si="283"/>
        <v>-313.676474196359+3.00946813062012i</v>
      </c>
      <c r="AA480" s="160">
        <f t="shared" si="294"/>
        <v>313.69091055159419</v>
      </c>
      <c r="AB480" s="160">
        <f t="shared" si="295"/>
        <v>3.1319987693029421</v>
      </c>
      <c r="AC480" s="171" t="str">
        <f t="shared" si="296"/>
        <v>0.00158847002387909+0.000140678228083891i</v>
      </c>
      <c r="AD480" s="190">
        <f t="shared" si="297"/>
        <v>-55.946489637771663</v>
      </c>
      <c r="AE480" s="169">
        <f t="shared" si="298"/>
        <v>5.0610300152414336</v>
      </c>
      <c r="AF480" s="98" t="str">
        <f t="shared" si="284"/>
        <v>-9.95024875621891E-06</v>
      </c>
      <c r="AG480" s="98" t="str">
        <f t="shared" si="285"/>
        <v>2.62188685281906i</v>
      </c>
      <c r="AH480" s="98">
        <f t="shared" si="299"/>
        <v>2.6218868528190602</v>
      </c>
      <c r="AI480" s="98">
        <f t="shared" si="300"/>
        <v>1.5707963267948966</v>
      </c>
      <c r="AJ480" s="98" t="str">
        <f t="shared" si="286"/>
        <v>1+26.1665093429953i</v>
      </c>
      <c r="AK480" s="98">
        <f t="shared" si="301"/>
        <v>26.185610766164316</v>
      </c>
      <c r="AL480" s="98">
        <f t="shared" si="302"/>
        <v>1.5325981257257624</v>
      </c>
      <c r="AM480" s="98" t="str">
        <f t="shared" si="287"/>
        <v>1+26192.6758523383i</v>
      </c>
      <c r="AN480" s="98">
        <f t="shared" si="303"/>
        <v>26192.675871427607</v>
      </c>
      <c r="AO480" s="98">
        <f t="shared" si="304"/>
        <v>1.5707581481832438</v>
      </c>
      <c r="AP480" s="168" t="str">
        <f t="shared" si="305"/>
        <v>-0.00014482394289897+0.00379333212671654i</v>
      </c>
      <c r="AQ480" s="98">
        <f t="shared" si="306"/>
        <v>-48.413256939494083</v>
      </c>
      <c r="AR480" s="169">
        <f t="shared" si="307"/>
        <v>92.186408232938106</v>
      </c>
      <c r="AS480" s="168" t="str">
        <f t="shared" si="308"/>
        <v>-7.63687734155172E-07+6.00522079823559E-06i</v>
      </c>
      <c r="AT480" s="190">
        <f t="shared" si="309"/>
        <v>-104.35974657726575</v>
      </c>
      <c r="AU480" s="169">
        <f t="shared" si="310"/>
        <v>97.247438248179549</v>
      </c>
      <c r="AV480" s="225"/>
      <c r="AX480">
        <f t="shared" si="311"/>
        <v>0</v>
      </c>
      <c r="AY480">
        <f t="shared" si="312"/>
        <v>0</v>
      </c>
    </row>
    <row r="481" spans="14:51" x14ac:dyDescent="0.55000000000000004">
      <c r="N481" s="170">
        <v>63</v>
      </c>
      <c r="O481" s="199">
        <f t="shared" si="278"/>
        <v>426579.51880159322</v>
      </c>
      <c r="P481" s="189" t="str">
        <f t="shared" si="279"/>
        <v>1078.86904761905</v>
      </c>
      <c r="Q481" s="160" t="str">
        <f t="shared" si="280"/>
        <v>1+83758.6926524347i</v>
      </c>
      <c r="R481" s="160">
        <f t="shared" si="288"/>
        <v>83758.692658404238</v>
      </c>
      <c r="S481" s="160">
        <f t="shared" si="289"/>
        <v>1.5707843877355789</v>
      </c>
      <c r="T481" s="160" t="str">
        <f t="shared" si="281"/>
        <v>1+0.0536055632975582i</v>
      </c>
      <c r="U481" s="160">
        <f t="shared" si="290"/>
        <v>1.0014357475227498</v>
      </c>
      <c r="V481" s="160">
        <f t="shared" si="291"/>
        <v>5.3554305440527063E-2</v>
      </c>
      <c r="W481" s="98" t="str">
        <f t="shared" si="282"/>
        <v>1-38.769687599326i</v>
      </c>
      <c r="X481" s="160">
        <f t="shared" si="292"/>
        <v>38.782582128441788</v>
      </c>
      <c r="Y481" s="160">
        <f t="shared" si="293"/>
        <v>-1.5450086977267043</v>
      </c>
      <c r="Z481" s="98" t="str">
        <f t="shared" si="283"/>
        <v>-328.506719531009+3.07956764855583i</v>
      </c>
      <c r="AA481" s="160">
        <f t="shared" si="294"/>
        <v>328.52115383020168</v>
      </c>
      <c r="AB481" s="160">
        <f t="shared" si="295"/>
        <v>3.1322184847852315</v>
      </c>
      <c r="AC481" s="171" t="str">
        <f t="shared" si="296"/>
        <v>0.00151678330374244+0.000134935499916835i</v>
      </c>
      <c r="AD481" s="190">
        <f t="shared" si="297"/>
        <v>-56.347293702980359</v>
      </c>
      <c r="AE481" s="169">
        <f t="shared" si="298"/>
        <v>5.0837423524078638</v>
      </c>
      <c r="AF481" s="98" t="str">
        <f t="shared" si="284"/>
        <v>-9.95024875621891E-06</v>
      </c>
      <c r="AG481" s="98" t="str">
        <f t="shared" si="285"/>
        <v>2.68295844304279i</v>
      </c>
      <c r="AH481" s="98">
        <f t="shared" si="299"/>
        <v>2.6829584430427902</v>
      </c>
      <c r="AI481" s="98">
        <f t="shared" si="300"/>
        <v>1.5707963267948966</v>
      </c>
      <c r="AJ481" s="98" t="str">
        <f t="shared" si="286"/>
        <v>1+26.776005643136i</v>
      </c>
      <c r="AK481" s="98">
        <f t="shared" si="301"/>
        <v>26.794672571264066</v>
      </c>
      <c r="AL481" s="98">
        <f t="shared" si="302"/>
        <v>1.5334668060121137</v>
      </c>
      <c r="AM481" s="98" t="str">
        <f t="shared" si="287"/>
        <v>1+26802.7816487791i</v>
      </c>
      <c r="AN481" s="98">
        <f t="shared" si="303"/>
        <v>26802.781667433879</v>
      </c>
      <c r="AO481" s="98">
        <f t="shared" si="304"/>
        <v>1.5707590172345443</v>
      </c>
      <c r="AP481" s="168" t="str">
        <f t="shared" si="305"/>
        <v>-0.000138314870527458+0.00370722843915408i</v>
      </c>
      <c r="AQ481" s="98">
        <f t="shared" si="306"/>
        <v>-48.61297186604201</v>
      </c>
      <c r="AR481" s="169">
        <f t="shared" si="307"/>
        <v>92.136686311755668</v>
      </c>
      <c r="AS481" s="168" t="str">
        <f t="shared" si="308"/>
        <v>-7.10030409018509E-07+0.0000056043986134675i</v>
      </c>
      <c r="AT481" s="190">
        <f t="shared" si="309"/>
        <v>-104.96026556902237</v>
      </c>
      <c r="AU481" s="169">
        <f t="shared" si="310"/>
        <v>97.220428664163535</v>
      </c>
      <c r="AV481" s="225"/>
      <c r="AX481">
        <f t="shared" si="311"/>
        <v>0</v>
      </c>
      <c r="AY481">
        <f t="shared" si="312"/>
        <v>0</v>
      </c>
    </row>
    <row r="482" spans="14:51" x14ac:dyDescent="0.55000000000000004">
      <c r="N482" s="170">
        <v>64</v>
      </c>
      <c r="O482" s="199">
        <f t="shared" si="278"/>
        <v>436515.83224016649</v>
      </c>
      <c r="P482" s="189" t="str">
        <f t="shared" si="279"/>
        <v>1078.86904761905</v>
      </c>
      <c r="Q482" s="160" t="str">
        <f t="shared" si="280"/>
        <v>1+85709.6832338338i</v>
      </c>
      <c r="R482" s="160">
        <f t="shared" si="288"/>
        <v>85709.683239667444</v>
      </c>
      <c r="S482" s="160">
        <f t="shared" si="289"/>
        <v>1.5707846595017481</v>
      </c>
      <c r="T482" s="160" t="str">
        <f t="shared" si="281"/>
        <v>1+0.0548541972696536i</v>
      </c>
      <c r="U482" s="160">
        <f t="shared" si="290"/>
        <v>1.0015033614312525</v>
      </c>
      <c r="V482" s="160">
        <f t="shared" si="291"/>
        <v>5.479927793815427E-2</v>
      </c>
      <c r="W482" s="98" t="str">
        <f t="shared" si="282"/>
        <v>1-39.6727496333043i</v>
      </c>
      <c r="X482" s="160">
        <f t="shared" si="292"/>
        <v>39.685350741386252</v>
      </c>
      <c r="Y482" s="160">
        <f t="shared" si="293"/>
        <v>-1.5455954444397852</v>
      </c>
      <c r="Z482" s="98" t="str">
        <f t="shared" si="283"/>
        <v>-344.035892795519+3.15129999402169i</v>
      </c>
      <c r="AA482" s="160">
        <f t="shared" si="294"/>
        <v>344.05032513174893</v>
      </c>
      <c r="AB482" s="160">
        <f t="shared" si="295"/>
        <v>3.1324331096844729</v>
      </c>
      <c r="AC482" s="171" t="str">
        <f t="shared" si="296"/>
        <v>0.00144834011114604+0.000129493881157356i</v>
      </c>
      <c r="AD482" s="190">
        <f t="shared" si="297"/>
        <v>-56.748009897542872</v>
      </c>
      <c r="AE482" s="169">
        <f t="shared" si="298"/>
        <v>5.1091432398695709</v>
      </c>
      <c r="AF482" s="98" t="str">
        <f t="shared" si="284"/>
        <v>-9.95024875621891E-06</v>
      </c>
      <c r="AG482" s="98" t="str">
        <f t="shared" si="285"/>
        <v>2.74545257334617i</v>
      </c>
      <c r="AH482" s="98">
        <f t="shared" si="299"/>
        <v>2.7454525733461699</v>
      </c>
      <c r="AI482" s="98">
        <f t="shared" si="300"/>
        <v>1.5707963267948966</v>
      </c>
      <c r="AJ482" s="98" t="str">
        <f t="shared" si="286"/>
        <v>1+27.3996989358909i</v>
      </c>
      <c r="AK482" s="98">
        <f t="shared" si="301"/>
        <v>27.417941238857829</v>
      </c>
      <c r="AL482" s="98">
        <f t="shared" si="302"/>
        <v>1.534315767188531</v>
      </c>
      <c r="AM482" s="98" t="str">
        <f t="shared" si="287"/>
        <v>1+27427.0986348268i</v>
      </c>
      <c r="AN482" s="98">
        <f t="shared" si="303"/>
        <v>27427.098653056946</v>
      </c>
      <c r="AO482" s="98">
        <f t="shared" si="304"/>
        <v>1.570759866503822</v>
      </c>
      <c r="AP482" s="168" t="str">
        <f t="shared" si="305"/>
        <v>-0.000132097956899148+0.00362306851447834i</v>
      </c>
      <c r="AQ482" s="98">
        <f t="shared" si="306"/>
        <v>-48.812699605539578</v>
      </c>
      <c r="AR482" s="169">
        <f t="shared" si="307"/>
        <v>92.088093078921773</v>
      </c>
      <c r="AS482" s="168" t="str">
        <f t="shared" si="308"/>
        <v>-6.60487973216293E-07+5.23032957781745E-06i</v>
      </c>
      <c r="AT482" s="190">
        <f t="shared" si="309"/>
        <v>-105.56070950308245</v>
      </c>
      <c r="AU482" s="169">
        <f t="shared" si="310"/>
        <v>97.19723631879134</v>
      </c>
      <c r="AV482" s="225"/>
      <c r="AX482">
        <f t="shared" si="311"/>
        <v>0</v>
      </c>
      <c r="AY482">
        <f t="shared" si="312"/>
        <v>0</v>
      </c>
    </row>
    <row r="483" spans="14:51" x14ac:dyDescent="0.55000000000000004">
      <c r="N483" s="170">
        <v>65</v>
      </c>
      <c r="O483" s="199">
        <f t="shared" si="278"/>
        <v>446683.59215096442</v>
      </c>
      <c r="P483" s="189" t="str">
        <f t="shared" si="279"/>
        <v>1078.86904761905</v>
      </c>
      <c r="Q483" s="160" t="str">
        <f t="shared" si="280"/>
        <v>1+87706.1182237856i</v>
      </c>
      <c r="R483" s="160">
        <f t="shared" si="288"/>
        <v>87706.118229486456</v>
      </c>
      <c r="S483" s="160">
        <f t="shared" si="289"/>
        <v>1.570784925081764</v>
      </c>
      <c r="T483" s="160" t="str">
        <f t="shared" si="281"/>
        <v>1+0.0561319156632228i</v>
      </c>
      <c r="U483" s="160">
        <f t="shared" si="290"/>
        <v>1.0015741569928924</v>
      </c>
      <c r="V483" s="160">
        <f t="shared" si="291"/>
        <v>5.6073073533367226E-2</v>
      </c>
      <c r="W483" s="98" t="str">
        <f t="shared" si="282"/>
        <v>1-40.5968466842693i</v>
      </c>
      <c r="X483" s="160">
        <f t="shared" si="292"/>
        <v>40.60916104410515</v>
      </c>
      <c r="Y483" s="160">
        <f t="shared" si="293"/>
        <v>-1.5461688519380119</v>
      </c>
      <c r="Z483" s="98" t="str">
        <f t="shared" si="283"/>
        <v>-360.29693344842+3.22470320045679i</v>
      </c>
      <c r="AA483" s="160">
        <f t="shared" si="294"/>
        <v>360.31136391052985</v>
      </c>
      <c r="AB483" s="160">
        <f t="shared" si="295"/>
        <v>3.1326427658707061</v>
      </c>
      <c r="AC483" s="171" t="str">
        <f t="shared" si="296"/>
        <v>0.00138299295381067+0.000124335055306243i</v>
      </c>
      <c r="AD483" s="190">
        <f t="shared" si="297"/>
        <v>-57.148639772283218</v>
      </c>
      <c r="AE483" s="169">
        <f t="shared" si="298"/>
        <v>5.13724489061405</v>
      </c>
      <c r="AF483" s="98" t="str">
        <f t="shared" si="284"/>
        <v>-9.95024875621891E-06</v>
      </c>
      <c r="AG483" s="98" t="str">
        <f t="shared" si="285"/>
        <v>2.8094023789443i</v>
      </c>
      <c r="AH483" s="98">
        <f t="shared" si="299"/>
        <v>2.8094023789442999</v>
      </c>
      <c r="AI483" s="98">
        <f t="shared" si="300"/>
        <v>1.5707963267948966</v>
      </c>
      <c r="AJ483" s="98" t="str">
        <f t="shared" si="286"/>
        <v>1+28.0379199116997i</v>
      </c>
      <c r="AK483" s="98">
        <f t="shared" si="301"/>
        <v>28.055747236081352</v>
      </c>
      <c r="AL483" s="98">
        <f t="shared" si="302"/>
        <v>1.5351454544876644</v>
      </c>
      <c r="AM483" s="98" t="str">
        <f t="shared" si="287"/>
        <v>1+28065.9578316114i</v>
      </c>
      <c r="AN483" s="98">
        <f t="shared" si="303"/>
        <v>28065.95784942657</v>
      </c>
      <c r="AO483" s="98">
        <f t="shared" si="304"/>
        <v>1.570760696441371</v>
      </c>
      <c r="AP483" s="168" t="str">
        <f t="shared" si="305"/>
        <v>-0.00012616012276285+0.00354080918511798i</v>
      </c>
      <c r="AQ483" s="98">
        <f t="shared" si="306"/>
        <v>-49.012439582844209</v>
      </c>
      <c r="AR483" s="169">
        <f t="shared" si="307"/>
        <v>92.040603050284645</v>
      </c>
      <c r="AS483" s="168" t="str">
        <f t="shared" si="308"/>
        <v>-6.14725266693408E-07+4.88122802796511E-06i</v>
      </c>
      <c r="AT483" s="190">
        <f t="shared" si="309"/>
        <v>-106.16107935512743</v>
      </c>
      <c r="AU483" s="169">
        <f t="shared" si="310"/>
        <v>97.177847940898673</v>
      </c>
      <c r="AV483" s="225"/>
      <c r="AX483">
        <f t="shared" si="311"/>
        <v>0</v>
      </c>
      <c r="AY483">
        <f t="shared" si="312"/>
        <v>0</v>
      </c>
    </row>
    <row r="484" spans="14:51" x14ac:dyDescent="0.55000000000000004">
      <c r="N484" s="170">
        <v>66</v>
      </c>
      <c r="O484" s="199">
        <f t="shared" ref="O484:O518" si="313">10^(5+(N484/100))</f>
        <v>457088.18961487547</v>
      </c>
      <c r="P484" s="189" t="str">
        <f t="shared" si="279"/>
        <v>1078.86904761905</v>
      </c>
      <c r="Q484" s="160" t="str">
        <f t="shared" si="280"/>
        <v>1+89749.0561585469i</v>
      </c>
      <c r="R484" s="160">
        <f t="shared" si="288"/>
        <v>89749.056164117996</v>
      </c>
      <c r="S484" s="160">
        <f t="shared" si="289"/>
        <v>1.5707851846164409</v>
      </c>
      <c r="T484" s="160" t="str">
        <f t="shared" si="281"/>
        <v>1+0.05743939594147i</v>
      </c>
      <c r="U484" s="160">
        <f t="shared" si="290"/>
        <v>1.0016482836835099</v>
      </c>
      <c r="V484" s="160">
        <f t="shared" si="291"/>
        <v>5.7376351065656188E-2</v>
      </c>
      <c r="W484" s="98" t="str">
        <f t="shared" si="282"/>
        <v>1-41.5424687207088i</v>
      </c>
      <c r="X484" s="160">
        <f t="shared" si="292"/>
        <v>41.554502853614657</v>
      </c>
      <c r="Y484" s="160">
        <f t="shared" si="293"/>
        <v>-1.5467292227404925</v>
      </c>
      <c r="Z484" s="98" t="str">
        <f t="shared" si="283"/>
        <v>-377.324333337084+3.29981618721275i</v>
      </c>
      <c r="AA484" s="160">
        <f t="shared" si="294"/>
        <v>377.33876200987396</v>
      </c>
      <c r="AB484" s="160">
        <f t="shared" si="295"/>
        <v>3.1328475720357094</v>
      </c>
      <c r="AC484" s="171" t="str">
        <f t="shared" si="296"/>
        <v>0.00132060111122574+0.000119441897670541i</v>
      </c>
      <c r="AD484" s="190">
        <f t="shared" si="297"/>
        <v>-57.549184694146973</v>
      </c>
      <c r="AE484" s="169">
        <f t="shared" si="298"/>
        <v>5.1680609116893779</v>
      </c>
      <c r="AF484" s="98" t="str">
        <f t="shared" si="284"/>
        <v>-9.95024875621891E-06</v>
      </c>
      <c r="AG484" s="98" t="str">
        <f t="shared" si="285"/>
        <v>2.87484176687058i</v>
      </c>
      <c r="AH484" s="98">
        <f t="shared" si="299"/>
        <v>2.8748417668705799</v>
      </c>
      <c r="AI484" s="98">
        <f t="shared" si="300"/>
        <v>1.5707963267948966</v>
      </c>
      <c r="AJ484" s="98" t="str">
        <f t="shared" si="286"/>
        <v>1+28.6910069637712i</v>
      </c>
      <c r="AK484" s="98">
        <f t="shared" si="301"/>
        <v>28.708428737831817</v>
      </c>
      <c r="AL484" s="98">
        <f t="shared" si="302"/>
        <v>1.5359563032489647</v>
      </c>
      <c r="AM484" s="98" t="str">
        <f t="shared" si="287"/>
        <v>1+28719.697970735i</v>
      </c>
      <c r="AN484" s="98">
        <f t="shared" si="303"/>
        <v>28719.69798814465</v>
      </c>
      <c r="AO484" s="98">
        <f t="shared" si="304"/>
        <v>1.5707615074872348</v>
      </c>
      <c r="AP484" s="168" t="str">
        <f t="shared" si="305"/>
        <v>-0.000120488871383916+0.00346040819451523i</v>
      </c>
      <c r="AQ484" s="98">
        <f t="shared" si="306"/>
        <v>-49.212191248564103</v>
      </c>
      <c r="AR484" s="169">
        <f t="shared" si="307"/>
        <v>91.994191307943723</v>
      </c>
      <c r="AS484" s="168" t="str">
        <f t="shared" si="308"/>
        <v>-5.72435458907524E-07+4.55542748752519E-06i</v>
      </c>
      <c r="AT484" s="190">
        <f t="shared" si="309"/>
        <v>-106.76137594271108</v>
      </c>
      <c r="AU484" s="169">
        <f t="shared" si="310"/>
        <v>97.162252219633103</v>
      </c>
      <c r="AV484" s="225"/>
      <c r="AX484">
        <f t="shared" si="311"/>
        <v>0</v>
      </c>
      <c r="AY484">
        <f t="shared" si="312"/>
        <v>0</v>
      </c>
    </row>
    <row r="485" spans="14:51" x14ac:dyDescent="0.55000000000000004">
      <c r="N485" s="170">
        <v>67</v>
      </c>
      <c r="O485" s="199">
        <f t="shared" si="313"/>
        <v>467735.14128719864</v>
      </c>
      <c r="P485" s="189" t="str">
        <f t="shared" si="279"/>
        <v>1078.86904761905</v>
      </c>
      <c r="Q485" s="160" t="str">
        <f t="shared" si="280"/>
        <v>1+91839.5802308528i</v>
      </c>
      <c r="R485" s="160">
        <f t="shared" si="288"/>
        <v>91839.580236297057</v>
      </c>
      <c r="S485" s="160">
        <f t="shared" si="289"/>
        <v>1.570785438243387</v>
      </c>
      <c r="T485" s="160" t="str">
        <f t="shared" si="281"/>
        <v>1+0.0587773313477458i</v>
      </c>
      <c r="U485" s="160">
        <f t="shared" si="290"/>
        <v>1.0017258979782655</v>
      </c>
      <c r="V485" s="160">
        <f t="shared" si="291"/>
        <v>5.8709783830724567E-2</v>
      </c>
      <c r="W485" s="98" t="str">
        <f t="shared" si="282"/>
        <v>1-42.5101171239437i</v>
      </c>
      <c r="X485" s="160">
        <f t="shared" si="292"/>
        <v>42.521877403184021</v>
      </c>
      <c r="Y485" s="160">
        <f t="shared" si="293"/>
        <v>-1.5472768525547165</v>
      </c>
      <c r="Z485" s="98" t="str">
        <f t="shared" si="283"/>
        <v>-395.154209859585+3.3766787801894i</v>
      </c>
      <c r="AA485" s="160">
        <f t="shared" si="294"/>
        <v>395.16863682399884</v>
      </c>
      <c r="AB485" s="160">
        <f t="shared" si="295"/>
        <v>3.133047643792763</v>
      </c>
      <c r="AC485" s="171" t="str">
        <f t="shared" si="296"/>
        <v>0.00126103031802969+0.000114798395441256i</v>
      </c>
      <c r="AD485" s="190">
        <f t="shared" si="297"/>
        <v>-57.949645849364387</v>
      </c>
      <c r="AE485" s="169">
        <f t="shared" si="298"/>
        <v>5.201606305269193</v>
      </c>
      <c r="AF485" s="98" t="str">
        <f t="shared" si="284"/>
        <v>-9.95024875621891E-06</v>
      </c>
      <c r="AG485" s="98" t="str">
        <f t="shared" si="285"/>
        <v>2.94180543395468i</v>
      </c>
      <c r="AH485" s="98">
        <f t="shared" si="299"/>
        <v>2.9418054339546802</v>
      </c>
      <c r="AI485" s="98">
        <f t="shared" si="300"/>
        <v>1.5707963267948966</v>
      </c>
      <c r="AJ485" s="98" t="str">
        <f t="shared" si="286"/>
        <v>1+29.3593063675054i</v>
      </c>
      <c r="AK485" s="98">
        <f t="shared" si="301"/>
        <v>29.376331806082309</v>
      </c>
      <c r="AL485" s="98">
        <f t="shared" si="302"/>
        <v>1.5367487391278349</v>
      </c>
      <c r="AM485" s="98" t="str">
        <f t="shared" si="287"/>
        <v>1+29388.6656738729i</v>
      </c>
      <c r="AN485" s="98">
        <f t="shared" si="303"/>
        <v>29388.665690886261</v>
      </c>
      <c r="AO485" s="98">
        <f t="shared" si="304"/>
        <v>1.570762300071441</v>
      </c>
      <c r="AP485" s="168" t="str">
        <f t="shared" si="305"/>
        <v>-0.000115072262865249+0.00338182418113042i</v>
      </c>
      <c r="AQ485" s="98">
        <f t="shared" si="306"/>
        <v>-49.411954077911261</v>
      </c>
      <c r="AR485" s="169">
        <f t="shared" si="307"/>
        <v>91.948833488279632</v>
      </c>
      <c r="AS485" s="168" t="str">
        <f t="shared" si="308"/>
        <v>-5.33337601895573E-07+4.25137271151467E-06i</v>
      </c>
      <c r="AT485" s="190">
        <f t="shared" si="309"/>
        <v>-107.36159992727565</v>
      </c>
      <c r="AU485" s="169">
        <f t="shared" si="310"/>
        <v>97.150439793548813</v>
      </c>
      <c r="AV485" s="225"/>
      <c r="AX485">
        <f t="shared" si="311"/>
        <v>0</v>
      </c>
      <c r="AY485">
        <f t="shared" si="312"/>
        <v>0</v>
      </c>
    </row>
    <row r="486" spans="14:51" x14ac:dyDescent="0.55000000000000004">
      <c r="N486" s="170">
        <v>68</v>
      </c>
      <c r="O486" s="199">
        <f t="shared" si="313"/>
        <v>478630.09232263872</v>
      </c>
      <c r="P486" s="189" t="str">
        <f t="shared" si="279"/>
        <v>1078.86904761905</v>
      </c>
      <c r="Q486" s="160" t="str">
        <f t="shared" si="280"/>
        <v>1+93978.7988642378i</v>
      </c>
      <c r="R486" s="160">
        <f t="shared" si="288"/>
        <v>93978.798869558159</v>
      </c>
      <c r="S486" s="160">
        <f t="shared" si="289"/>
        <v>1.5707856860970792</v>
      </c>
      <c r="T486" s="160" t="str">
        <f t="shared" si="281"/>
        <v>1+0.0601464312731122i</v>
      </c>
      <c r="U486" s="160">
        <f t="shared" si="290"/>
        <v>1.0018071636771675</v>
      </c>
      <c r="V486" s="160">
        <f t="shared" si="291"/>
        <v>6.0074059854340771E-2</v>
      </c>
      <c r="W486" s="98" t="str">
        <f t="shared" si="282"/>
        <v>1-43.5003049539657i</v>
      </c>
      <c r="X486" s="160">
        <f t="shared" si="292"/>
        <v>43.511797608097197</v>
      </c>
      <c r="Y486" s="160">
        <f t="shared" si="293"/>
        <v>-1.547812030426641</v>
      </c>
      <c r="Z486" s="98" t="str">
        <f t="shared" si="283"/>
        <v>-413.824382574519+3.45533173295094i</v>
      </c>
      <c r="AA486" s="160">
        <f t="shared" si="294"/>
        <v>413.83880790782138</v>
      </c>
      <c r="AB486" s="160">
        <f t="shared" si="295"/>
        <v>3.1332430937722702</v>
      </c>
      <c r="AC486" s="171" t="str">
        <f t="shared" si="296"/>
        <v>0.00120415246269448+0.000110389573232035i</v>
      </c>
      <c r="AD486" s="190">
        <f t="shared" si="297"/>
        <v>-58.35002424622374</v>
      </c>
      <c r="AE486" s="169">
        <f t="shared" si="298"/>
        <v>5.2378974702610233</v>
      </c>
      <c r="AF486" s="98" t="str">
        <f t="shared" si="284"/>
        <v>-9.95024875621891E-06</v>
      </c>
      <c r="AG486" s="98" t="str">
        <f t="shared" si="285"/>
        <v>3.01032888521927i</v>
      </c>
      <c r="AH486" s="98">
        <f t="shared" si="299"/>
        <v>3.0103288852192698</v>
      </c>
      <c r="AI486" s="98">
        <f t="shared" si="300"/>
        <v>1.5707963267948966</v>
      </c>
      <c r="AJ486" s="98" t="str">
        <f t="shared" si="286"/>
        <v>1+30.043172464092i</v>
      </c>
      <c r="AK486" s="98">
        <f t="shared" si="301"/>
        <v>30.059810573374808</v>
      </c>
      <c r="AL486" s="98">
        <f t="shared" si="302"/>
        <v>1.5375231783010828</v>
      </c>
      <c r="AM486" s="98" t="str">
        <f t="shared" si="287"/>
        <v>1+30073.2156365561i</v>
      </c>
      <c r="AN486" s="98">
        <f t="shared" si="303"/>
        <v>30073.215653182189</v>
      </c>
      <c r="AO486" s="98">
        <f t="shared" si="304"/>
        <v>1.570763074614228</v>
      </c>
      <c r="AP486" s="168" t="str">
        <f t="shared" si="305"/>
        <v>-0.000109898889576967+0.00330501666249831i</v>
      </c>
      <c r="AQ486" s="98">
        <f t="shared" si="306"/>
        <v>-49.61172756960476</v>
      </c>
      <c r="AR486" s="169">
        <f t="shared" si="307"/>
        <v>91.904505770195684</v>
      </c>
      <c r="AS486" s="168" t="str">
        <f t="shared" si="308"/>
        <v>-4.97174397429447E-07+3.96761226187455E-06i</v>
      </c>
      <c r="AT486" s="190">
        <f t="shared" si="309"/>
        <v>-107.96175181582852</v>
      </c>
      <c r="AU486" s="169">
        <f t="shared" si="310"/>
        <v>97.14240324045673</v>
      </c>
      <c r="AV486" s="225"/>
      <c r="AX486">
        <f t="shared" si="311"/>
        <v>0</v>
      </c>
      <c r="AY486">
        <f t="shared" si="312"/>
        <v>0</v>
      </c>
    </row>
    <row r="487" spans="14:51" x14ac:dyDescent="0.55000000000000004">
      <c r="N487" s="170">
        <v>69</v>
      </c>
      <c r="O487" s="199">
        <f t="shared" si="313"/>
        <v>489778.81936844654</v>
      </c>
      <c r="P487" s="189" t="str">
        <f t="shared" si="279"/>
        <v>1078.86904761905</v>
      </c>
      <c r="Q487" s="160" t="str">
        <f t="shared" si="280"/>
        <v>1+96167.8463007372i</v>
      </c>
      <c r="R487" s="160">
        <f t="shared" si="288"/>
        <v>96167.846305936459</v>
      </c>
      <c r="S487" s="160">
        <f t="shared" si="289"/>
        <v>1.5707859283089325</v>
      </c>
      <c r="T487" s="160" t="str">
        <f t="shared" si="281"/>
        <v>1+0.0615474216324718i</v>
      </c>
      <c r="U487" s="160">
        <f t="shared" si="290"/>
        <v>1.0018922522455223</v>
      </c>
      <c r="V487" s="160">
        <f t="shared" si="291"/>
        <v>6.1469882168169745E-2</v>
      </c>
      <c r="W487" s="98" t="str">
        <f t="shared" si="282"/>
        <v>1-44.5135572214689i</v>
      </c>
      <c r="X487" s="160">
        <f t="shared" si="292"/>
        <v>44.524788337610168</v>
      </c>
      <c r="Y487" s="160">
        <f t="shared" si="293"/>
        <v>-1.5483350388876893</v>
      </c>
      <c r="Z487" s="98" t="str">
        <f t="shared" si="283"/>
        <v>-433.374453421368+3.53581674833401i</v>
      </c>
      <c r="AA487" s="160">
        <f t="shared" si="294"/>
        <v>433.38887719731258</v>
      </c>
      <c r="AB487" s="160">
        <f t="shared" si="295"/>
        <v>3.1334340317134504</v>
      </c>
      <c r="AC487" s="171" t="str">
        <f t="shared" si="296"/>
        <v>0.00114984530073068+0.000106201423698435i</v>
      </c>
      <c r="AD487" s="190">
        <f t="shared" si="297"/>
        <v>-58.750320717465598</v>
      </c>
      <c r="AE487" s="169">
        <f t="shared" si="298"/>
        <v>5.2769522044304651</v>
      </c>
      <c r="AF487" s="98" t="str">
        <f t="shared" si="284"/>
        <v>-9.95024875621891E-06</v>
      </c>
      <c r="AG487" s="98" t="str">
        <f t="shared" si="285"/>
        <v>3.08044845270521i</v>
      </c>
      <c r="AH487" s="98">
        <f t="shared" si="299"/>
        <v>3.0804484527052098</v>
      </c>
      <c r="AI487" s="98">
        <f t="shared" si="300"/>
        <v>1.5707963267948966</v>
      </c>
      <c r="AJ487" s="98" t="str">
        <f t="shared" si="286"/>
        <v>1+30.7429678483875i</v>
      </c>
      <c r="AK487" s="98">
        <f t="shared" si="301"/>
        <v>30.759227430593697</v>
      </c>
      <c r="AL487" s="98">
        <f t="shared" si="302"/>
        <v>1.5382800276686883</v>
      </c>
      <c r="AM487" s="98" t="str">
        <f t="shared" si="287"/>
        <v>1+30773.7108162359i</v>
      </c>
      <c r="AN487" s="98">
        <f t="shared" si="303"/>
        <v>30773.710832483535</v>
      </c>
      <c r="AO487" s="98">
        <f t="shared" si="304"/>
        <v>1.5707638315262689</v>
      </c>
      <c r="AP487" s="168" t="str">
        <f t="shared" si="305"/>
        <v>-0.000104957852648917+0.00322994601935515i</v>
      </c>
      <c r="AQ487" s="98">
        <f t="shared" si="306"/>
        <v>-49.811511244822768</v>
      </c>
      <c r="AR487" s="169">
        <f t="shared" si="307"/>
        <v>91.861184863570116</v>
      </c>
      <c r="AS487" s="168" t="str">
        <f t="shared" si="308"/>
        <v>-4.6371015936775E-07+3.70279157858964E-06i</v>
      </c>
      <c r="AT487" s="190">
        <f t="shared" si="309"/>
        <v>-108.56183196228835</v>
      </c>
      <c r="AU487" s="169">
        <f t="shared" si="310"/>
        <v>97.138137068000574</v>
      </c>
      <c r="AV487" s="225"/>
      <c r="AX487">
        <f t="shared" si="311"/>
        <v>0</v>
      </c>
      <c r="AY487">
        <f t="shared" si="312"/>
        <v>0</v>
      </c>
    </row>
    <row r="488" spans="14:51" x14ac:dyDescent="0.55000000000000004">
      <c r="N488" s="170">
        <v>70</v>
      </c>
      <c r="O488" s="199">
        <f t="shared" si="313"/>
        <v>501187.23362727347</v>
      </c>
      <c r="P488" s="189" t="str">
        <f t="shared" si="279"/>
        <v>1078.86904761905</v>
      </c>
      <c r="Q488" s="160" t="str">
        <f t="shared" si="280"/>
        <v>1+98407.8832022772i</v>
      </c>
      <c r="R488" s="160">
        <f t="shared" si="288"/>
        <v>98407.883207358085</v>
      </c>
      <c r="S488" s="160">
        <f t="shared" si="289"/>
        <v>1.5707861650073709</v>
      </c>
      <c r="T488" s="160" t="str">
        <f t="shared" si="281"/>
        <v>1+0.0629810452494574i</v>
      </c>
      <c r="U488" s="160">
        <f t="shared" si="290"/>
        <v>1.0019813431699784</v>
      </c>
      <c r="V488" s="160">
        <f t="shared" si="291"/>
        <v>6.2897969087323868E-2</v>
      </c>
      <c r="W488" s="98" t="str">
        <f t="shared" si="282"/>
        <v>1-45.5504111662176i</v>
      </c>
      <c r="X488" s="160">
        <f t="shared" si="292"/>
        <v>45.561386693245865</v>
      </c>
      <c r="Y488" s="160">
        <f t="shared" si="293"/>
        <v>-1.5488461540987137</v>
      </c>
      <c r="Z488" s="98" t="str">
        <f t="shared" si="283"/>
        <v>-453.845890721522+3.61817650055913i</v>
      </c>
      <c r="AA488" s="160">
        <f t="shared" si="294"/>
        <v>453.8603130105131</v>
      </c>
      <c r="AB488" s="160">
        <f t="shared" si="295"/>
        <v>3.1336205645523147</v>
      </c>
      <c r="AC488" s="171" t="str">
        <f t="shared" si="296"/>
        <v>0.00109799218167408+0.000102220842884575i</v>
      </c>
      <c r="AD488" s="190">
        <f t="shared" si="297"/>
        <v>-59.150535922304357</v>
      </c>
      <c r="AE488" s="169">
        <f t="shared" si="298"/>
        <v>5.3187897070101329</v>
      </c>
      <c r="AF488" s="98" t="str">
        <f t="shared" si="284"/>
        <v>-9.95024875621891E-06</v>
      </c>
      <c r="AG488" s="98" t="str">
        <f t="shared" si="285"/>
        <v>3.15220131473534i</v>
      </c>
      <c r="AH488" s="98">
        <f t="shared" si="299"/>
        <v>3.1522013147353398</v>
      </c>
      <c r="AI488" s="98">
        <f t="shared" si="300"/>
        <v>1.5707963267948966</v>
      </c>
      <c r="AJ488" s="98" t="str">
        <f t="shared" si="286"/>
        <v>1+31.4590635611675i</v>
      </c>
      <c r="AK488" s="98">
        <f t="shared" si="301"/>
        <v>31.474953219116575</v>
      </c>
      <c r="AL488" s="98">
        <f t="shared" si="302"/>
        <v>1.5390196850519087</v>
      </c>
      <c r="AM488" s="98" t="str">
        <f t="shared" si="287"/>
        <v>1+31490.5226247287i</v>
      </c>
      <c r="AN488" s="98">
        <f t="shared" si="303"/>
        <v>31490.522640606494</v>
      </c>
      <c r="AO488" s="98">
        <f t="shared" si="304"/>
        <v>1.570764571208888</v>
      </c>
      <c r="AP488" s="168" t="str">
        <f t="shared" si="305"/>
        <v>-0.000100238739481967+0.00315657347985422i</v>
      </c>
      <c r="AQ488" s="98">
        <f t="shared" si="306"/>
        <v>-50.011304646200536</v>
      </c>
      <c r="AR488" s="169">
        <f t="shared" si="307"/>
        <v>91.818847997918184</v>
      </c>
      <c r="AS488" s="168" t="str">
        <f t="shared" si="308"/>
        <v>-4.32728953989859E-07+3.45564651332014E-06i</v>
      </c>
      <c r="AT488" s="190">
        <f t="shared" si="309"/>
        <v>-109.1618405685049</v>
      </c>
      <c r="AU488" s="169">
        <f t="shared" si="310"/>
        <v>97.137637704928324</v>
      </c>
      <c r="AV488" s="225"/>
      <c r="AX488">
        <f t="shared" si="311"/>
        <v>0</v>
      </c>
      <c r="AY488">
        <f t="shared" si="312"/>
        <v>0</v>
      </c>
    </row>
    <row r="489" spans="14:51" x14ac:dyDescent="0.55000000000000004">
      <c r="N489" s="170">
        <v>71</v>
      </c>
      <c r="O489" s="199">
        <f t="shared" si="313"/>
        <v>512861.38399136515</v>
      </c>
      <c r="P489" s="189" t="str">
        <f t="shared" si="279"/>
        <v>1078.86904761905</v>
      </c>
      <c r="Q489" s="160" t="str">
        <f t="shared" si="280"/>
        <v>1+100700.097266073i</v>
      </c>
      <c r="R489" s="160">
        <f t="shared" si="288"/>
        <v>100700.09727103825</v>
      </c>
      <c r="S489" s="160">
        <f t="shared" si="289"/>
        <v>1.570786396317895</v>
      </c>
      <c r="T489" s="160" t="str">
        <f t="shared" si="281"/>
        <v>1+0.0644480622502866i</v>
      </c>
      <c r="U489" s="160">
        <f t="shared" si="290"/>
        <v>1.0020746243308514</v>
      </c>
      <c r="V489" s="160">
        <f t="shared" si="291"/>
        <v>6.4359054489350087E-2</v>
      </c>
      <c r="W489" s="98" t="str">
        <f t="shared" si="282"/>
        <v>1-46.6114165418973i</v>
      </c>
      <c r="X489" s="160">
        <f t="shared" si="292"/>
        <v>46.622142293573951</v>
      </c>
      <c r="Y489" s="160">
        <f t="shared" si="293"/>
        <v>-1.5493456459909674</v>
      </c>
      <c r="Z489" s="98" t="str">
        <f t="shared" si="283"/>
        <v>-475.28211713814+3.70245465785705i</v>
      </c>
      <c r="AA489" s="160">
        <f t="shared" si="294"/>
        <v>475.29653800738555</v>
      </c>
      <c r="AB489" s="160">
        <f t="shared" si="295"/>
        <v>3.1338027965061324</v>
      </c>
      <c r="AC489" s="171" t="str">
        <f t="shared" si="296"/>
        <v>0.00104848178915552+0.0000984355699691844i</v>
      </c>
      <c r="AD489" s="190">
        <f t="shared" si="297"/>
        <v>-59.550670348083059</v>
      </c>
      <c r="AE489" s="169">
        <f t="shared" si="298"/>
        <v>5.363430581764284</v>
      </c>
      <c r="AF489" s="98" t="str">
        <f t="shared" si="284"/>
        <v>-9.95024875621891E-06</v>
      </c>
      <c r="AG489" s="98" t="str">
        <f t="shared" si="285"/>
        <v>3.22562551562685i</v>
      </c>
      <c r="AH489" s="98">
        <f t="shared" si="299"/>
        <v>3.2256255156268501</v>
      </c>
      <c r="AI489" s="98">
        <f t="shared" si="300"/>
        <v>1.5707963267948966</v>
      </c>
      <c r="AJ489" s="98" t="str">
        <f t="shared" si="286"/>
        <v>1+32.1918392858574i</v>
      </c>
      <c r="AK489" s="98">
        <f t="shared" si="301"/>
        <v>32.207367427445412</v>
      </c>
      <c r="AL489" s="98">
        <f t="shared" si="302"/>
        <v>1.539742539387736</v>
      </c>
      <c r="AM489" s="98" t="str">
        <f t="shared" si="287"/>
        <v>1+32224.0311251433i</v>
      </c>
      <c r="AN489" s="98">
        <f t="shared" si="303"/>
        <v>32224.03114065967</v>
      </c>
      <c r="AO489" s="98">
        <f t="shared" si="304"/>
        <v>1.5707652940542753</v>
      </c>
      <c r="AP489" s="168" t="str">
        <f t="shared" si="305"/>
        <v>-0.0000957316022356295+0.00308486110388554i</v>
      </c>
      <c r="AQ489" s="98">
        <f t="shared" si="306"/>
        <v>-50.211107336872978</v>
      </c>
      <c r="AR489" s="169">
        <f t="shared" si="307"/>
        <v>91.777472911262478</v>
      </c>
      <c r="AS489" s="168" t="str">
        <f t="shared" si="308"/>
        <v>-4.04032902627478E-07+3.22499729466806E-06i</v>
      </c>
      <c r="AT489" s="190">
        <f t="shared" si="309"/>
        <v>-109.76177768495603</v>
      </c>
      <c r="AU489" s="169">
        <f t="shared" si="310"/>
        <v>97.140903493026769</v>
      </c>
      <c r="AV489" s="225"/>
      <c r="AX489">
        <f t="shared" si="311"/>
        <v>0</v>
      </c>
      <c r="AY489">
        <f t="shared" si="312"/>
        <v>0</v>
      </c>
    </row>
    <row r="490" spans="14:51" x14ac:dyDescent="0.55000000000000004">
      <c r="N490" s="170">
        <v>72</v>
      </c>
      <c r="O490" s="199">
        <f t="shared" si="313"/>
        <v>524807.46024977288</v>
      </c>
      <c r="P490" s="189" t="str">
        <f t="shared" si="279"/>
        <v>1078.86904761905</v>
      </c>
      <c r="Q490" s="160" t="str">
        <f t="shared" si="280"/>
        <v>1+103045.703854363i</v>
      </c>
      <c r="R490" s="160">
        <f t="shared" si="288"/>
        <v>103045.70385921524</v>
      </c>
      <c r="S490" s="160">
        <f t="shared" si="289"/>
        <v>1.5707866223631488</v>
      </c>
      <c r="T490" s="160" t="str">
        <f t="shared" si="281"/>
        <v>1+0.0659492504667922i</v>
      </c>
      <c r="U490" s="160">
        <f t="shared" si="290"/>
        <v>1.0021722923914489</v>
      </c>
      <c r="V490" s="160">
        <f t="shared" si="291"/>
        <v>6.5853888094343491E-2</v>
      </c>
      <c r="W490" s="98" t="str">
        <f t="shared" si="282"/>
        <v>1-47.6971359076028i</v>
      </c>
      <c r="X490" s="160">
        <f t="shared" si="292"/>
        <v>47.707617565629199</v>
      </c>
      <c r="Y490" s="160">
        <f t="shared" si="293"/>
        <v>-1.5498337784041372</v>
      </c>
      <c r="Z490" s="98" t="str">
        <f t="shared" si="283"/>
        <v>-497.728601781472+3.78869590562236i</v>
      </c>
      <c r="AA490" s="160">
        <f t="shared" si="294"/>
        <v>497.74302129513012</v>
      </c>
      <c r="AB490" s="160">
        <f t="shared" si="295"/>
        <v>3.1339808291545586</v>
      </c>
      <c r="AC490" s="171" t="str">
        <f t="shared" si="296"/>
        <v>0.00100120789339398+0.0000948341311063217i</v>
      </c>
      <c r="AD490" s="190">
        <f t="shared" si="297"/>
        <v>-59.950724311568322</v>
      </c>
      <c r="AE490" s="169">
        <f t="shared" si="298"/>
        <v>5.4108968404771902</v>
      </c>
      <c r="AF490" s="98" t="str">
        <f t="shared" si="284"/>
        <v>-9.95024875621891E-06</v>
      </c>
      <c r="AG490" s="98" t="str">
        <f t="shared" si="285"/>
        <v>3.30075998586295i</v>
      </c>
      <c r="AH490" s="98">
        <f t="shared" si="299"/>
        <v>3.3007599858629502</v>
      </c>
      <c r="AI490" s="98">
        <f t="shared" si="300"/>
        <v>1.5707963267948966</v>
      </c>
      <c r="AJ490" s="98" t="str">
        <f t="shared" si="286"/>
        <v>1+32.9416835498463i</v>
      </c>
      <c r="AK490" s="98">
        <f t="shared" si="301"/>
        <v>32.95685839242288</v>
      </c>
      <c r="AL490" s="98">
        <f t="shared" si="302"/>
        <v>1.5404489709197424</v>
      </c>
      <c r="AM490" s="98" t="str">
        <f t="shared" si="287"/>
        <v>1+32974.6252333961i</v>
      </c>
      <c r="AN490" s="98">
        <f t="shared" si="303"/>
        <v>32974.625248559278</v>
      </c>
      <c r="AO490" s="98">
        <f t="shared" si="304"/>
        <v>1.5707660004456927</v>
      </c>
      <c r="AP490" s="168" t="str">
        <f t="shared" si="305"/>
        <v>-0.0000914269372512213+0.00301477176751411i</v>
      </c>
      <c r="AQ490" s="98">
        <f t="shared" si="306"/>
        <v>-50.41091889955959</v>
      </c>
      <c r="AR490" s="169">
        <f t="shared" si="307"/>
        <v>91.737037839210458</v>
      </c>
      <c r="AS490" s="168" t="str">
        <f t="shared" si="308"/>
        <v>-3.77440632300829E-07+3.00974289626252E-06i</v>
      </c>
      <c r="AT490" s="190">
        <f t="shared" si="309"/>
        <v>-110.36164321112791</v>
      </c>
      <c r="AU490" s="169">
        <f t="shared" si="310"/>
        <v>97.147934679687637</v>
      </c>
      <c r="AV490" s="225"/>
      <c r="AX490">
        <f t="shared" si="311"/>
        <v>0</v>
      </c>
      <c r="AY490">
        <f t="shared" si="312"/>
        <v>0</v>
      </c>
    </row>
    <row r="491" spans="14:51" x14ac:dyDescent="0.55000000000000004">
      <c r="N491" s="170">
        <v>73</v>
      </c>
      <c r="O491" s="199">
        <f t="shared" si="313"/>
        <v>537031.7963702539</v>
      </c>
      <c r="P491" s="189" t="str">
        <f t="shared" si="279"/>
        <v>1078.86904761905</v>
      </c>
      <c r="Q491" s="160" t="str">
        <f t="shared" si="280"/>
        <v>1+105445.946638807i</v>
      </c>
      <c r="R491" s="160">
        <f t="shared" si="288"/>
        <v>105445.94664354877</v>
      </c>
      <c r="S491" s="160">
        <f t="shared" si="289"/>
        <v>1.5707868432629843</v>
      </c>
      <c r="T491" s="160" t="str">
        <f t="shared" si="281"/>
        <v>1+0.0674854058488368i</v>
      </c>
      <c r="U491" s="160">
        <f t="shared" si="290"/>
        <v>1.0022745532051496</v>
      </c>
      <c r="V491" s="160">
        <f t="shared" si="291"/>
        <v>6.738323574584007E-2</v>
      </c>
      <c r="W491" s="98" t="str">
        <f t="shared" si="282"/>
        <v>1-48.8081449261128i</v>
      </c>
      <c r="X491" s="160">
        <f t="shared" si="292"/>
        <v>48.818388043117842</v>
      </c>
      <c r="Y491" s="160">
        <f t="shared" si="293"/>
        <v>-1.550310809221485</v>
      </c>
      <c r="Z491" s="98" t="str">
        <f t="shared" si="283"/>
        <v>-521.232956654889+3.87694597010615i</v>
      </c>
      <c r="AA491" s="160">
        <f t="shared" si="294"/>
        <v>521.24737487420748</v>
      </c>
      <c r="AB491" s="160">
        <f t="shared" si="295"/>
        <v>3.134154761517606</v>
      </c>
      <c r="AC491" s="171" t="str">
        <f t="shared" si="296"/>
        <v>0.000956069115489409+0.0000914057870776876i</v>
      </c>
      <c r="AD491" s="190">
        <f t="shared" si="297"/>
        <v>-60.35069795988808</v>
      </c>
      <c r="AE491" s="169">
        <f t="shared" si="298"/>
        <v>5.4612119068328413</v>
      </c>
      <c r="AF491" s="98" t="str">
        <f t="shared" si="284"/>
        <v>-9.95024875621891E-06</v>
      </c>
      <c r="AG491" s="98" t="str">
        <f t="shared" si="285"/>
        <v>3.37764456273428i</v>
      </c>
      <c r="AH491" s="98">
        <f t="shared" si="299"/>
        <v>3.3776445627342802</v>
      </c>
      <c r="AI491" s="98">
        <f t="shared" si="300"/>
        <v>1.5707963267948966</v>
      </c>
      <c r="AJ491" s="98" t="str">
        <f t="shared" si="286"/>
        <v>1+33.7089939304879i</v>
      </c>
      <c r="AK491" s="98">
        <f t="shared" si="301"/>
        <v>33.723823505137581</v>
      </c>
      <c r="AL491" s="98">
        <f t="shared" si="302"/>
        <v>1.5411393513853315</v>
      </c>
      <c r="AM491" s="98" t="str">
        <f t="shared" si="287"/>
        <v>1+33742.7029244184i</v>
      </c>
      <c r="AN491" s="98">
        <f t="shared" si="303"/>
        <v>33742.70293923642</v>
      </c>
      <c r="AO491" s="98">
        <f t="shared" si="304"/>
        <v>1.5707666907576785</v>
      </c>
      <c r="AP491" s="168" t="str">
        <f t="shared" si="305"/>
        <v>-0.0000873156653713035+0.00294626914754981i</v>
      </c>
      <c r="AQ491" s="98">
        <f t="shared" si="306"/>
        <v>-50.610738935689568</v>
      </c>
      <c r="AR491" s="169">
        <f t="shared" si="307"/>
        <v>91.697521504237258</v>
      </c>
      <c r="AS491" s="168" t="str">
        <f t="shared" si="308"/>
        <v>-3.52785861334409E-07+2.80885578077421E-06i</v>
      </c>
      <c r="AT491" s="190">
        <f t="shared" si="309"/>
        <v>-110.96143689557763</v>
      </c>
      <c r="AU491" s="169">
        <f t="shared" si="310"/>
        <v>97.158733411070074</v>
      </c>
      <c r="AV491" s="225"/>
      <c r="AX491">
        <f t="shared" si="311"/>
        <v>0</v>
      </c>
      <c r="AY491">
        <f t="shared" si="312"/>
        <v>0</v>
      </c>
    </row>
    <row r="492" spans="14:51" x14ac:dyDescent="0.55000000000000004">
      <c r="N492" s="170">
        <v>74</v>
      </c>
      <c r="O492" s="199">
        <f t="shared" si="313"/>
        <v>549540.87385762564</v>
      </c>
      <c r="P492" s="189" t="str">
        <f t="shared" si="279"/>
        <v>1078.86904761905</v>
      </c>
      <c r="Q492" s="160" t="str">
        <f t="shared" si="280"/>
        <v>1+107902.098259902i</v>
      </c>
      <c r="R492" s="160">
        <f t="shared" si="288"/>
        <v>107902.09826453583</v>
      </c>
      <c r="S492" s="160">
        <f t="shared" si="289"/>
        <v>1.5707870591345259</v>
      </c>
      <c r="T492" s="160" t="str">
        <f t="shared" si="281"/>
        <v>1+0.0690573428863372i</v>
      </c>
      <c r="U492" s="160">
        <f t="shared" si="290"/>
        <v>1.0023816222410111</v>
      </c>
      <c r="V492" s="160">
        <f t="shared" si="291"/>
        <v>6.8947879692121114E-2</v>
      </c>
      <c r="W492" s="98" t="str">
        <f t="shared" si="282"/>
        <v>1-49.9450326691145i</v>
      </c>
      <c r="X492" s="160">
        <f t="shared" si="292"/>
        <v>49.955042671575349</v>
      </c>
      <c r="Y492" s="160">
        <f t="shared" si="293"/>
        <v>-1.5507769905021476</v>
      </c>
      <c r="Z492" s="98" t="str">
        <f t="shared" si="283"/>
        <v>-545.845037646363+3.96725164266074i</v>
      </c>
      <c r="AA492" s="160">
        <f t="shared" si="294"/>
        <v>545.85945462981192</v>
      </c>
      <c r="AB492" s="160">
        <f t="shared" si="295"/>
        <v>3.1343246901306232</v>
      </c>
      <c r="AC492" s="171" t="str">
        <f t="shared" si="296"/>
        <v>0.000912968702924998+0.0000881404844934199i</v>
      </c>
      <c r="AD492" s="190">
        <f t="shared" si="297"/>
        <v>-60.750591271119688</v>
      </c>
      <c r="AE492" s="169">
        <f t="shared" si="298"/>
        <v>5.5144006206528351</v>
      </c>
      <c r="AF492" s="98" t="str">
        <f t="shared" si="284"/>
        <v>-9.95024875621891E-06</v>
      </c>
      <c r="AG492" s="98" t="str">
        <f t="shared" si="285"/>
        <v>3.45632001146118i</v>
      </c>
      <c r="AH492" s="98">
        <f t="shared" si="299"/>
        <v>3.4563200114611798</v>
      </c>
      <c r="AI492" s="98">
        <f t="shared" si="300"/>
        <v>1.5707963267948966</v>
      </c>
      <c r="AJ492" s="98" t="str">
        <f t="shared" si="286"/>
        <v>1+34.4941772659027i</v>
      </c>
      <c r="AK492" s="98">
        <f t="shared" si="301"/>
        <v>34.508669421632568</v>
      </c>
      <c r="AL492" s="98">
        <f t="shared" si="302"/>
        <v>1.5418140441994366</v>
      </c>
      <c r="AM492" s="98" t="str">
        <f t="shared" si="287"/>
        <v>1+34528.6714431686i</v>
      </c>
      <c r="AN492" s="98">
        <f t="shared" si="303"/>
        <v>34528.67145764931</v>
      </c>
      <c r="AO492" s="98">
        <f t="shared" si="304"/>
        <v>1.5707673653562451</v>
      </c>
      <c r="AP492" s="168" t="str">
        <f t="shared" si="305"/>
        <v>-0.0000833891131176481+0.00287931770626025i</v>
      </c>
      <c r="AQ492" s="98">
        <f t="shared" si="306"/>
        <v>-50.810567064566207</v>
      </c>
      <c r="AR492" s="169">
        <f t="shared" si="307"/>
        <v>91.658903105171945</v>
      </c>
      <c r="AS492" s="168" t="str">
        <f t="shared" si="308"/>
        <v>-3.29916108081346E-07+2.62137699476174E-06i</v>
      </c>
      <c r="AT492" s="190">
        <f t="shared" si="309"/>
        <v>-111.56115833568589</v>
      </c>
      <c r="AU492" s="169">
        <f t="shared" si="310"/>
        <v>97.173303725824766</v>
      </c>
      <c r="AV492" s="225"/>
      <c r="AX492">
        <f t="shared" si="311"/>
        <v>0</v>
      </c>
      <c r="AY492">
        <f t="shared" si="312"/>
        <v>0</v>
      </c>
    </row>
    <row r="493" spans="14:51" x14ac:dyDescent="0.55000000000000004">
      <c r="N493" s="170">
        <v>75</v>
      </c>
      <c r="O493" s="199">
        <f t="shared" si="313"/>
        <v>562341.32519035018</v>
      </c>
      <c r="P493" s="189" t="str">
        <f t="shared" si="279"/>
        <v>1078.86904761905</v>
      </c>
      <c r="Q493" s="160" t="str">
        <f t="shared" si="280"/>
        <v>1+110415.461001747i</v>
      </c>
      <c r="R493" s="160">
        <f t="shared" si="288"/>
        <v>110415.46100627536</v>
      </c>
      <c r="S493" s="160">
        <f t="shared" si="289"/>
        <v>1.570787270092231</v>
      </c>
      <c r="T493" s="160" t="str">
        <f t="shared" si="281"/>
        <v>1+0.0706658950411182i</v>
      </c>
      <c r="U493" s="160">
        <f t="shared" si="290"/>
        <v>1.0024937250287218</v>
      </c>
      <c r="V493" s="160">
        <f t="shared" si="291"/>
        <v>7.0548618867516233E-2</v>
      </c>
      <c r="W493" s="98" t="str">
        <f t="shared" si="282"/>
        <v>1-51.1084019295384i</v>
      </c>
      <c r="X493" s="160">
        <f t="shared" si="292"/>
        <v>51.118184120636016</v>
      </c>
      <c r="Y493" s="160">
        <f t="shared" si="293"/>
        <v>-1.5512325686106434</v>
      </c>
      <c r="Z493" s="98" t="str">
        <f t="shared" si="283"/>
        <v>-571.617050279476+4.05966080454905i</v>
      </c>
      <c r="AA493" s="160">
        <f t="shared" si="294"/>
        <v>571.63146608287502</v>
      </c>
      <c r="AB493" s="160">
        <f t="shared" si="295"/>
        <v>3.1344907091164234</v>
      </c>
      <c r="AC493" s="171" t="str">
        <f t="shared" si="296"/>
        <v>0.000871814315721242+0.0000850288102968795i</v>
      </c>
      <c r="AD493" s="190">
        <f t="shared" si="297"/>
        <v>-61.150404054528408</v>
      </c>
      <c r="AE493" s="169">
        <f t="shared" si="298"/>
        <v>5.5704892424573007</v>
      </c>
      <c r="AF493" s="98" t="str">
        <f t="shared" si="284"/>
        <v>-9.95024875621891E-06</v>
      </c>
      <c r="AG493" s="98" t="str">
        <f t="shared" si="285"/>
        <v>3.53682804680796i</v>
      </c>
      <c r="AH493" s="98">
        <f t="shared" si="299"/>
        <v>3.53682804680796</v>
      </c>
      <c r="AI493" s="98">
        <f t="shared" si="300"/>
        <v>1.5707963267948966</v>
      </c>
      <c r="AJ493" s="98" t="str">
        <f t="shared" si="286"/>
        <v>1+35.2976498706884i</v>
      </c>
      <c r="AK493" s="98">
        <f t="shared" si="301"/>
        <v>35.311812278523867</v>
      </c>
      <c r="AL493" s="98">
        <f t="shared" si="302"/>
        <v>1.5424734046346951</v>
      </c>
      <c r="AM493" s="98" t="str">
        <f t="shared" si="287"/>
        <v>1+35332.9475205591i</v>
      </c>
      <c r="AN493" s="98">
        <f t="shared" si="303"/>
        <v>35332.947534710198</v>
      </c>
      <c r="AO493" s="98">
        <f t="shared" si="304"/>
        <v>1.5707680245990736</v>
      </c>
      <c r="AP493" s="168" t="str">
        <f t="shared" si="305"/>
        <v>-0.0000796389946915021+0.0028138826762373i</v>
      </c>
      <c r="AQ493" s="98">
        <f t="shared" si="306"/>
        <v>-51.010402922567891</v>
      </c>
      <c r="AR493" s="169">
        <f t="shared" si="307"/>
        <v>91.621162306885495</v>
      </c>
      <c r="AS493" s="168" t="str">
        <f t="shared" si="308"/>
        <v>-3.08691511937156E-07+2.44641159093182E-06i</v>
      </c>
      <c r="AT493" s="190">
        <f t="shared" si="309"/>
        <v>-112.16080697709629</v>
      </c>
      <c r="AU493" s="169">
        <f t="shared" si="310"/>
        <v>97.19165154934278</v>
      </c>
      <c r="AV493" s="225"/>
      <c r="AX493">
        <f t="shared" si="311"/>
        <v>0</v>
      </c>
      <c r="AY493">
        <f t="shared" si="312"/>
        <v>0</v>
      </c>
    </row>
    <row r="494" spans="14:51" x14ac:dyDescent="0.55000000000000004">
      <c r="N494" s="170">
        <v>76</v>
      </c>
      <c r="O494" s="199">
        <f t="shared" si="313"/>
        <v>575439.93733715697</v>
      </c>
      <c r="P494" s="189" t="str">
        <f t="shared" si="279"/>
        <v>1078.86904761905</v>
      </c>
      <c r="Q494" s="160" t="str">
        <f t="shared" si="280"/>
        <v>1+112987.367482537i</v>
      </c>
      <c r="R494" s="160">
        <f t="shared" si="288"/>
        <v>112987.36748696226</v>
      </c>
      <c r="S494" s="160">
        <f t="shared" si="289"/>
        <v>1.5707874762479528</v>
      </c>
      <c r="T494" s="160" t="str">
        <f t="shared" si="281"/>
        <v>1+0.0723119151888234i</v>
      </c>
      <c r="U494" s="160">
        <f t="shared" si="290"/>
        <v>1.0026110976237375</v>
      </c>
      <c r="V494" s="160">
        <f t="shared" si="291"/>
        <v>7.218626917325742E-2</v>
      </c>
      <c r="W494" s="98" t="str">
        <f t="shared" si="282"/>
        <v>1-52.2988695411647i</v>
      </c>
      <c r="X494" s="160">
        <f t="shared" si="292"/>
        <v>52.308429103575314</v>
      </c>
      <c r="Y494" s="160">
        <f t="shared" si="293"/>
        <v>-1.5516777843436347</v>
      </c>
      <c r="Z494" s="98" t="str">
        <f t="shared" si="283"/>
        <v>-598.603660448337+4.15422245233188i</v>
      </c>
      <c r="AA494" s="160">
        <f t="shared" si="294"/>
        <v>598.61807512497603</v>
      </c>
      <c r="AB494" s="160">
        <f t="shared" si="295"/>
        <v>3.1346529102547178</v>
      </c>
      <c r="AC494" s="171" t="str">
        <f t="shared" si="296"/>
        <v>0.000832517822713263+0.0000820619493460679i</v>
      </c>
      <c r="AD494" s="190">
        <f t="shared" si="297"/>
        <v>-61.550135950462447</v>
      </c>
      <c r="AE494" s="169">
        <f t="shared" si="298"/>
        <v>5.6295054583121038</v>
      </c>
      <c r="AF494" s="98" t="str">
        <f t="shared" si="284"/>
        <v>-9.95024875621891E-06</v>
      </c>
      <c r="AG494" s="98" t="str">
        <f t="shared" si="285"/>
        <v>3.61921135520061i</v>
      </c>
      <c r="AH494" s="98">
        <f t="shared" si="299"/>
        <v>3.6192113552006102</v>
      </c>
      <c r="AI494" s="98">
        <f t="shared" si="300"/>
        <v>1.5707963267948966</v>
      </c>
      <c r="AJ494" s="98" t="str">
        <f t="shared" si="286"/>
        <v>1+36.119837756655i</v>
      </c>
      <c r="AK494" s="98">
        <f t="shared" si="301"/>
        <v>36.133677913645599</v>
      </c>
      <c r="AL494" s="98">
        <f t="shared" si="302"/>
        <v>1.5431177799981364</v>
      </c>
      <c r="AM494" s="98" t="str">
        <f t="shared" si="287"/>
        <v>1+36155.9575944117i</v>
      </c>
      <c r="AN494" s="98">
        <f t="shared" si="303"/>
        <v>36155.957608240686</v>
      </c>
      <c r="AO494" s="98">
        <f t="shared" si="304"/>
        <v>1.5707686688357032</v>
      </c>
      <c r="AP494" s="168" t="str">
        <f t="shared" si="305"/>
        <v>-0.0000760573947612837+0.00274993004542633i</v>
      </c>
      <c r="AQ494" s="98">
        <f t="shared" si="306"/>
        <v>-51.210246162384976</v>
      </c>
      <c r="AR494" s="169">
        <f t="shared" si="307"/>
        <v>91.58427923017797</v>
      </c>
      <c r="AS494" s="168" t="str">
        <f t="shared" si="308"/>
        <v>-2.88983756780913E-07+2.28312435595582E-06i</v>
      </c>
      <c r="AT494" s="190">
        <f t="shared" si="309"/>
        <v>-112.76038211284742</v>
      </c>
      <c r="AU494" s="169">
        <f t="shared" si="310"/>
        <v>97.213784688490065</v>
      </c>
      <c r="AV494" s="225"/>
      <c r="AX494">
        <f t="shared" si="311"/>
        <v>0</v>
      </c>
      <c r="AY494">
        <f t="shared" si="312"/>
        <v>0</v>
      </c>
    </row>
    <row r="495" spans="14:51" x14ac:dyDescent="0.55000000000000004">
      <c r="N495" s="170">
        <v>77</v>
      </c>
      <c r="O495" s="199">
        <f t="shared" si="313"/>
        <v>588843.65535558888</v>
      </c>
      <c r="P495" s="189" t="str">
        <f t="shared" si="279"/>
        <v>1078.86904761905</v>
      </c>
      <c r="Q495" s="160" t="str">
        <f t="shared" si="280"/>
        <v>1+115619.18136113i</v>
      </c>
      <c r="R495" s="160">
        <f t="shared" si="288"/>
        <v>115619.18136545455</v>
      </c>
      <c r="S495" s="160">
        <f t="shared" si="289"/>
        <v>1.5707876777109973</v>
      </c>
      <c r="T495" s="160" t="str">
        <f t="shared" si="281"/>
        <v>1+0.0739962760711232i</v>
      </c>
      <c r="U495" s="160">
        <f t="shared" si="290"/>
        <v>1.0027339870934833</v>
      </c>
      <c r="V495" s="160">
        <f t="shared" si="291"/>
        <v>7.3861663757404342E-2</v>
      </c>
      <c r="W495" s="98" t="str">
        <f t="shared" si="282"/>
        <v>1-53.5170667056792i</v>
      </c>
      <c r="X495" s="160">
        <f t="shared" si="292"/>
        <v>53.526408704303307</v>
      </c>
      <c r="Y495" s="160">
        <f t="shared" si="293"/>
        <v>-1.5521128730539966</v>
      </c>
      <c r="Z495" s="98" t="str">
        <f t="shared" si="283"/>
        <v>-626.86211037127+4.25098672384659i</v>
      </c>
      <c r="AA495" s="160">
        <f t="shared" si="294"/>
        <v>626.87652397202476</v>
      </c>
      <c r="AB495" s="160">
        <f t="shared" si="295"/>
        <v>3.1348113830489805</v>
      </c>
      <c r="AC495" s="171" t="str">
        <f t="shared" si="296"/>
        <v>0.000794995107451735+0.0000792316448603524i</v>
      </c>
      <c r="AD495" s="190">
        <f t="shared" si="297"/>
        <v>-61.949786429903369</v>
      </c>
      <c r="AE495" s="169">
        <f t="shared" si="298"/>
        <v>5.6914783849241974</v>
      </c>
      <c r="AF495" s="98" t="str">
        <f t="shared" si="284"/>
        <v>-9.95024875621891E-06</v>
      </c>
      <c r="AG495" s="98" t="str">
        <f t="shared" si="285"/>
        <v>3.70351361735971i</v>
      </c>
      <c r="AH495" s="98">
        <f t="shared" si="299"/>
        <v>3.7035136173597101</v>
      </c>
      <c r="AI495" s="98">
        <f t="shared" si="300"/>
        <v>1.5707963267948966</v>
      </c>
      <c r="AJ495" s="98" t="str">
        <f t="shared" si="286"/>
        <v>1+36.9611768587029i</v>
      </c>
      <c r="AK495" s="98">
        <f t="shared" si="301"/>
        <v>36.974702091839966</v>
      </c>
      <c r="AL495" s="98">
        <f t="shared" si="302"/>
        <v>1.5437475098044244</v>
      </c>
      <c r="AM495" s="98" t="str">
        <f t="shared" si="287"/>
        <v>1+36998.1380355616i</v>
      </c>
      <c r="AN495" s="98">
        <f t="shared" si="303"/>
        <v>36998.138049075787</v>
      </c>
      <c r="AO495" s="98">
        <f t="shared" si="304"/>
        <v>1.5707692984077168</v>
      </c>
      <c r="AP495" s="168" t="str">
        <f t="shared" si="305"/>
        <v>-0.0000726367520042775+0.00268742654232664i</v>
      </c>
      <c r="AQ495" s="98">
        <f t="shared" si="306"/>
        <v>-51.410096452290261</v>
      </c>
      <c r="AR495" s="169">
        <f t="shared" si="307"/>
        <v>91.548234441863357</v>
      </c>
      <c r="AS495" s="168" t="str">
        <f t="shared" si="308"/>
        <v>-2.70675087854495E-07+0.000002130735823447i</v>
      </c>
      <c r="AT495" s="190">
        <f t="shared" si="309"/>
        <v>-113.35988288219363</v>
      </c>
      <c r="AU495" s="169">
        <f t="shared" si="310"/>
        <v>97.239712826787553</v>
      </c>
      <c r="AV495" s="225"/>
      <c r="AX495">
        <f t="shared" si="311"/>
        <v>0</v>
      </c>
      <c r="AY495">
        <f t="shared" si="312"/>
        <v>0</v>
      </c>
    </row>
    <row r="496" spans="14:51" x14ac:dyDescent="0.55000000000000004">
      <c r="N496" s="170">
        <v>78</v>
      </c>
      <c r="O496" s="199">
        <f t="shared" si="313"/>
        <v>602559.58607435878</v>
      </c>
      <c r="P496" s="189" t="str">
        <f t="shared" si="279"/>
        <v>1078.86904761905</v>
      </c>
      <c r="Q496" s="160" t="str">
        <f t="shared" si="280"/>
        <v>1+118312.298060082i</v>
      </c>
      <c r="R496" s="160">
        <f t="shared" si="288"/>
        <v>118312.2980643081</v>
      </c>
      <c r="S496" s="160">
        <f t="shared" si="289"/>
        <v>1.5707878745881829</v>
      </c>
      <c r="T496" s="160" t="str">
        <f t="shared" si="281"/>
        <v>1+0.0757198707584524i</v>
      </c>
      <c r="U496" s="160">
        <f t="shared" si="290"/>
        <v>1.0028626520255288</v>
      </c>
      <c r="V496" s="160">
        <f t="shared" si="291"/>
        <v>7.5575653293305858E-2</v>
      </c>
      <c r="W496" s="98" t="str">
        <f t="shared" si="282"/>
        <v>1-54.7636393273431i</v>
      </c>
      <c r="X496" s="160">
        <f t="shared" si="292"/>
        <v>54.772768711973278</v>
      </c>
      <c r="Y496" s="160">
        <f t="shared" si="293"/>
        <v>-1.5525380647722387</v>
      </c>
      <c r="Z496" s="98" t="str">
        <f t="shared" si="283"/>
        <v>-656.452340009239+4.35000492479073i</v>
      </c>
      <c r="AA496" s="160">
        <f t="shared" si="294"/>
        <v>656.46675258268124</v>
      </c>
      <c r="AB496" s="160">
        <f t="shared" si="295"/>
        <v>3.1349662147908717</v>
      </c>
      <c r="AC496" s="171" t="str">
        <f t="shared" si="296"/>
        <v>0.00075916588325349+0.0000765301615359071i</v>
      </c>
      <c r="AD496" s="190">
        <f t="shared" si="297"/>
        <v>-62.349354793677286</v>
      </c>
      <c r="AE496" s="169">
        <f t="shared" si="298"/>
        <v>5.7564385749449141</v>
      </c>
      <c r="AF496" s="98" t="str">
        <f t="shared" si="284"/>
        <v>-9.95024875621891E-06</v>
      </c>
      <c r="AG496" s="98" t="str">
        <f t="shared" si="285"/>
        <v>3.78977953146055i</v>
      </c>
      <c r="AH496" s="98">
        <f t="shared" si="299"/>
        <v>3.78977953146055</v>
      </c>
      <c r="AI496" s="98">
        <f t="shared" si="300"/>
        <v>1.5707963267948966</v>
      </c>
      <c r="AJ496" s="98" t="str">
        <f t="shared" si="286"/>
        <v>1+37.8221132659602i</v>
      </c>
      <c r="AK496" s="98">
        <f t="shared" si="301"/>
        <v>37.835330736008146</v>
      </c>
      <c r="AL496" s="98">
        <f t="shared" si="302"/>
        <v>1.5443629259456904</v>
      </c>
      <c r="AM496" s="98" t="str">
        <f t="shared" si="287"/>
        <v>1+37859.9353792262i</v>
      </c>
      <c r="AN496" s="98">
        <f t="shared" si="303"/>
        <v>37859.935392432773</v>
      </c>
      <c r="AO496" s="98">
        <f t="shared" si="304"/>
        <v>1.5707699136489219</v>
      </c>
      <c r="AP496" s="168" t="str">
        <f t="shared" si="305"/>
        <v>-0.0000693698433701811+0.00262633962137016i</v>
      </c>
      <c r="AQ496" s="98">
        <f t="shared" si="306"/>
        <v>-51.609953475441998</v>
      </c>
      <c r="AR496" s="169">
        <f t="shared" si="307"/>
        <v>91.513008945049037</v>
      </c>
      <c r="AS496" s="168" t="str">
        <f t="shared" si="308"/>
        <v>-2.53657413884891E-07+1.98851855306227E-06i</v>
      </c>
      <c r="AT496" s="190">
        <f t="shared" si="309"/>
        <v>-113.95930826911929</v>
      </c>
      <c r="AU496" s="169">
        <f t="shared" si="310"/>
        <v>97.26944751999396</v>
      </c>
      <c r="AV496" s="225"/>
      <c r="AX496">
        <f t="shared" si="311"/>
        <v>0</v>
      </c>
      <c r="AY496">
        <f t="shared" si="312"/>
        <v>0</v>
      </c>
    </row>
    <row r="497" spans="14:51" x14ac:dyDescent="0.55000000000000004">
      <c r="N497" s="170">
        <v>79</v>
      </c>
      <c r="O497" s="199">
        <f t="shared" si="313"/>
        <v>616595.00186148309</v>
      </c>
      <c r="P497" s="189" t="str">
        <f t="shared" si="279"/>
        <v>1078.86904761905</v>
      </c>
      <c r="Q497" s="160" t="str">
        <f t="shared" si="280"/>
        <v>1+121068.145505514i</v>
      </c>
      <c r="R497" s="160">
        <f t="shared" si="288"/>
        <v>121068.1455096439</v>
      </c>
      <c r="S497" s="160">
        <f t="shared" si="289"/>
        <v>1.5707880669838967</v>
      </c>
      <c r="T497" s="160" t="str">
        <f t="shared" si="281"/>
        <v>1+0.0774836131235288i</v>
      </c>
      <c r="U497" s="160">
        <f t="shared" si="290"/>
        <v>1.0029973630586855</v>
      </c>
      <c r="V497" s="160">
        <f t="shared" si="291"/>
        <v>7.7329106256030303E-2</v>
      </c>
      <c r="W497" s="98" t="str">
        <f t="shared" si="282"/>
        <v>1-56.039248355461i</v>
      </c>
      <c r="X497" s="160">
        <f t="shared" si="292"/>
        <v>56.048169963389867</v>
      </c>
      <c r="Y497" s="160">
        <f t="shared" si="293"/>
        <v>-1.5529535843253288</v>
      </c>
      <c r="Z497" s="98" t="str">
        <f t="shared" si="283"/>
        <v>-687.437114206543+4.45132955592513i</v>
      </c>
      <c r="AA497" s="160">
        <f t="shared" si="294"/>
        <v>687.45152579904504</v>
      </c>
      <c r="AB497" s="160">
        <f t="shared" si="295"/>
        <v>3.1351174906223416</v>
      </c>
      <c r="AC497" s="171" t="str">
        <f t="shared" si="296"/>
        <v>0.00072495351695354+0.0000739502511470831i</v>
      </c>
      <c r="AD497" s="190">
        <f t="shared" si="297"/>
        <v>-62.748840171324204</v>
      </c>
      <c r="AE497" s="169">
        <f t="shared" si="298"/>
        <v>5.8244180224385369</v>
      </c>
      <c r="AF497" s="98" t="str">
        <f t="shared" si="284"/>
        <v>-9.95024875621891E-06</v>
      </c>
      <c r="AG497" s="98" t="str">
        <f t="shared" si="285"/>
        <v>3.87805483683262i</v>
      </c>
      <c r="AH497" s="98">
        <f t="shared" si="299"/>
        <v>3.8780548368326202</v>
      </c>
      <c r="AI497" s="98">
        <f t="shared" si="300"/>
        <v>1.5707963267948966</v>
      </c>
      <c r="AJ497" s="98" t="str">
        <f t="shared" si="286"/>
        <v>1+38.7031034583061i</v>
      </c>
      <c r="AK497" s="98">
        <f t="shared" si="301"/>
        <v>38.716020163549175</v>
      </c>
      <c r="AL497" s="98">
        <f t="shared" si="302"/>
        <v>1.5449643528580037</v>
      </c>
      <c r="AM497" s="98" t="str">
        <f t="shared" si="287"/>
        <v>1+38741.8065617644i</v>
      </c>
      <c r="AN497" s="98">
        <f t="shared" si="303"/>
        <v>38741.806574670358</v>
      </c>
      <c r="AO497" s="98">
        <f t="shared" si="304"/>
        <v>1.5707705148855273</v>
      </c>
      <c r="AP497" s="168" t="str">
        <f t="shared" si="305"/>
        <v>-0.0000662497690356801+0.00256663744848495i</v>
      </c>
      <c r="AQ497" s="98">
        <f t="shared" si="306"/>
        <v>-51.80981692921776</v>
      </c>
      <c r="AR497" s="169">
        <f t="shared" si="307"/>
        <v>91.478584169607871</v>
      </c>
      <c r="AS497" s="168" t="str">
        <f t="shared" si="308"/>
        <v>-2.37831486978747E-07+0.0000018557936579652i</v>
      </c>
      <c r="AT497" s="190">
        <f t="shared" si="309"/>
        <v>-114.55865710054196</v>
      </c>
      <c r="AU497" s="169">
        <f t="shared" si="310"/>
        <v>97.303002192046407</v>
      </c>
      <c r="AV497" s="225"/>
      <c r="AX497">
        <f t="shared" si="311"/>
        <v>0</v>
      </c>
      <c r="AY497">
        <f t="shared" si="312"/>
        <v>0</v>
      </c>
    </row>
    <row r="498" spans="14:51" x14ac:dyDescent="0.55000000000000004">
      <c r="N498" s="170">
        <v>80</v>
      </c>
      <c r="O498" s="199">
        <f t="shared" si="313"/>
        <v>630957.34448019415</v>
      </c>
      <c r="P498" s="189" t="str">
        <f t="shared" si="279"/>
        <v>1078.86904761905</v>
      </c>
      <c r="Q498" s="160" t="str">
        <f t="shared" si="280"/>
        <v>1+123888.184884219i</v>
      </c>
      <c r="R498" s="160">
        <f t="shared" si="288"/>
        <v>123888.18488825491</v>
      </c>
      <c r="S498" s="160">
        <f t="shared" si="289"/>
        <v>1.5707882550001495</v>
      </c>
      <c r="T498" s="160" t="str">
        <f t="shared" si="281"/>
        <v>1+0.0792884383259i</v>
      </c>
      <c r="U498" s="160">
        <f t="shared" si="290"/>
        <v>1.0031384034380102</v>
      </c>
      <c r="V498" s="160">
        <f t="shared" si="291"/>
        <v>7.9122909196139846E-2</v>
      </c>
      <c r="W498" s="98" t="str">
        <f t="shared" si="282"/>
        <v>1-57.3445701348239i</v>
      </c>
      <c r="X498" s="160">
        <f t="shared" si="292"/>
        <v>57.353288693393488</v>
      </c>
      <c r="Y498" s="160">
        <f t="shared" si="293"/>
        <v>-1.5533596514529673</v>
      </c>
      <c r="Z498" s="98" t="str">
        <f t="shared" si="283"/>
        <v>-719.882155823447+4.55501434091039i</v>
      </c>
      <c r="AA498" s="160">
        <f t="shared" si="294"/>
        <v>719.89656647928211</v>
      </c>
      <c r="AB498" s="160">
        <f t="shared" si="295"/>
        <v>3.135265293595523</v>
      </c>
      <c r="AC498" s="171" t="str">
        <f t="shared" si="296"/>
        <v>0.000692284860933113+0.0000714851204636239i</v>
      </c>
      <c r="AD498" s="190">
        <f t="shared" si="297"/>
        <v>-63.14824151962889</v>
      </c>
      <c r="AE498" s="169">
        <f t="shared" si="298"/>
        <v>5.8954501684717391</v>
      </c>
      <c r="AF498" s="98" t="str">
        <f t="shared" si="284"/>
        <v>-9.95024875621891E-06</v>
      </c>
      <c r="AG498" s="98" t="str">
        <f t="shared" si="285"/>
        <v>3.9683863382113i</v>
      </c>
      <c r="AH498" s="98">
        <f t="shared" si="299"/>
        <v>3.9683863382113</v>
      </c>
      <c r="AI498" s="98">
        <f t="shared" si="300"/>
        <v>1.5707963267948966</v>
      </c>
      <c r="AJ498" s="98" t="str">
        <f t="shared" si="286"/>
        <v>1+39.6046145484016i</v>
      </c>
      <c r="AK498" s="98">
        <f t="shared" si="301"/>
        <v>39.617237328307787</v>
      </c>
      <c r="AL498" s="98">
        <f t="shared" si="302"/>
        <v>1.5455521076845198</v>
      </c>
      <c r="AM498" s="98" t="str">
        <f t="shared" si="287"/>
        <v>1+39644.21916295i</v>
      </c>
      <c r="AN498" s="98">
        <f t="shared" si="303"/>
        <v>39644.219175562182</v>
      </c>
      <c r="AO498" s="98">
        <f t="shared" si="304"/>
        <v>1.5707711024363167</v>
      </c>
      <c r="AP498" s="168" t="str">
        <f t="shared" si="305"/>
        <v>-0.0000632699380204601+0.00250828888684893i</v>
      </c>
      <c r="AQ498" s="98">
        <f t="shared" si="306"/>
        <v>-52.009686524578143</v>
      </c>
      <c r="AR498" s="169">
        <f t="shared" si="307"/>
        <v>91.444941962840531</v>
      </c>
      <c r="AS498" s="168" t="str">
        <f t="shared" si="308"/>
        <v>-2.23106153477706E-07+1.73192756407117E-06i</v>
      </c>
      <c r="AT498" s="190">
        <f t="shared" si="309"/>
        <v>-115.15792804420701</v>
      </c>
      <c r="AU498" s="169">
        <f t="shared" si="310"/>
        <v>97.340392131312271</v>
      </c>
      <c r="AV498" s="225"/>
      <c r="AX498">
        <f t="shared" si="311"/>
        <v>0</v>
      </c>
      <c r="AY498">
        <f t="shared" si="312"/>
        <v>0</v>
      </c>
    </row>
    <row r="499" spans="14:51" x14ac:dyDescent="0.55000000000000004">
      <c r="N499" s="170">
        <v>81</v>
      </c>
      <c r="O499" s="199">
        <f t="shared" si="313"/>
        <v>645654.22903465747</v>
      </c>
      <c r="P499" s="189" t="str">
        <f t="shared" si="279"/>
        <v>1078.86904761905</v>
      </c>
      <c r="Q499" s="160" t="str">
        <f t="shared" si="280"/>
        <v>1+126773.911418404i</v>
      </c>
      <c r="R499" s="160">
        <f t="shared" si="288"/>
        <v>126773.91142234801</v>
      </c>
      <c r="S499" s="160">
        <f t="shared" si="289"/>
        <v>1.5707884387366298</v>
      </c>
      <c r="T499" s="160" t="str">
        <f t="shared" si="281"/>
        <v>1+0.0811353033077784i</v>
      </c>
      <c r="U499" s="160">
        <f t="shared" si="290"/>
        <v>1.0032860695947319</v>
      </c>
      <c r="V499" s="160">
        <f t="shared" si="291"/>
        <v>8.095796701013927E-2</v>
      </c>
      <c r="W499" s="98" t="str">
        <f t="shared" si="282"/>
        <v>1-58.6802967643177i</v>
      </c>
      <c r="X499" s="160">
        <f t="shared" si="292"/>
        <v>58.688816893411591</v>
      </c>
      <c r="Y499" s="160">
        <f t="shared" si="293"/>
        <v>-1.5537564809213604</v>
      </c>
      <c r="Z499" s="98" t="str">
        <f t="shared" si="283"/>
        <v>-753.856285143213+4.66111425479195i</v>
      </c>
      <c r="AA499" s="160">
        <f t="shared" si="294"/>
        <v>753.87069490465115</v>
      </c>
      <c r="AB499" s="160">
        <f t="shared" si="295"/>
        <v>3.1354097047305167</v>
      </c>
      <c r="AC499" s="171" t="str">
        <f t="shared" si="296"/>
        <v>0.000661090093020818+0.0000691284013255106i</v>
      </c>
      <c r="AD499" s="190">
        <f t="shared" si="297"/>
        <v>-63.547557620811794</v>
      </c>
      <c r="AE499" s="169">
        <f t="shared" si="298"/>
        <v>5.9695699067763588</v>
      </c>
      <c r="AF499" s="98" t="str">
        <f t="shared" si="284"/>
        <v>-9.95024875621891E-06</v>
      </c>
      <c r="AG499" s="98" t="str">
        <f t="shared" si="285"/>
        <v>4.06082193055431i</v>
      </c>
      <c r="AH499" s="98">
        <f t="shared" si="299"/>
        <v>4.0608219305543098</v>
      </c>
      <c r="AI499" s="98">
        <f t="shared" si="300"/>
        <v>1.5707963267948966</v>
      </c>
      <c r="AJ499" s="98" t="str">
        <f t="shared" si="286"/>
        <v>1+40.5271245293598i</v>
      </c>
      <c r="AK499" s="98">
        <f t="shared" si="301"/>
        <v>40.53946006816367</v>
      </c>
      <c r="AL499" s="98">
        <f t="shared" si="302"/>
        <v>1.5461265004353506</v>
      </c>
      <c r="AM499" s="98" t="str">
        <f t="shared" si="287"/>
        <v>1+40567.6516538892i</v>
      </c>
      <c r="AN499" s="98">
        <f t="shared" si="303"/>
        <v>40567.651666214289</v>
      </c>
      <c r="AO499" s="98">
        <f t="shared" si="304"/>
        <v>1.5707716766128172</v>
      </c>
      <c r="AP499" s="168" t="str">
        <f t="shared" si="305"/>
        <v>-0.0000604240544362459+0.00245126348283867i</v>
      </c>
      <c r="AQ499" s="98">
        <f t="shared" si="306"/>
        <v>-52.209561985458834</v>
      </c>
      <c r="AR499" s="169">
        <f t="shared" si="307"/>
        <v>91.412064580325193</v>
      </c>
      <c r="AS499" s="168" t="str">
        <f t="shared" si="308"/>
        <v>-2.09397669564193E-07+1.61632898560357E-06i</v>
      </c>
      <c r="AT499" s="190">
        <f t="shared" si="309"/>
        <v>-115.75711960627062</v>
      </c>
      <c r="AU499" s="169">
        <f t="shared" si="310"/>
        <v>97.381634487101522</v>
      </c>
      <c r="AV499" s="225"/>
      <c r="AX499">
        <f t="shared" si="311"/>
        <v>0</v>
      </c>
      <c r="AY499">
        <f t="shared" si="312"/>
        <v>0</v>
      </c>
    </row>
    <row r="500" spans="14:51" x14ac:dyDescent="0.55000000000000004">
      <c r="N500" s="170">
        <v>82</v>
      </c>
      <c r="O500" s="199">
        <f t="shared" si="313"/>
        <v>660693.44800759677</v>
      </c>
      <c r="P500" s="189" t="str">
        <f t="shared" si="279"/>
        <v>1078.86904761905</v>
      </c>
      <c r="Q500" s="160" t="str">
        <f t="shared" si="280"/>
        <v>1+129726.855158473i</v>
      </c>
      <c r="R500" s="160">
        <f t="shared" si="288"/>
        <v>129726.85516232725</v>
      </c>
      <c r="S500" s="160">
        <f t="shared" si="289"/>
        <v>1.5707886182907571</v>
      </c>
      <c r="T500" s="160" t="str">
        <f t="shared" si="281"/>
        <v>1+0.083025187301423i</v>
      </c>
      <c r="U500" s="160">
        <f t="shared" si="290"/>
        <v>1.0034406717521651</v>
      </c>
      <c r="V500" s="160">
        <f t="shared" si="291"/>
        <v>8.2835203206867825E-2</v>
      </c>
      <c r="W500" s="98" t="str">
        <f t="shared" si="282"/>
        <v>1-60.0471364638812i</v>
      </c>
      <c r="X500" s="160">
        <f t="shared" si="292"/>
        <v>60.055462678360662</v>
      </c>
      <c r="Y500" s="160">
        <f t="shared" si="293"/>
        <v>-1.5541442826345366</v>
      </c>
      <c r="Z500" s="98" t="str">
        <f t="shared" si="283"/>
        <v>-789.431565849104+4.76968555314853i</v>
      </c>
      <c r="AA500" s="160">
        <f t="shared" si="294"/>
        <v>789.44597475650244</v>
      </c>
      <c r="AB500" s="160">
        <f t="shared" si="295"/>
        <v>3.1355508030711725</v>
      </c>
      <c r="AC500" s="171" t="str">
        <f t="shared" si="296"/>
        <v>0.000631302563884785+0.0000668741227282111i</v>
      </c>
      <c r="AD500" s="190">
        <f t="shared" si="297"/>
        <v>-63.94678708037948</v>
      </c>
      <c r="AE500" s="169">
        <f t="shared" si="298"/>
        <v>6.0468135894355859</v>
      </c>
      <c r="AF500" s="98" t="str">
        <f t="shared" si="284"/>
        <v>-9.95024875621891E-06</v>
      </c>
      <c r="AG500" s="98" t="str">
        <f t="shared" si="285"/>
        <v>4.15541062443622i</v>
      </c>
      <c r="AH500" s="98">
        <f t="shared" si="299"/>
        <v>4.1554106244362199</v>
      </c>
      <c r="AI500" s="98">
        <f t="shared" si="300"/>
        <v>1.5707963267948966</v>
      </c>
      <c r="AJ500" s="98" t="str">
        <f t="shared" si="286"/>
        <v>1+41.4711225281833i</v>
      </c>
      <c r="AK500" s="98">
        <f t="shared" si="301"/>
        <v>41.483177358389419</v>
      </c>
      <c r="AL500" s="98">
        <f t="shared" si="302"/>
        <v>1.5466878341442059</v>
      </c>
      <c r="AM500" s="98" t="str">
        <f t="shared" si="287"/>
        <v>1+41512.5936507115i</v>
      </c>
      <c r="AN500" s="98">
        <f t="shared" si="303"/>
        <v>41512.59366275603</v>
      </c>
      <c r="AO500" s="98">
        <f t="shared" si="304"/>
        <v>1.5707722377194653</v>
      </c>
      <c r="AP500" s="168" t="str">
        <f t="shared" si="305"/>
        <v>-0.0000577061043416557+0.00239553145217749i</v>
      </c>
      <c r="AQ500" s="98">
        <f t="shared" si="306"/>
        <v>-52.409443048189253</v>
      </c>
      <c r="AR500" s="169">
        <f t="shared" si="307"/>
        <v>91.379934676952146</v>
      </c>
      <c r="AS500" s="168" t="str">
        <f t="shared" si="308"/>
        <v>-1.96629075954897E-07+1.50844610252238E-06i</v>
      </c>
      <c r="AT500" s="190">
        <f t="shared" si="309"/>
        <v>-116.35623012856874</v>
      </c>
      <c r="AU500" s="169">
        <f t="shared" si="310"/>
        <v>97.426748266387719</v>
      </c>
      <c r="AV500" s="225"/>
      <c r="AX500">
        <f t="shared" si="311"/>
        <v>0</v>
      </c>
      <c r="AY500">
        <f t="shared" si="312"/>
        <v>0</v>
      </c>
    </row>
    <row r="501" spans="14:51" x14ac:dyDescent="0.55000000000000004">
      <c r="N501" s="170">
        <v>83</v>
      </c>
      <c r="O501" s="199">
        <f t="shared" si="313"/>
        <v>676082.97539198259</v>
      </c>
      <c r="P501" s="189" t="str">
        <f t="shared" si="279"/>
        <v>1078.86904761905</v>
      </c>
      <c r="Q501" s="160" t="str">
        <f t="shared" si="280"/>
        <v>1+132748.581794286i</v>
      </c>
      <c r="R501" s="160">
        <f t="shared" si="288"/>
        <v>132748.5817980525</v>
      </c>
      <c r="S501" s="160">
        <f t="shared" si="289"/>
        <v>1.5707887937577336</v>
      </c>
      <c r="T501" s="160" t="str">
        <f t="shared" si="281"/>
        <v>1+0.0849590923483432i</v>
      </c>
      <c r="U501" s="160">
        <f t="shared" si="290"/>
        <v>1.0036025345587039</v>
      </c>
      <c r="V501" s="160">
        <f t="shared" si="291"/>
        <v>8.475556016905518E-2</v>
      </c>
      <c r="W501" s="98" t="str">
        <f t="shared" si="282"/>
        <v>1-61.4458139500158i</v>
      </c>
      <c r="X501" s="160">
        <f t="shared" si="292"/>
        <v>61.453950662101093</v>
      </c>
      <c r="Y501" s="160">
        <f t="shared" si="293"/>
        <v>-1.5545232617432569</v>
      </c>
      <c r="Z501" s="98" t="str">
        <f t="shared" si="283"/>
        <v>-826.683457881174+4.88078580191964i</v>
      </c>
      <c r="AA501" s="160">
        <f t="shared" si="294"/>
        <v>826.69786597306461</v>
      </c>
      <c r="AB501" s="160">
        <f t="shared" si="295"/>
        <v>3.1356886657389547</v>
      </c>
      <c r="AC501" s="171" t="str">
        <f t="shared" si="296"/>
        <v>0.00060285865155322+0.0000647166847813092i</v>
      </c>
      <c r="AD501" s="190">
        <f t="shared" si="297"/>
        <v>-64.345928324634684</v>
      </c>
      <c r="AE501" s="169">
        <f t="shared" si="298"/>
        <v>6.1272190325406726</v>
      </c>
      <c r="AF501" s="98" t="str">
        <f t="shared" si="284"/>
        <v>-9.95024875621891E-06</v>
      </c>
      <c r="AG501" s="98" t="str">
        <f t="shared" si="285"/>
        <v>4.25220257203458i</v>
      </c>
      <c r="AH501" s="98">
        <f t="shared" si="299"/>
        <v>4.2522025720345802</v>
      </c>
      <c r="AI501" s="98">
        <f t="shared" si="300"/>
        <v>1.5707963267948966</v>
      </c>
      <c r="AJ501" s="98" t="str">
        <f t="shared" si="286"/>
        <v>1+42.4371090651065i</v>
      </c>
      <c r="AK501" s="98">
        <f t="shared" si="301"/>
        <v>42.448889570915092</v>
      </c>
      <c r="AL501" s="98">
        <f t="shared" si="302"/>
        <v>1.5472364050218474</v>
      </c>
      <c r="AM501" s="98" t="str">
        <f t="shared" si="287"/>
        <v>1+42479.5461741716i</v>
      </c>
      <c r="AN501" s="98">
        <f t="shared" si="303"/>
        <v>42479.546185941967</v>
      </c>
      <c r="AO501" s="98">
        <f t="shared" si="304"/>
        <v>1.5707727860537664</v>
      </c>
      <c r="AP501" s="168" t="str">
        <f t="shared" si="305"/>
        <v>-0.0000551103431767284+0.00234106366628594i</v>
      </c>
      <c r="AQ501" s="98">
        <f t="shared" si="306"/>
        <v>-52.609329460937879</v>
      </c>
      <c r="AR501" s="169">
        <f t="shared" si="307"/>
        <v>91.348535298140717</v>
      </c>
      <c r="AS501" s="168" t="str">
        <f t="shared" si="308"/>
        <v>-1.84729626518161E-07+1.40776392634982E-06i</v>
      </c>
      <c r="AT501" s="190">
        <f t="shared" si="309"/>
        <v>-116.95525778557257</v>
      </c>
      <c r="AU501" s="169">
        <f t="shared" si="310"/>
        <v>97.475754330681397</v>
      </c>
      <c r="AV501" s="225"/>
      <c r="AX501">
        <f t="shared" si="311"/>
        <v>0</v>
      </c>
      <c r="AY501">
        <f t="shared" si="312"/>
        <v>0</v>
      </c>
    </row>
    <row r="502" spans="14:51" x14ac:dyDescent="0.55000000000000004">
      <c r="N502" s="170">
        <v>84</v>
      </c>
      <c r="O502" s="199">
        <f t="shared" si="313"/>
        <v>691830.97091893724</v>
      </c>
      <c r="P502" s="189" t="str">
        <f t="shared" si="279"/>
        <v>1078.86904761905</v>
      </c>
      <c r="Q502" s="160" t="str">
        <f t="shared" si="280"/>
        <v>1+135840.693485302i</v>
      </c>
      <c r="R502" s="160">
        <f t="shared" si="288"/>
        <v>135840.6934889828</v>
      </c>
      <c r="S502" s="160">
        <f t="shared" si="289"/>
        <v>1.5707889652305942</v>
      </c>
      <c r="T502" s="160" t="str">
        <f t="shared" si="281"/>
        <v>1+0.086938043830593i</v>
      </c>
      <c r="U502" s="160">
        <f t="shared" si="290"/>
        <v>1.0037719977490358</v>
      </c>
      <c r="V502" s="160">
        <f t="shared" si="291"/>
        <v>8.6719999409187204E-2</v>
      </c>
      <c r="W502" s="98" t="str">
        <f t="shared" si="282"/>
        <v>1-62.8770708200381i</v>
      </c>
      <c r="X502" s="160">
        <f t="shared" si="292"/>
        <v>62.88502234163623</v>
      </c>
      <c r="Y502" s="160">
        <f t="shared" si="293"/>
        <v>-1.5548936187515641</v>
      </c>
      <c r="Z502" s="98" t="str">
        <f t="shared" si="283"/>
        <v>-865.69097749686+4.99447390792777i</v>
      </c>
      <c r="AA502" s="160">
        <f t="shared" si="294"/>
        <v>865.70538481003223</v>
      </c>
      <c r="AB502" s="160">
        <f t="shared" si="295"/>
        <v>3.1358233679849805</v>
      </c>
      <c r="AC502" s="171" t="str">
        <f t="shared" si="296"/>
        <v>0.000575697622719613+0.0000626508344129973i</v>
      </c>
      <c r="AD502" s="190">
        <f t="shared" si="297"/>
        <v>-64.744979597842828</v>
      </c>
      <c r="AE502" s="169">
        <f t="shared" si="298"/>
        <v>6.2108255217616133</v>
      </c>
      <c r="AF502" s="98" t="str">
        <f t="shared" si="284"/>
        <v>-9.95024875621891E-06</v>
      </c>
      <c r="AG502" s="98" t="str">
        <f t="shared" si="285"/>
        <v>4.35124909372118i</v>
      </c>
      <c r="AH502" s="98">
        <f t="shared" si="299"/>
        <v>4.3512490937211803</v>
      </c>
      <c r="AI502" s="98">
        <f t="shared" si="300"/>
        <v>1.5707963267948966</v>
      </c>
      <c r="AJ502" s="98" t="str">
        <f t="shared" si="286"/>
        <v>1+43.4255963189775i</v>
      </c>
      <c r="AK502" s="98">
        <f t="shared" si="301"/>
        <v>43.437108739634041</v>
      </c>
      <c r="AL502" s="98">
        <f t="shared" si="302"/>
        <v>1.5477725026064075</v>
      </c>
      <c r="AM502" s="98" t="str">
        <f t="shared" si="287"/>
        <v>1+43469.0219152965i</v>
      </c>
      <c r="AN502" s="98">
        <f t="shared" si="303"/>
        <v>43469.021926798938</v>
      </c>
      <c r="AO502" s="98">
        <f t="shared" si="304"/>
        <v>1.570773321906455</v>
      </c>
      <c r="AP502" s="168" t="str">
        <f t="shared" si="305"/>
        <v>-0.0000526312837521018+0.00228783163883789i</v>
      </c>
      <c r="AQ502" s="98">
        <f t="shared" si="306"/>
        <v>-52.809220983181611</v>
      </c>
      <c r="AR502" s="169">
        <f t="shared" si="307"/>
        <v>91.317849871235765</v>
      </c>
      <c r="AS502" s="168" t="str">
        <f t="shared" si="308"/>
        <v>-1.73634266106415E-07+1.31380184181839E-06i</v>
      </c>
      <c r="AT502" s="190">
        <f t="shared" si="309"/>
        <v>-117.55420058102446</v>
      </c>
      <c r="AU502" s="169">
        <f t="shared" si="310"/>
        <v>97.528675392997386</v>
      </c>
      <c r="AV502" s="225"/>
      <c r="AX502">
        <f t="shared" si="311"/>
        <v>0</v>
      </c>
      <c r="AY502">
        <f t="shared" si="312"/>
        <v>0</v>
      </c>
    </row>
    <row r="503" spans="14:51" x14ac:dyDescent="0.55000000000000004">
      <c r="N503" s="170">
        <v>85</v>
      </c>
      <c r="O503" s="199">
        <f t="shared" si="313"/>
        <v>707945.78438413853</v>
      </c>
      <c r="P503" s="189" t="str">
        <f t="shared" si="279"/>
        <v>1078.86904761905</v>
      </c>
      <c r="Q503" s="160" t="str">
        <f t="shared" si="280"/>
        <v>1+139004.829710067i</v>
      </c>
      <c r="R503" s="160">
        <f t="shared" si="288"/>
        <v>139004.82971366396</v>
      </c>
      <c r="S503" s="160">
        <f t="shared" si="289"/>
        <v>1.5707891328002559</v>
      </c>
      <c r="T503" s="160" t="str">
        <f t="shared" si="281"/>
        <v>1+0.088963091014443i</v>
      </c>
      <c r="U503" s="160">
        <f t="shared" si="290"/>
        <v>1.0039494168347547</v>
      </c>
      <c r="V503" s="160">
        <f t="shared" si="291"/>
        <v>8.8729501818774731E-2</v>
      </c>
      <c r="W503" s="98" t="str">
        <f t="shared" si="282"/>
        <v>1-64.3416659452858i</v>
      </c>
      <c r="X503" s="160">
        <f t="shared" si="292"/>
        <v>64.349436490265788</v>
      </c>
      <c r="Y503" s="160">
        <f t="shared" si="293"/>
        <v>-1.5552555496210148</v>
      </c>
      <c r="Z503" s="98" t="str">
        <f t="shared" si="283"/>
        <v>-906.536864875105+5.11081015011157i</v>
      </c>
      <c r="AA503" s="160">
        <f t="shared" si="294"/>
        <v>906.55127144468497</v>
      </c>
      <c r="AB503" s="160">
        <f t="shared" si="295"/>
        <v>3.1359549832403171</v>
      </c>
      <c r="AC503" s="171" t="str">
        <f t="shared" si="296"/>
        <v>0.000549761500506129+0.0000606716427017157i</v>
      </c>
      <c r="AD503" s="190">
        <f t="shared" si="297"/>
        <v>-65.143938959053955</v>
      </c>
      <c r="AE503" s="169">
        <f t="shared" si="298"/>
        <v>6.297673817772619</v>
      </c>
      <c r="AF503" s="98" t="str">
        <f t="shared" si="284"/>
        <v>-9.95024875621891E-06</v>
      </c>
      <c r="AG503" s="98" t="str">
        <f t="shared" si="285"/>
        <v>4.45260270527287i</v>
      </c>
      <c r="AH503" s="98">
        <f t="shared" si="299"/>
        <v>4.4526027052728701</v>
      </c>
      <c r="AI503" s="98">
        <f t="shared" si="300"/>
        <v>1.5707963267948966</v>
      </c>
      <c r="AJ503" s="98" t="str">
        <f t="shared" si="286"/>
        <v>1+44.4371083988227i</v>
      </c>
      <c r="AK503" s="98">
        <f t="shared" si="301"/>
        <v>44.448358831892989</v>
      </c>
      <c r="AL503" s="98">
        <f t="shared" si="302"/>
        <v>1.5482964099106171</v>
      </c>
      <c r="AM503" s="98" t="str">
        <f t="shared" si="287"/>
        <v>1+44481.5455072215i</v>
      </c>
      <c r="AN503" s="98">
        <f t="shared" si="303"/>
        <v>44481.545518462117</v>
      </c>
      <c r="AO503" s="98">
        <f t="shared" si="304"/>
        <v>1.5707738455616473</v>
      </c>
      <c r="AP503" s="168" t="str">
        <f t="shared" si="305"/>
        <v>-0.000050263684768814+0.00223580751252426i</v>
      </c>
      <c r="AQ503" s="98">
        <f t="shared" si="306"/>
        <v>-53.009117385199175</v>
      </c>
      <c r="AR503" s="169">
        <f t="shared" si="307"/>
        <v>91.287862197080926</v>
      </c>
      <c r="AS503" s="168" t="str">
        <f t="shared" si="308"/>
        <v>-1.63283153309154E-07+1.22611131260505E-06i</v>
      </c>
      <c r="AT503" s="190">
        <f t="shared" si="309"/>
        <v>-118.15305634425312</v>
      </c>
      <c r="AU503" s="169">
        <f t="shared" si="310"/>
        <v>97.585536014853531</v>
      </c>
      <c r="AV503" s="225"/>
      <c r="AX503">
        <f t="shared" si="311"/>
        <v>0</v>
      </c>
      <c r="AY503">
        <f t="shared" si="312"/>
        <v>0</v>
      </c>
    </row>
    <row r="504" spans="14:51" x14ac:dyDescent="0.55000000000000004">
      <c r="N504" s="170">
        <v>86</v>
      </c>
      <c r="O504" s="199">
        <f t="shared" si="313"/>
        <v>724435.96007499192</v>
      </c>
      <c r="P504" s="189" t="str">
        <f t="shared" si="279"/>
        <v>1078.86904761905</v>
      </c>
      <c r="Q504" s="160" t="str">
        <f t="shared" si="280"/>
        <v>1+142242.668135492i</v>
      </c>
      <c r="R504" s="160">
        <f t="shared" si="288"/>
        <v>142242.66813900712</v>
      </c>
      <c r="S504" s="160">
        <f t="shared" si="289"/>
        <v>1.5707892965555663</v>
      </c>
      <c r="T504" s="160" t="str">
        <f t="shared" si="281"/>
        <v>1+0.0910353076067146i</v>
      </c>
      <c r="U504" s="160">
        <f t="shared" si="290"/>
        <v>1.0041351638255924</v>
      </c>
      <c r="V504" s="160">
        <f t="shared" si="291"/>
        <v>9.0785067910038889E-2</v>
      </c>
      <c r="W504" s="98" t="str">
        <f t="shared" si="282"/>
        <v>1-65.8403758734803i</v>
      </c>
      <c r="X504" s="160">
        <f t="shared" si="292"/>
        <v>65.847969559897336</v>
      </c>
      <c r="Y504" s="160">
        <f t="shared" si="293"/>
        <v>-1.5556092458726429</v>
      </c>
      <c r="Z504" s="98" t="str">
        <f t="shared" si="283"/>
        <v>-949.307759619337+5.22985621148653i</v>
      </c>
      <c r="AA504" s="160">
        <f t="shared" si="294"/>
        <v>949.32216547886298</v>
      </c>
      <c r="AB504" s="160">
        <f t="shared" si="295"/>
        <v>3.1360835831646088</v>
      </c>
      <c r="AC504" s="171" t="str">
        <f t="shared" si="296"/>
        <v>0.000524994938375336+0.0000587744837244114i</v>
      </c>
      <c r="AD504" s="190">
        <f t="shared" si="297"/>
        <v>-65.542804278579041</v>
      </c>
      <c r="AE504" s="169">
        <f t="shared" si="298"/>
        <v>6.3878061614685748</v>
      </c>
      <c r="AF504" s="98" t="str">
        <f t="shared" si="284"/>
        <v>-9.95024875621891E-06</v>
      </c>
      <c r="AG504" s="98" t="str">
        <f t="shared" si="285"/>
        <v>4.55631714571606i</v>
      </c>
      <c r="AH504" s="98">
        <f t="shared" si="299"/>
        <v>4.5563171457160596</v>
      </c>
      <c r="AI504" s="98">
        <f t="shared" si="300"/>
        <v>1.5707963267948966</v>
      </c>
      <c r="AJ504" s="98" t="str">
        <f t="shared" si="286"/>
        <v>1+45.4721816217356i</v>
      </c>
      <c r="AK504" s="98">
        <f t="shared" si="301"/>
        <v>45.483176026307895</v>
      </c>
      <c r="AL504" s="98">
        <f t="shared" si="302"/>
        <v>1.5488084035659921</v>
      </c>
      <c r="AM504" s="98" t="str">
        <f t="shared" si="287"/>
        <v>1+45517.6538033573i</v>
      </c>
      <c r="AN504" s="98">
        <f t="shared" si="303"/>
        <v>45517.653814342048</v>
      </c>
      <c r="AO504" s="98">
        <f t="shared" si="304"/>
        <v>1.5707743572969923</v>
      </c>
      <c r="AP504" s="168" t="str">
        <f t="shared" si="305"/>
        <v>-0.0000480025398457323+0.0021849640460262i</v>
      </c>
      <c r="AQ504" s="98">
        <f t="shared" si="306"/>
        <v>-53.209018447587084</v>
      </c>
      <c r="AR504" s="169">
        <f t="shared" si="307"/>
        <v>91.258556441765961</v>
      </c>
      <c r="AS504" s="168" t="str">
        <f t="shared" si="308"/>
        <v>-1.53621224209761E-07+1.14427374019896E-06i</v>
      </c>
      <c r="AT504" s="190">
        <f t="shared" si="309"/>
        <v>-118.7518227261661</v>
      </c>
      <c r="AU504" s="169">
        <f t="shared" si="310"/>
        <v>97.646362603234508</v>
      </c>
      <c r="AV504" s="225"/>
      <c r="AX504">
        <f t="shared" si="311"/>
        <v>0</v>
      </c>
      <c r="AY504">
        <f t="shared" si="312"/>
        <v>0</v>
      </c>
    </row>
    <row r="505" spans="14:51" x14ac:dyDescent="0.55000000000000004">
      <c r="N505" s="170">
        <v>87</v>
      </c>
      <c r="O505" s="199">
        <f t="shared" si="313"/>
        <v>741310.24130091805</v>
      </c>
      <c r="P505" s="189" t="str">
        <f t="shared" si="279"/>
        <v>1078.86904761905</v>
      </c>
      <c r="Q505" s="160" t="str">
        <f t="shared" si="280"/>
        <v>1+145555.925506365i</v>
      </c>
      <c r="R505" s="160">
        <f t="shared" si="288"/>
        <v>145555.92550980009</v>
      </c>
      <c r="S505" s="160">
        <f t="shared" si="289"/>
        <v>1.5707894565833507</v>
      </c>
      <c r="T505" s="160" t="str">
        <f t="shared" si="281"/>
        <v>1+0.0931557923240736i</v>
      </c>
      <c r="U505" s="160">
        <f t="shared" si="290"/>
        <v>1.0043296279825293</v>
      </c>
      <c r="V505" s="160">
        <f t="shared" si="291"/>
        <v>9.2887718048958401E-2</v>
      </c>
      <c r="W505" s="98" t="str">
        <f t="shared" si="282"/>
        <v>1-67.373995240463i</v>
      </c>
      <c r="X505" s="160">
        <f t="shared" si="292"/>
        <v>67.381416092732366</v>
      </c>
      <c r="Y505" s="160">
        <f t="shared" si="293"/>
        <v>-1.5559548946866975</v>
      </c>
      <c r="Z505" s="98" t="str">
        <f t="shared" si="283"/>
        <v>-994.094384531691+5.35167521185012i</v>
      </c>
      <c r="AA505" s="160">
        <f t="shared" si="294"/>
        <v>994.10878971318573</v>
      </c>
      <c r="AB505" s="160">
        <f t="shared" si="295"/>
        <v>3.136209237693115</v>
      </c>
      <c r="AC505" s="171" t="str">
        <f t="shared" si="296"/>
        <v>0.000501345099896292+0.0000569550148185379i</v>
      </c>
      <c r="AD505" s="190">
        <f t="shared" si="297"/>
        <v>-65.941573234114458</v>
      </c>
      <c r="AE505" s="169">
        <f t="shared" si="298"/>
        <v>6.4812662789054576</v>
      </c>
      <c r="AF505" s="98" t="str">
        <f t="shared" si="284"/>
        <v>-9.95024875621891E-06</v>
      </c>
      <c r="AG505" s="98" t="str">
        <f t="shared" si="285"/>
        <v>4.66244740581989i</v>
      </c>
      <c r="AH505" s="98">
        <f t="shared" si="299"/>
        <v>4.6624474058198899</v>
      </c>
      <c r="AI505" s="98">
        <f t="shared" si="300"/>
        <v>1.5707963267948966</v>
      </c>
      <c r="AJ505" s="98" t="str">
        <f t="shared" si="286"/>
        <v>1+46.5313647972396i</v>
      </c>
      <c r="AK505" s="98">
        <f t="shared" si="301"/>
        <v>46.542108997055436</v>
      </c>
      <c r="AL505" s="98">
        <f t="shared" si="302"/>
        <v>1.5493087539640287</v>
      </c>
      <c r="AM505" s="98" t="str">
        <f t="shared" si="287"/>
        <v>1+46577.8961620368i</v>
      </c>
      <c r="AN505" s="98">
        <f t="shared" si="303"/>
        <v>46577.8961727715</v>
      </c>
      <c r="AO505" s="98">
        <f t="shared" si="304"/>
        <v>1.5707748573838187</v>
      </c>
      <c r="AP505" s="168" t="str">
        <f t="shared" si="305"/>
        <v>-0.0000458430670325474+0.00213527460119917i</v>
      </c>
      <c r="AQ505" s="98">
        <f t="shared" si="306"/>
        <v>-53.408923960796912</v>
      </c>
      <c r="AR505" s="169">
        <f t="shared" si="307"/>
        <v>91.229917128545296</v>
      </c>
      <c r="AS505" s="168" t="str">
        <f t="shared" si="308"/>
        <v>-1.44597793573931E-07+1.06789846568205E-06i</v>
      </c>
      <c r="AT505" s="190">
        <f t="shared" si="309"/>
        <v>-119.35049719491134</v>
      </c>
      <c r="AU505" s="169">
        <f t="shared" si="310"/>
        <v>97.711183407450733</v>
      </c>
      <c r="AV505" s="225"/>
      <c r="AX505">
        <f t="shared" si="311"/>
        <v>0</v>
      </c>
      <c r="AY505">
        <f t="shared" si="312"/>
        <v>0</v>
      </c>
    </row>
    <row r="506" spans="14:51" x14ac:dyDescent="0.55000000000000004">
      <c r="N506" s="170">
        <v>88</v>
      </c>
      <c r="O506" s="199">
        <f t="shared" si="313"/>
        <v>758577.57502918423</v>
      </c>
      <c r="P506" s="189" t="str">
        <f t="shared" si="279"/>
        <v>1078.86904761905</v>
      </c>
      <c r="Q506" s="160" t="str">
        <f t="shared" si="280"/>
        <v>1+148946.358555603i</v>
      </c>
      <c r="R506" s="160">
        <f t="shared" si="288"/>
        <v>148946.35855895991</v>
      </c>
      <c r="S506" s="160">
        <f t="shared" si="289"/>
        <v>1.5707896129684582</v>
      </c>
      <c r="T506" s="160" t="str">
        <f t="shared" si="281"/>
        <v>1+0.0953256694755858i</v>
      </c>
      <c r="U506" s="160">
        <f t="shared" si="290"/>
        <v>1.0045332166040946</v>
      </c>
      <c r="V506" s="160">
        <f t="shared" si="291"/>
        <v>9.503849267854507E-2</v>
      </c>
      <c r="W506" s="98" t="str">
        <f t="shared" si="282"/>
        <v>1-68.9433371915227i</v>
      </c>
      <c r="X506" s="160">
        <f t="shared" si="292"/>
        <v>68.950589142544658</v>
      </c>
      <c r="Y506" s="160">
        <f t="shared" si="293"/>
        <v>-1.5562926790001996</v>
      </c>
      <c r="Z506" s="98" t="str">
        <f t="shared" si="283"/>
        <v>-1040.99173804828+5.47633174124886i</v>
      </c>
      <c r="AA506" s="160">
        <f t="shared" si="294"/>
        <v>1041.0061425823187</v>
      </c>
      <c r="AB506" s="160">
        <f t="shared" si="295"/>
        <v>3.1363320150822211</v>
      </c>
      <c r="AC506" s="171" t="str">
        <f t="shared" si="296"/>
        <v>0.000478761544085335+0.000055209158161943i</v>
      </c>
      <c r="AD506" s="190">
        <f t="shared" si="297"/>
        <v>-66.340243306516541</v>
      </c>
      <c r="AE506" s="169">
        <f t="shared" si="298"/>
        <v>6.5780993858931422</v>
      </c>
      <c r="AF506" s="98" t="str">
        <f t="shared" si="284"/>
        <v>-9.95024875621891E-06</v>
      </c>
      <c r="AG506" s="98" t="str">
        <f t="shared" si="285"/>
        <v>4.77104975725307i</v>
      </c>
      <c r="AH506" s="98">
        <f t="shared" si="299"/>
        <v>4.7710497572530697</v>
      </c>
      <c r="AI506" s="98">
        <f t="shared" si="300"/>
        <v>1.5707963267948966</v>
      </c>
      <c r="AJ506" s="98" t="str">
        <f t="shared" si="286"/>
        <v>1+47.6152195182746i</v>
      </c>
      <c r="AK506" s="98">
        <f t="shared" si="301"/>
        <v>47.625719204789746</v>
      </c>
      <c r="AL506" s="98">
        <f t="shared" si="302"/>
        <v>1.5497977253944522</v>
      </c>
      <c r="AM506" s="98" t="str">
        <f t="shared" si="287"/>
        <v>1+47662.8347377929i</v>
      </c>
      <c r="AN506" s="98">
        <f t="shared" si="303"/>
        <v>47662.834748283254</v>
      </c>
      <c r="AO506" s="98">
        <f t="shared" si="304"/>
        <v>1.5707753460872791</v>
      </c>
      <c r="AP506" s="168" t="str">
        <f t="shared" si="305"/>
        <v>-0.0000437806987872108+0.00208671313046851i</v>
      </c>
      <c r="AQ506" s="98">
        <f t="shared" si="306"/>
        <v>-53.60883372469381</v>
      </c>
      <c r="AR506" s="169">
        <f t="shared" si="307"/>
        <v>91.20192912992529</v>
      </c>
      <c r="AS506" s="168" t="str">
        <f t="shared" si="308"/>
        <v>-1.36166190211139E-07+9.96620904882464E-07i</v>
      </c>
      <c r="AT506" s="190">
        <f t="shared" si="309"/>
        <v>-119.94907703121035</v>
      </c>
      <c r="AU506" s="169">
        <f t="shared" si="310"/>
        <v>97.780028515818415</v>
      </c>
      <c r="AV506" s="225"/>
      <c r="AX506">
        <f t="shared" si="311"/>
        <v>0</v>
      </c>
      <c r="AY506">
        <f t="shared" si="312"/>
        <v>0</v>
      </c>
    </row>
    <row r="507" spans="14:51" x14ac:dyDescent="0.55000000000000004">
      <c r="N507" s="170">
        <v>89</v>
      </c>
      <c r="O507" s="199">
        <f t="shared" si="313"/>
        <v>776247.11662869214</v>
      </c>
      <c r="P507" s="189" t="str">
        <f t="shared" si="279"/>
        <v>1078.86904761905</v>
      </c>
      <c r="Q507" s="160" t="str">
        <f t="shared" si="280"/>
        <v>1+152415.764935685i</v>
      </c>
      <c r="R507" s="160">
        <f t="shared" si="288"/>
        <v>152415.76493896547</v>
      </c>
      <c r="S507" s="160">
        <f t="shared" si="289"/>
        <v>1.5707897657938059</v>
      </c>
      <c r="T507" s="160" t="str">
        <f t="shared" si="281"/>
        <v>1+0.0975460895588384i</v>
      </c>
      <c r="U507" s="160">
        <f t="shared" si="290"/>
        <v>1.0047463558471963</v>
      </c>
      <c r="V507" s="160">
        <f t="shared" si="291"/>
        <v>9.7238452531123967E-2</v>
      </c>
      <c r="W507" s="98" t="str">
        <f t="shared" si="282"/>
        <v>1-70.5492338125343i</v>
      </c>
      <c r="X507" s="160">
        <f t="shared" si="292"/>
        <v>70.556320705771157</v>
      </c>
      <c r="Y507" s="160">
        <f t="shared" si="293"/>
        <v>-1.5566227776023618</v>
      </c>
      <c r="Z507" s="98" t="str">
        <f t="shared" si="283"/>
        <v>-1090.09929574352+5.60389189422462i</v>
      </c>
      <c r="AA507" s="160">
        <f t="shared" si="294"/>
        <v>1090.1136996592973</v>
      </c>
      <c r="AB507" s="160">
        <f t="shared" si="295"/>
        <v>3.1364519819534937</v>
      </c>
      <c r="AC507" s="171" t="str">
        <f t="shared" si="296"/>
        <v>0.000457196116056546+0.0000535330835814459i</v>
      </c>
      <c r="AD507" s="190">
        <f t="shared" si="297"/>
        <v>-66.738811775216689</v>
      </c>
      <c r="AE507" s="169">
        <f t="shared" si="298"/>
        <v>6.6783521921643594</v>
      </c>
      <c r="AF507" s="98" t="str">
        <f t="shared" si="284"/>
        <v>-9.95024875621891E-06</v>
      </c>
      <c r="AG507" s="98" t="str">
        <f t="shared" si="285"/>
        <v>4.88218178241986i</v>
      </c>
      <c r="AH507" s="98">
        <f t="shared" si="299"/>
        <v>4.8821817824198597</v>
      </c>
      <c r="AI507" s="98">
        <f t="shared" si="300"/>
        <v>1.5707963267948966</v>
      </c>
      <c r="AJ507" s="98" t="str">
        <f t="shared" si="286"/>
        <v>1+48.7243204589602i</v>
      </c>
      <c r="AK507" s="98">
        <f t="shared" si="301"/>
        <v>48.734581194337224</v>
      </c>
      <c r="AL507" s="98">
        <f t="shared" si="302"/>
        <v>1.5502755761805738</v>
      </c>
      <c r="AM507" s="98" t="str">
        <f t="shared" si="287"/>
        <v>1+48773.0447794192i</v>
      </c>
      <c r="AN507" s="98">
        <f t="shared" si="303"/>
        <v>48773.04478967077</v>
      </c>
      <c r="AO507" s="98">
        <f t="shared" si="304"/>
        <v>1.5707758236664906</v>
      </c>
      <c r="AP507" s="168" t="str">
        <f t="shared" si="305"/>
        <v>-0.0000418110723975715+0.00203925416443733i</v>
      </c>
      <c r="AQ507" s="98">
        <f t="shared" si="306"/>
        <v>-53.808747548134122</v>
      </c>
      <c r="AR507" s="169">
        <f t="shared" si="307"/>
        <v>91.174577659916707</v>
      </c>
      <c r="AS507" s="168" t="str">
        <f t="shared" si="308"/>
        <v>-1.28283423536964E-07+9.30100807999595E-07i</v>
      </c>
      <c r="AT507" s="190">
        <f t="shared" si="309"/>
        <v>-120.54755932335081</v>
      </c>
      <c r="AU507" s="169">
        <f t="shared" si="310"/>
        <v>97.852929852081076</v>
      </c>
      <c r="AV507" s="225"/>
      <c r="AX507">
        <f t="shared" si="311"/>
        <v>0</v>
      </c>
      <c r="AY507">
        <f t="shared" si="312"/>
        <v>0</v>
      </c>
    </row>
    <row r="508" spans="14:51" x14ac:dyDescent="0.55000000000000004">
      <c r="N508" s="170">
        <v>90</v>
      </c>
      <c r="O508" s="199">
        <f t="shared" si="313"/>
        <v>794328.23472428333</v>
      </c>
      <c r="P508" s="189" t="str">
        <f t="shared" si="279"/>
        <v>1078.86904761905</v>
      </c>
      <c r="Q508" s="160" t="str">
        <f t="shared" si="280"/>
        <v>1+155965.984171797i</v>
      </c>
      <c r="R508" s="160">
        <f t="shared" si="288"/>
        <v>155965.98417500281</v>
      </c>
      <c r="S508" s="160">
        <f t="shared" si="289"/>
        <v>1.5707899151404241</v>
      </c>
      <c r="T508" s="160" t="str">
        <f t="shared" si="281"/>
        <v>1+0.0998182298699504i</v>
      </c>
      <c r="U508" s="160">
        <f t="shared" si="290"/>
        <v>1.004969491583884</v>
      </c>
      <c r="V508" s="160">
        <f t="shared" si="291"/>
        <v>9.9488678828319785E-2</v>
      </c>
      <c r="W508" s="98" t="str">
        <f t="shared" si="282"/>
        <v>1-72.192536571143i</v>
      </c>
      <c r="X508" s="160">
        <f t="shared" si="292"/>
        <v>72.199462162649226</v>
      </c>
      <c r="Y508" s="160">
        <f t="shared" si="293"/>
        <v>-1.556945365227913</v>
      </c>
      <c r="Z508" s="98" t="str">
        <f t="shared" si="283"/>
        <v>-1141.52122133128+5.73442330485899i</v>
      </c>
      <c r="AA508" s="160">
        <f t="shared" si="294"/>
        <v>1141.5356246566712</v>
      </c>
      <c r="AB508" s="160">
        <f t="shared" si="295"/>
        <v>3.1365692033363386</v>
      </c>
      <c r="AC508" s="171" t="str">
        <f t="shared" si="296"/>
        <v>0.000436602842729325+0.0000519231925069465i</v>
      </c>
      <c r="AD508" s="190">
        <f t="shared" si="297"/>
        <v>-67.137275713280332</v>
      </c>
      <c r="AE508" s="169">
        <f t="shared" si="298"/>
        <v>6.782072905039187</v>
      </c>
      <c r="AF508" s="98" t="str">
        <f t="shared" si="284"/>
        <v>-9.95024875621891E-06</v>
      </c>
      <c r="AG508" s="98" t="str">
        <f t="shared" si="285"/>
        <v>4.99590240499101i</v>
      </c>
      <c r="AH508" s="98">
        <f t="shared" si="299"/>
        <v>4.9959024049910097</v>
      </c>
      <c r="AI508" s="98">
        <f t="shared" si="300"/>
        <v>1.5707963267948966</v>
      </c>
      <c r="AJ508" s="98" t="str">
        <f t="shared" si="286"/>
        <v>1+49.8592556792959i</v>
      </c>
      <c r="AK508" s="98">
        <f t="shared" si="301"/>
        <v>49.869282899329924</v>
      </c>
      <c r="AL508" s="98">
        <f t="shared" si="302"/>
        <v>1.5507425588118002</v>
      </c>
      <c r="AM508" s="98" t="str">
        <f t="shared" si="287"/>
        <v>1+49909.1149349752i</v>
      </c>
      <c r="AN508" s="98">
        <f t="shared" si="303"/>
        <v>49909.114944993416</v>
      </c>
      <c r="AO508" s="98">
        <f t="shared" si="304"/>
        <v>1.5707762903746723</v>
      </c>
      <c r="AP508" s="168" t="str">
        <f t="shared" si="305"/>
        <v>-0.0000399300208278242+0.00199287279970656i</v>
      </c>
      <c r="AQ508" s="98">
        <f t="shared" si="306"/>
        <v>-54.008665248562195</v>
      </c>
      <c r="AR508" s="169">
        <f t="shared" si="307"/>
        <v>91.14784826645058</v>
      </c>
      <c r="AS508" s="168" t="str">
        <f t="shared" si="308"/>
        <v>-1.2090987862469E-07+8.68020635391583E-07i</v>
      </c>
      <c r="AT508" s="190">
        <f t="shared" si="309"/>
        <v>-121.14594096184254</v>
      </c>
      <c r="AU508" s="169">
        <f t="shared" si="310"/>
        <v>97.929921171489752</v>
      </c>
      <c r="AV508" s="225"/>
      <c r="AX508">
        <f t="shared" si="311"/>
        <v>0</v>
      </c>
      <c r="AY508">
        <f t="shared" si="312"/>
        <v>0</v>
      </c>
    </row>
    <row r="509" spans="14:51" x14ac:dyDescent="0.55000000000000004">
      <c r="N509" s="170">
        <v>91</v>
      </c>
      <c r="O509" s="199">
        <f t="shared" si="313"/>
        <v>812830.51616410096</v>
      </c>
      <c r="P509" s="189" t="str">
        <f t="shared" si="279"/>
        <v>1078.86904761905</v>
      </c>
      <c r="Q509" s="160" t="str">
        <f t="shared" si="280"/>
        <v>1+159598.898637171i</v>
      </c>
      <c r="R509" s="160">
        <f t="shared" si="288"/>
        <v>159598.89864030387</v>
      </c>
      <c r="S509" s="160">
        <f t="shared" si="289"/>
        <v>1.5707900610874981</v>
      </c>
      <c r="T509" s="160" t="str">
        <f t="shared" si="281"/>
        <v>1+0.10214329512779i</v>
      </c>
      <c r="U509" s="160">
        <f t="shared" si="290"/>
        <v>1.0052030902954701</v>
      </c>
      <c r="V509" s="160">
        <f t="shared" si="291"/>
        <v>0.10179027346734511</v>
      </c>
      <c r="W509" s="98" t="str">
        <f t="shared" si="282"/>
        <v>1-73.8741167682226i</v>
      </c>
      <c r="X509" s="160">
        <f t="shared" si="292"/>
        <v>73.880884728629155</v>
      </c>
      <c r="Y509" s="160">
        <f t="shared" si="293"/>
        <v>-1.5572606126483732</v>
      </c>
      <c r="Z509" s="98" t="str">
        <f t="shared" si="283"/>
        <v>-1195.36658760996+5.86799518263365i</v>
      </c>
      <c r="AA509" s="160">
        <f t="shared" si="294"/>
        <v>1195.3809903715819</v>
      </c>
      <c r="AB509" s="160">
        <f t="shared" si="295"/>
        <v>3.1366837427093217</v>
      </c>
      <c r="AC509" s="171" t="str">
        <f t="shared" si="296"/>
        <v>0.000416937833353819+0.0000503761029936911i</v>
      </c>
      <c r="AD509" s="190">
        <f t="shared" si="297"/>
        <v>-67.535631982099332</v>
      </c>
      <c r="AE509" s="169">
        <f t="shared" si="298"/>
        <v>6.8893112324991144</v>
      </c>
      <c r="AF509" s="98" t="str">
        <f t="shared" si="284"/>
        <v>-9.95024875621891E-06</v>
      </c>
      <c r="AG509" s="98" t="str">
        <f t="shared" si="285"/>
        <v>5.11227192114587i</v>
      </c>
      <c r="AH509" s="98">
        <f t="shared" si="299"/>
        <v>5.1122719211458696</v>
      </c>
      <c r="AI509" s="98">
        <f t="shared" si="300"/>
        <v>1.5707963267948966</v>
      </c>
      <c r="AJ509" s="98" t="str">
        <f t="shared" si="286"/>
        <v>1+51.0206269369578i</v>
      </c>
      <c r="AK509" s="98">
        <f t="shared" si="301"/>
        <v>51.030425953936764</v>
      </c>
      <c r="AL509" s="98">
        <f t="shared" si="302"/>
        <v>1.5511989200733469</v>
      </c>
      <c r="AM509" s="98" t="str">
        <f t="shared" si="287"/>
        <v>1+51071.6475638948i</v>
      </c>
      <c r="AN509" s="98">
        <f t="shared" si="303"/>
        <v>51071.647573684968</v>
      </c>
      <c r="AO509" s="98">
        <f t="shared" si="304"/>
        <v>1.5707767464592786</v>
      </c>
      <c r="AP509" s="168" t="str">
        <f t="shared" si="305"/>
        <v>-0.0000381335639712013+0.00194754468690708i</v>
      </c>
      <c r="AQ509" s="98">
        <f t="shared" si="306"/>
        <v>-54.208586651625239</v>
      </c>
      <c r="AR509" s="169">
        <f t="shared" si="307"/>
        <v>91.121726823953736</v>
      </c>
      <c r="AS509" s="168" t="str">
        <f t="shared" si="308"/>
        <v>-1.14009037272659E-07+8.1008404177265E-07i</v>
      </c>
      <c r="AT509" s="190">
        <f t="shared" si="309"/>
        <v>-121.74421863372457</v>
      </c>
      <c r="AU509" s="169">
        <f t="shared" si="310"/>
        <v>98.011038056452847</v>
      </c>
      <c r="AV509" s="225"/>
      <c r="AX509">
        <f t="shared" si="311"/>
        <v>0</v>
      </c>
      <c r="AY509">
        <f t="shared" si="312"/>
        <v>0</v>
      </c>
    </row>
    <row r="510" spans="14:51" x14ac:dyDescent="0.55000000000000004">
      <c r="N510" s="170">
        <v>92</v>
      </c>
      <c r="O510" s="199">
        <f t="shared" si="313"/>
        <v>831763.77110267128</v>
      </c>
      <c r="P510" s="189" t="str">
        <f t="shared" si="279"/>
        <v>1078.86904761905</v>
      </c>
      <c r="Q510" s="160" t="str">
        <f t="shared" si="280"/>
        <v>1+163316.434551143i</v>
      </c>
      <c r="R510" s="160">
        <f t="shared" si="288"/>
        <v>163316.43455420455</v>
      </c>
      <c r="S510" s="160">
        <f t="shared" si="289"/>
        <v>1.5707902037124111</v>
      </c>
      <c r="T510" s="160" t="str">
        <f t="shared" si="281"/>
        <v>1+0.104522518112732i</v>
      </c>
      <c r="U510" s="160">
        <f t="shared" si="290"/>
        <v>1.0054476400054984</v>
      </c>
      <c r="V510" s="160">
        <f t="shared" si="291"/>
        <v>0.10414435919209586</v>
      </c>
      <c r="W510" s="98" t="str">
        <f t="shared" si="282"/>
        <v>1-75.5948659998522i</v>
      </c>
      <c r="X510" s="160">
        <f t="shared" si="292"/>
        <v>75.601479916305948</v>
      </c>
      <c r="Y510" s="160">
        <f t="shared" si="293"/>
        <v>-1.5575686867613172</v>
      </c>
      <c r="Z510" s="98" t="str">
        <f t="shared" si="283"/>
        <v>-1251.74960782063+6.00467834912622i</v>
      </c>
      <c r="AA510" s="160">
        <f t="shared" si="294"/>
        <v>1251.7640100438971</v>
      </c>
      <c r="AB510" s="160">
        <f t="shared" si="295"/>
        <v>3.1367956620402055</v>
      </c>
      <c r="AC510" s="171" t="str">
        <f t="shared" si="296"/>
        <v>0.000398159184626154+0.0000488886357405444i</v>
      </c>
      <c r="AD510" s="190">
        <f t="shared" si="297"/>
        <v>-67.933877225718376</v>
      </c>
      <c r="AE510" s="169">
        <f t="shared" si="298"/>
        <v>7.0001183855792704</v>
      </c>
      <c r="AF510" s="98" t="str">
        <f t="shared" si="284"/>
        <v>-9.95024875621891E-06</v>
      </c>
      <c r="AG510" s="98" t="str">
        <f t="shared" si="285"/>
        <v>5.23135203154223i</v>
      </c>
      <c r="AH510" s="98">
        <f t="shared" si="299"/>
        <v>5.2313520315422304</v>
      </c>
      <c r="AI510" s="98">
        <f t="shared" si="300"/>
        <v>1.5707963267948966</v>
      </c>
      <c r="AJ510" s="98" t="str">
        <f t="shared" si="286"/>
        <v>1+52.2090500063595i</v>
      </c>
      <c r="AK510" s="98">
        <f t="shared" si="301"/>
        <v>52.21862601186043</v>
      </c>
      <c r="AL510" s="98">
        <f t="shared" si="302"/>
        <v>1.5516449011732045</v>
      </c>
      <c r="AM510" s="98" t="str">
        <f t="shared" si="287"/>
        <v>1+52261.2590563659i</v>
      </c>
      <c r="AN510" s="98">
        <f t="shared" si="303"/>
        <v>52261.25906593322</v>
      </c>
      <c r="AO510" s="98">
        <f t="shared" si="304"/>
        <v>1.5707771921621316</v>
      </c>
      <c r="AP510" s="168" t="str">
        <f t="shared" si="305"/>
        <v>-0.0000364179002911252+0.00190324601894339i</v>
      </c>
      <c r="AQ510" s="98">
        <f t="shared" si="306"/>
        <v>-54.408511590805361</v>
      </c>
      <c r="AR510" s="169">
        <f t="shared" si="307"/>
        <v>91.096199526081691</v>
      </c>
      <c r="AS510" s="168" t="str">
        <f t="shared" si="308"/>
        <v>-1.07547222830476E-07+7.56014461583706E-07i</v>
      </c>
      <c r="AT510" s="190">
        <f t="shared" si="309"/>
        <v>-122.34238881652374</v>
      </c>
      <c r="AU510" s="169">
        <f t="shared" si="310"/>
        <v>98.096317911660989</v>
      </c>
      <c r="AV510" s="225"/>
      <c r="AX510">
        <f t="shared" si="311"/>
        <v>0</v>
      </c>
      <c r="AY510">
        <f t="shared" si="312"/>
        <v>0</v>
      </c>
    </row>
    <row r="511" spans="14:51" x14ac:dyDescent="0.55000000000000004">
      <c r="N511" s="170">
        <v>93</v>
      </c>
      <c r="O511" s="199">
        <f t="shared" si="313"/>
        <v>851138.03820237669</v>
      </c>
      <c r="P511" s="189" t="str">
        <f t="shared" si="279"/>
        <v>1078.86904761905</v>
      </c>
      <c r="Q511" s="160" t="str">
        <f t="shared" si="280"/>
        <v>1+167120.563000463i</v>
      </c>
      <c r="R511" s="160">
        <f t="shared" si="288"/>
        <v>167120.56300345485</v>
      </c>
      <c r="S511" s="160">
        <f t="shared" si="289"/>
        <v>1.5707903430907848</v>
      </c>
      <c r="T511" s="160" t="str">
        <f t="shared" si="281"/>
        <v>1+0.106957160320297i</v>
      </c>
      <c r="U511" s="160">
        <f t="shared" si="290"/>
        <v>1.0057036512530826</v>
      </c>
      <c r="V511" s="160">
        <f t="shared" si="291"/>
        <v>0.10655207974745674</v>
      </c>
      <c r="W511" s="98" t="str">
        <f t="shared" si="282"/>
        <v>1-77.3556966300514i</v>
      </c>
      <c r="X511" s="160">
        <f t="shared" si="292"/>
        <v>77.362160008110862</v>
      </c>
      <c r="Y511" s="160">
        <f t="shared" si="293"/>
        <v>-1.5578697506776695</v>
      </c>
      <c r="Z511" s="98" t="str">
        <f t="shared" si="283"/>
        <v>-1310.78987790854+6.14454527556084i</v>
      </c>
      <c r="AA511" s="160">
        <f t="shared" si="294"/>
        <v>1310.8042796177194</v>
      </c>
      <c r="AB511" s="160">
        <f t="shared" si="295"/>
        <v>3.1369050218247576</v>
      </c>
      <c r="AC511" s="171" t="str">
        <f t="shared" si="296"/>
        <v>0.000380226890177052+0.0000474578010370949i</v>
      </c>
      <c r="AD511" s="190">
        <f t="shared" si="297"/>
        <v>-68.332007864788565</v>
      </c>
      <c r="AE511" s="169">
        <f t="shared" si="298"/>
        <v>7.1145470799817971</v>
      </c>
      <c r="AF511" s="98" t="str">
        <f t="shared" si="284"/>
        <v>-9.95024875621891E-06</v>
      </c>
      <c r="AG511" s="98" t="str">
        <f t="shared" si="285"/>
        <v>5.35320587403085i</v>
      </c>
      <c r="AH511" s="98">
        <f t="shared" si="299"/>
        <v>5.3532058740308504</v>
      </c>
      <c r="AI511" s="98">
        <f t="shared" si="300"/>
        <v>1.5707963267948966</v>
      </c>
      <c r="AJ511" s="98" t="str">
        <f t="shared" si="286"/>
        <v>1+53.4251550051432i</v>
      </c>
      <c r="AK511" s="98">
        <f t="shared" si="301"/>
        <v>53.434513072765789</v>
      </c>
      <c r="AL511" s="98">
        <f t="shared" si="302"/>
        <v>1.5520807378664065</v>
      </c>
      <c r="AM511" s="98" t="str">
        <f t="shared" si="287"/>
        <v>1+53478.5801601483i</v>
      </c>
      <c r="AN511" s="98">
        <f t="shared" si="303"/>
        <v>53478.580169497844</v>
      </c>
      <c r="AO511" s="98">
        <f t="shared" si="304"/>
        <v>1.5707776277195493</v>
      </c>
      <c r="AP511" s="168" t="str">
        <f t="shared" si="305"/>
        <v>-0.0000347793988338007+0.00185995351944812i</v>
      </c>
      <c r="AQ511" s="98">
        <f t="shared" si="306"/>
        <v>-54.60843990706779</v>
      </c>
      <c r="AR511" s="169">
        <f t="shared" si="307"/>
        <v>91.071252878606046</v>
      </c>
      <c r="AS511" s="168" t="str">
        <f t="shared" si="308"/>
        <v>-1.01493366725017E-07+7.05553788783578E-07i</v>
      </c>
      <c r="AT511" s="190">
        <f t="shared" si="309"/>
        <v>-122.94044777185634</v>
      </c>
      <c r="AU511" s="169">
        <f t="shared" si="310"/>
        <v>98.185799958587864</v>
      </c>
      <c r="AV511" s="225"/>
      <c r="AX511">
        <f t="shared" si="311"/>
        <v>0</v>
      </c>
      <c r="AY511">
        <f t="shared" si="312"/>
        <v>0</v>
      </c>
    </row>
    <row r="512" spans="14:51" x14ac:dyDescent="0.55000000000000004">
      <c r="N512" s="170">
        <v>94</v>
      </c>
      <c r="O512" s="199">
        <f t="shared" si="313"/>
        <v>870963.58995608077</v>
      </c>
      <c r="P512" s="189" t="str">
        <f t="shared" si="279"/>
        <v>1078.86904761905</v>
      </c>
      <c r="Q512" s="160" t="str">
        <f t="shared" si="280"/>
        <v>1+171013.300984388i</v>
      </c>
      <c r="R512" s="160">
        <f t="shared" si="288"/>
        <v>171013.30098731176</v>
      </c>
      <c r="S512" s="160">
        <f t="shared" si="289"/>
        <v>1.5707904792965195</v>
      </c>
      <c r="T512" s="160" t="str">
        <f t="shared" si="281"/>
        <v>1+0.109448512630009i</v>
      </c>
      <c r="U512" s="160">
        <f t="shared" si="290"/>
        <v>1.0059716581081801</v>
      </c>
      <c r="V512" s="160">
        <f t="shared" si="291"/>
        <v>0.1090146000150978</v>
      </c>
      <c r="W512" s="98" t="str">
        <f t="shared" si="282"/>
        <v>1-79.1575422745275i</v>
      </c>
      <c r="X512" s="160">
        <f t="shared" si="292"/>
        <v>79.163858540015653</v>
      </c>
      <c r="Y512" s="160">
        <f t="shared" si="293"/>
        <v>-1.5581639638070721</v>
      </c>
      <c r="Z512" s="98" t="str">
        <f t="shared" si="283"/>
        <v>-1372.61263020224+6.28767012123322i</v>
      </c>
      <c r="AA512" s="160">
        <f t="shared" si="294"/>
        <v>1372.627031420504</v>
      </c>
      <c r="AB512" s="160">
        <f t="shared" si="295"/>
        <v>3.1370118811243772</v>
      </c>
      <c r="AC512" s="171" t="str">
        <f t="shared" si="296"/>
        <v>0.000363102754227821+0.0000460807865769822i</v>
      </c>
      <c r="AD512" s="190">
        <f t="shared" si="297"/>
        <v>-68.730020090145317</v>
      </c>
      <c r="AE512" s="169">
        <f t="shared" si="298"/>
        <v>7.2326515368072979</v>
      </c>
      <c r="AF512" s="98" t="str">
        <f t="shared" si="284"/>
        <v>-9.95024875621891E-06</v>
      </c>
      <c r="AG512" s="98" t="str">
        <f t="shared" si="285"/>
        <v>5.47789805713193i</v>
      </c>
      <c r="AH512" s="98">
        <f t="shared" si="299"/>
        <v>5.47789805713193</v>
      </c>
      <c r="AI512" s="98">
        <f t="shared" si="300"/>
        <v>1.5707963267948966</v>
      </c>
      <c r="AJ512" s="98" t="str">
        <f t="shared" si="286"/>
        <v>1+54.669586728276i</v>
      </c>
      <c r="AK512" s="98">
        <f t="shared" si="301"/>
        <v>54.678731816314937</v>
      </c>
      <c r="AL512" s="98">
        <f t="shared" si="302"/>
        <v>1.5525066605766467</v>
      </c>
      <c r="AM512" s="98" t="str">
        <f t="shared" si="287"/>
        <v>1+54724.2563150043i</v>
      </c>
      <c r="AN512" s="98">
        <f t="shared" si="303"/>
        <v>54724.25632414101</v>
      </c>
      <c r="AO512" s="98">
        <f t="shared" si="304"/>
        <v>1.5707780533624696</v>
      </c>
      <c r="AP512" s="168" t="str">
        <f t="shared" si="305"/>
        <v>-0.0000332145915959444+0.00181764443144619i</v>
      </c>
      <c r="AQ512" s="98">
        <f t="shared" si="306"/>
        <v>-54.808371448525321</v>
      </c>
      <c r="AR512" s="169">
        <f t="shared" si="307"/>
        <v>91.046873692453431</v>
      </c>
      <c r="AS512" s="168" t="str">
        <f t="shared" si="308"/>
        <v>-9.58187948073517E-08+6.58461144758399E-07i</v>
      </c>
      <c r="AT512" s="190">
        <f t="shared" si="309"/>
        <v>-123.53839153867064</v>
      </c>
      <c r="AU512" s="169">
        <f t="shared" si="310"/>
        <v>98.279525229260727</v>
      </c>
      <c r="AV512" s="225"/>
      <c r="AX512">
        <f t="shared" si="311"/>
        <v>0</v>
      </c>
      <c r="AY512">
        <f t="shared" si="312"/>
        <v>0</v>
      </c>
    </row>
    <row r="513" spans="14:51" x14ac:dyDescent="0.55000000000000004">
      <c r="N513" s="170">
        <v>95</v>
      </c>
      <c r="O513" s="199">
        <f t="shared" si="313"/>
        <v>891250.93813374708</v>
      </c>
      <c r="P513" s="189" t="str">
        <f t="shared" si="279"/>
        <v>1078.86904761905</v>
      </c>
      <c r="Q513" s="160" t="str">
        <f t="shared" si="280"/>
        <v>1+174996.712484124i</v>
      </c>
      <c r="R513" s="160">
        <f t="shared" si="288"/>
        <v>174996.71248698121</v>
      </c>
      <c r="S513" s="160">
        <f t="shared" si="289"/>
        <v>1.5707906124018329</v>
      </c>
      <c r="T513" s="160" t="str">
        <f t="shared" si="281"/>
        <v>1+0.11199789598984i</v>
      </c>
      <c r="U513" s="160">
        <f t="shared" si="290"/>
        <v>1.0062522192304229</v>
      </c>
      <c r="V513" s="160">
        <f t="shared" si="291"/>
        <v>0.11153310612895212</v>
      </c>
      <c r="W513" s="98" t="str">
        <f t="shared" si="282"/>
        <v>1-81.0013582956916i</v>
      </c>
      <c r="X513" s="160">
        <f t="shared" si="292"/>
        <v>81.00753079650687</v>
      </c>
      <c r="Y513" s="160">
        <f t="shared" si="293"/>
        <v>-1.5584514819413637</v>
      </c>
      <c r="Z513" s="98" t="str">
        <f t="shared" si="283"/>
        <v>-1437.34899904805+6.43412877283105i</v>
      </c>
      <c r="AA513" s="160">
        <f t="shared" si="294"/>
        <v>1437.3633997975239</v>
      </c>
      <c r="AB513" s="160">
        <f t="shared" si="295"/>
        <v>3.1371162976025886</v>
      </c>
      <c r="AC513" s="171" t="str">
        <f t="shared" si="296"/>
        <v>0.000346750309217967+0.0000447549460791259i</v>
      </c>
      <c r="AD513" s="190">
        <f t="shared" si="297"/>
        <v>-69.127909856004152</v>
      </c>
      <c r="AE513" s="169">
        <f t="shared" si="298"/>
        <v>7.3544874822948429</v>
      </c>
      <c r="AF513" s="98" t="str">
        <f t="shared" si="284"/>
        <v>-9.95024875621891E-06</v>
      </c>
      <c r="AG513" s="98" t="str">
        <f t="shared" si="285"/>
        <v>5.60549469429148i</v>
      </c>
      <c r="AH513" s="98">
        <f t="shared" si="299"/>
        <v>5.6054946942914796</v>
      </c>
      <c r="AI513" s="98">
        <f t="shared" si="300"/>
        <v>1.5707963267948966</v>
      </c>
      <c r="AJ513" s="98" t="str">
        <f t="shared" si="286"/>
        <v>1+55.9430049899299i</v>
      </c>
      <c r="AK513" s="98">
        <f t="shared" si="301"/>
        <v>55.951941943987265</v>
      </c>
      <c r="AL513" s="98">
        <f t="shared" si="302"/>
        <v>1.5529228945152955</v>
      </c>
      <c r="AM513" s="98" t="str">
        <f t="shared" si="287"/>
        <v>1+55998.9479949198i</v>
      </c>
      <c r="AN513" s="98">
        <f t="shared" si="303"/>
        <v>55998.948003848549</v>
      </c>
      <c r="AO513" s="98">
        <f t="shared" si="304"/>
        <v>1.5707784693165743</v>
      </c>
      <c r="AP513" s="168" t="str">
        <f t="shared" si="305"/>
        <v>-0.0000317201662320515+0.00177629650622748i</v>
      </c>
      <c r="AQ513" s="98">
        <f t="shared" si="306"/>
        <v>-55.008306070117492</v>
      </c>
      <c r="AR513" s="169">
        <f t="shared" si="307"/>
        <v>91.023049076893415</v>
      </c>
      <c r="AS513" s="168" t="str">
        <f t="shared" si="308"/>
        <v>-9.04970318061598E-08+6.14511728467837E-07i</v>
      </c>
      <c r="AT513" s="190">
        <f t="shared" si="309"/>
        <v>-124.13621592612165</v>
      </c>
      <c r="AU513" s="169">
        <f t="shared" si="310"/>
        <v>98.377536559188272</v>
      </c>
      <c r="AV513" s="225"/>
      <c r="AX513">
        <f t="shared" si="311"/>
        <v>0</v>
      </c>
      <c r="AY513">
        <f t="shared" si="312"/>
        <v>0</v>
      </c>
    </row>
    <row r="514" spans="14:51" x14ac:dyDescent="0.55000000000000004">
      <c r="N514" s="170">
        <v>96</v>
      </c>
      <c r="O514" s="199">
        <f t="shared" si="313"/>
        <v>912010.83935591124</v>
      </c>
      <c r="P514" s="189" t="str">
        <f t="shared" si="279"/>
        <v>1078.86904761905</v>
      </c>
      <c r="Q514" s="160" t="str">
        <f t="shared" si="280"/>
        <v>1+179072.909557174i</v>
      </c>
      <c r="R514" s="160">
        <f t="shared" si="288"/>
        <v>179072.90955996618</v>
      </c>
      <c r="S514" s="160">
        <f t="shared" si="289"/>
        <v>1.5707907424772996</v>
      </c>
      <c r="T514" s="160" t="str">
        <f t="shared" si="281"/>
        <v>1+0.114606662116592i</v>
      </c>
      <c r="U514" s="160">
        <f t="shared" si="290"/>
        <v>1.0065459189731518</v>
      </c>
      <c r="V514" s="160">
        <f t="shared" si="291"/>
        <v>0.11410880556841804</v>
      </c>
      <c r="W514" s="98" t="str">
        <f t="shared" si="282"/>
        <v>1-82.8881223092038i</v>
      </c>
      <c r="X514" s="160">
        <f t="shared" si="292"/>
        <v>82.894154317089985</v>
      </c>
      <c r="Y514" s="160">
        <f t="shared" si="293"/>
        <v>-1.5587324573362102</v>
      </c>
      <c r="Z514" s="98" t="str">
        <f t="shared" si="283"/>
        <v>-1505.13629896365+6.58399888466998i</v>
      </c>
      <c r="AA514" s="160">
        <f t="shared" si="294"/>
        <v>1505.1506992654613</v>
      </c>
      <c r="AB514" s="160">
        <f t="shared" si="295"/>
        <v>3.1372183275604448</v>
      </c>
      <c r="AC514" s="171" t="str">
        <f t="shared" si="296"/>
        <v>0.000331134737218007+0.0000434777886624838i</v>
      </c>
      <c r="AD514" s="190">
        <f t="shared" si="297"/>
        <v>-69.525672872772319</v>
      </c>
      <c r="AE514" s="169">
        <f t="shared" si="298"/>
        <v>7.4801121464543607</v>
      </c>
      <c r="AF514" s="98" t="str">
        <f t="shared" si="284"/>
        <v>-9.95024875621891E-06</v>
      </c>
      <c r="AG514" s="98" t="str">
        <f t="shared" si="285"/>
        <v>5.73606343893541i</v>
      </c>
      <c r="AH514" s="98">
        <f t="shared" si="299"/>
        <v>5.7360634389354104</v>
      </c>
      <c r="AI514" s="98">
        <f t="shared" si="300"/>
        <v>1.5707963267948966</v>
      </c>
      <c r="AJ514" s="98" t="str">
        <f t="shared" si="286"/>
        <v>1+57.2460849733225i</v>
      </c>
      <c r="AK514" s="98">
        <f t="shared" si="301"/>
        <v>57.254818528861492</v>
      </c>
      <c r="AL514" s="98">
        <f t="shared" si="302"/>
        <v>1.553329659797863</v>
      </c>
      <c r="AM514" s="98" t="str">
        <f t="shared" si="287"/>
        <v>1+57303.3310582958i</v>
      </c>
      <c r="AN514" s="98">
        <f t="shared" si="303"/>
        <v>57303.331067021289</v>
      </c>
      <c r="AO514" s="98">
        <f t="shared" si="304"/>
        <v>1.5707788758024075</v>
      </c>
      <c r="AP514" s="168" t="str">
        <f t="shared" si="305"/>
        <v>-0.0000302929590862673+0.00173588799242663i</v>
      </c>
      <c r="AQ514" s="98">
        <f t="shared" si="306"/>
        <v>-55.20824363330388</v>
      </c>
      <c r="AR514" s="169">
        <f t="shared" si="307"/>
        <v>90.999766432872519</v>
      </c>
      <c r="AS514" s="168" t="str">
        <f t="shared" si="308"/>
        <v>-8.55036223230553E-08+5.73495743338972E-07i</v>
      </c>
      <c r="AT514" s="190">
        <f t="shared" si="309"/>
        <v>-124.73391650607621</v>
      </c>
      <c r="AU514" s="169">
        <f t="shared" si="310"/>
        <v>98.479878579326879</v>
      </c>
      <c r="AV514" s="225"/>
      <c r="AX514">
        <f t="shared" si="311"/>
        <v>0</v>
      </c>
      <c r="AY514">
        <f t="shared" si="312"/>
        <v>0</v>
      </c>
    </row>
    <row r="515" spans="14:51" x14ac:dyDescent="0.55000000000000004">
      <c r="N515" s="170">
        <v>97</v>
      </c>
      <c r="O515" s="199">
        <f t="shared" si="313"/>
        <v>933254.30079699249</v>
      </c>
      <c r="P515" s="189" t="str">
        <f t="shared" si="279"/>
        <v>1078.86904761905</v>
      </c>
      <c r="Q515" s="160" t="str">
        <f t="shared" si="280"/>
        <v>1+183244.053457182i</v>
      </c>
      <c r="R515" s="160">
        <f t="shared" si="288"/>
        <v>183244.05345991059</v>
      </c>
      <c r="S515" s="160">
        <f t="shared" si="289"/>
        <v>1.5707908695918871</v>
      </c>
      <c r="T515" s="160" t="str">
        <f t="shared" si="281"/>
        <v>1+0.117276194212596i</v>
      </c>
      <c r="U515" s="160">
        <f t="shared" si="290"/>
        <v>1.0068533685343612</v>
      </c>
      <c r="V515" s="160">
        <f t="shared" si="291"/>
        <v>0.11674292722722361</v>
      </c>
      <c r="W515" s="98" t="str">
        <f t="shared" si="282"/>
        <v>1-84.8188347023183i</v>
      </c>
      <c r="X515" s="160">
        <f t="shared" si="292"/>
        <v>84.824729414594628</v>
      </c>
      <c r="Y515" s="160">
        <f t="shared" si="293"/>
        <v>-1.5590070387909256</v>
      </c>
      <c r="Z515" s="98" t="str">
        <f t="shared" si="283"/>
        <v>-1576.11831590057+6.7373599198671i</v>
      </c>
      <c r="AA515" s="160">
        <f t="shared" si="294"/>
        <v>1576.1327157748929</v>
      </c>
      <c r="AB515" s="160">
        <f t="shared" si="295"/>
        <v>3.1373180259708868</v>
      </c>
      <c r="AC515" s="171" t="str">
        <f t="shared" si="296"/>
        <v>0.000316222794950302+0.0000422469689236895i</v>
      </c>
      <c r="AD515" s="190">
        <f t="shared" si="297"/>
        <v>-69.923304599470299</v>
      </c>
      <c r="AE515" s="169">
        <f t="shared" si="298"/>
        <v>7.6095842604683339</v>
      </c>
      <c r="AF515" s="98" t="str">
        <f t="shared" si="284"/>
        <v>-9.95024875621891E-06</v>
      </c>
      <c r="AG515" s="98" t="str">
        <f t="shared" si="285"/>
        <v>5.86967352034045i</v>
      </c>
      <c r="AH515" s="98">
        <f t="shared" si="299"/>
        <v>5.8696735203404504</v>
      </c>
      <c r="AI515" s="98">
        <f t="shared" si="300"/>
        <v>1.5707963267948966</v>
      </c>
      <c r="AJ515" s="98" t="str">
        <f t="shared" si="286"/>
        <v>1+58.5795175887095i</v>
      </c>
      <c r="AK515" s="98">
        <f t="shared" si="301"/>
        <v>58.588052373550752</v>
      </c>
      <c r="AL515" s="98">
        <f t="shared" si="302"/>
        <v>1.5537271715579573</v>
      </c>
      <c r="AM515" s="98" t="str">
        <f t="shared" si="287"/>
        <v>1+58638.0971062982i</v>
      </c>
      <c r="AN515" s="98">
        <f t="shared" si="303"/>
        <v>58638.097114825068</v>
      </c>
      <c r="AO515" s="98">
        <f t="shared" si="304"/>
        <v>1.5707792730354935</v>
      </c>
      <c r="AP515" s="168" t="str">
        <f t="shared" si="305"/>
        <v>-0.0000289299485345693+0.00169639762530803i</v>
      </c>
      <c r="AQ515" s="98">
        <f t="shared" si="306"/>
        <v>-55.408184005771872</v>
      </c>
      <c r="AR515" s="169">
        <f t="shared" si="307"/>
        <v>90.977013446491625</v>
      </c>
      <c r="AS515" s="168" t="str">
        <f t="shared" si="308"/>
        <v>-8.08159669419789E-08+5.35217395785256E-07i</v>
      </c>
      <c r="AT515" s="190">
        <f t="shared" si="309"/>
        <v>-125.33148860524219</v>
      </c>
      <c r="AU515" s="169">
        <f t="shared" si="310"/>
        <v>98.586597706959978</v>
      </c>
      <c r="AV515" s="225"/>
      <c r="AX515">
        <f t="shared" si="311"/>
        <v>0</v>
      </c>
      <c r="AY515">
        <f t="shared" si="312"/>
        <v>0</v>
      </c>
    </row>
    <row r="516" spans="14:51" x14ac:dyDescent="0.55000000000000004">
      <c r="N516" s="170">
        <v>98</v>
      </c>
      <c r="O516" s="199">
        <f t="shared" si="313"/>
        <v>954992.58602143743</v>
      </c>
      <c r="P516" s="189" t="str">
        <f t="shared" si="279"/>
        <v>1078.86904761905</v>
      </c>
      <c r="Q516" s="160" t="str">
        <f t="shared" si="280"/>
        <v>1+187512.355779854i</v>
      </c>
      <c r="R516" s="160">
        <f t="shared" si="288"/>
        <v>187512.35578252049</v>
      </c>
      <c r="S516" s="160">
        <f t="shared" si="289"/>
        <v>1.5707909938129934</v>
      </c>
      <c r="T516" s="160" t="str">
        <f t="shared" si="281"/>
        <v>1+0.120007907699107i</v>
      </c>
      <c r="U516" s="160">
        <f t="shared" si="290"/>
        <v>1.0071752071562907</v>
      </c>
      <c r="V516" s="160">
        <f t="shared" si="291"/>
        <v>0.11943672145574931</v>
      </c>
      <c r="W516" s="98" t="str">
        <f t="shared" si="282"/>
        <v>1-86.7945191643019i</v>
      </c>
      <c r="X516" s="160">
        <f t="shared" si="292"/>
        <v>86.800279705553777</v>
      </c>
      <c r="Y516" s="160">
        <f t="shared" si="293"/>
        <v>-1.5592753717265202</v>
      </c>
      <c r="Z516" s="98" t="str">
        <f t="shared" si="283"/>
        <v>-1650.44561223344+6.89429319247323i</v>
      </c>
      <c r="AA516" s="160">
        <f t="shared" si="294"/>
        <v>1650.4600116995377</v>
      </c>
      <c r="AB516" s="160">
        <f t="shared" si="295"/>
        <v>3.1374154465120911</v>
      </c>
      <c r="AC516" s="171" t="str">
        <f t="shared" si="296"/>
        <v>0.000301982742249271+0.0000410602776703552i</v>
      </c>
      <c r="AD516" s="190">
        <f t="shared" si="297"/>
        <v>-70.320800235758355</v>
      </c>
      <c r="AE516" s="169">
        <f t="shared" si="298"/>
        <v>7.7429640527316534</v>
      </c>
      <c r="AF516" s="98" t="str">
        <f t="shared" si="284"/>
        <v>-9.95024875621891E-06</v>
      </c>
      <c r="AG516" s="98" t="str">
        <f t="shared" si="285"/>
        <v>6.00639578034029i</v>
      </c>
      <c r="AH516" s="98">
        <f t="shared" si="299"/>
        <v>6.0063957803402896</v>
      </c>
      <c r="AI516" s="98">
        <f t="shared" si="300"/>
        <v>1.5707963267948966</v>
      </c>
      <c r="AJ516" s="98" t="str">
        <f t="shared" si="286"/>
        <v>1+59.9440098397136i</v>
      </c>
      <c r="AK516" s="98">
        <f t="shared" si="301"/>
        <v>59.952350376475501</v>
      </c>
      <c r="AL516" s="98">
        <f t="shared" si="302"/>
        <v>1.5541156400587819</v>
      </c>
      <c r="AM516" s="98" t="str">
        <f t="shared" si="287"/>
        <v>1+60003.9538495533i</v>
      </c>
      <c r="AN516" s="98">
        <f t="shared" si="303"/>
        <v>60003.953857886088</v>
      </c>
      <c r="AO516" s="98">
        <f t="shared" si="304"/>
        <v>1.5707796612264506</v>
      </c>
      <c r="AP516" s="168" t="str">
        <f t="shared" si="305"/>
        <v>-0.0000276282486235866+0.00165780461625459i</v>
      </c>
      <c r="AQ516" s="98">
        <f t="shared" si="306"/>
        <v>-55.60812706115663</v>
      </c>
      <c r="AR516" s="169">
        <f t="shared" si="307"/>
        <v>90.954778082624074</v>
      </c>
      <c r="AS516" s="168" t="str">
        <f t="shared" si="308"/>
        <v>-7.64131721495054E-08+4.99493960570031E-07i</v>
      </c>
      <c r="AT516" s="190">
        <f t="shared" si="309"/>
        <v>-125.92892729691499</v>
      </c>
      <c r="AU516" s="169">
        <f t="shared" si="310"/>
        <v>98.697742135355725</v>
      </c>
      <c r="AV516" s="225"/>
      <c r="AX516">
        <f t="shared" si="311"/>
        <v>0</v>
      </c>
      <c r="AY516">
        <f t="shared" si="312"/>
        <v>0</v>
      </c>
    </row>
    <row r="517" spans="14:51" x14ac:dyDescent="0.55000000000000004">
      <c r="N517" s="170">
        <v>99</v>
      </c>
      <c r="O517" s="199">
        <f t="shared" si="313"/>
        <v>977237.22095581202</v>
      </c>
      <c r="P517" s="189" t="str">
        <f t="shared" si="279"/>
        <v>1078.86904761905</v>
      </c>
      <c r="Q517" s="160" t="str">
        <f t="shared" si="280"/>
        <v>1+191880.07963558i</v>
      </c>
      <c r="R517" s="160">
        <f t="shared" si="288"/>
        <v>191880.07963818579</v>
      </c>
      <c r="S517" s="160">
        <f t="shared" si="289"/>
        <v>1.5707911152064822</v>
      </c>
      <c r="T517" s="160" t="str">
        <f t="shared" si="281"/>
        <v>1+0.122803250966771i</v>
      </c>
      <c r="U517" s="160">
        <f t="shared" si="290"/>
        <v>1.0075121033754422</v>
      </c>
      <c r="V517" s="160">
        <f t="shared" si="291"/>
        <v>0.12219146007445465</v>
      </c>
      <c r="W517" s="98" t="str">
        <f t="shared" si="282"/>
        <v>1-88.8162232292078i</v>
      </c>
      <c r="X517" s="160">
        <f t="shared" si="292"/>
        <v>88.821852652939356</v>
      </c>
      <c r="Y517" s="160">
        <f t="shared" si="293"/>
        <v>-1.5595375982620141</v>
      </c>
      <c r="Z517" s="98" t="str">
        <f t="shared" si="283"/>
        <v>-1728.27584612303+7.05488191058677i</v>
      </c>
      <c r="AA517" s="160">
        <f t="shared" si="294"/>
        <v>1728.2902451992975</v>
      </c>
      <c r="AB517" s="160">
        <f t="shared" si="295"/>
        <v>3.1375106415998539</v>
      </c>
      <c r="AC517" s="171" t="str">
        <f t="shared" si="296"/>
        <v>0.000288384273800373+0.0000399156332660199i</v>
      </c>
      <c r="AD517" s="190">
        <f t="shared" si="297"/>
        <v>-70.718154713566406</v>
      </c>
      <c r="AE517" s="169">
        <f t="shared" si="298"/>
        <v>7.8803132433912841</v>
      </c>
      <c r="AF517" s="98" t="str">
        <f t="shared" si="284"/>
        <v>-9.95024875621891E-06</v>
      </c>
      <c r="AG517" s="98" t="str">
        <f t="shared" si="285"/>
        <v>6.14630271088691i</v>
      </c>
      <c r="AH517" s="98">
        <f t="shared" si="299"/>
        <v>6.1463027108869097</v>
      </c>
      <c r="AI517" s="98">
        <f t="shared" si="300"/>
        <v>1.5707963267948966</v>
      </c>
      <c r="AJ517" s="98" t="str">
        <f t="shared" si="286"/>
        <v>1+61.3402851981875i</v>
      </c>
      <c r="AK517" s="98">
        <f t="shared" si="301"/>
        <v>61.348435906671497</v>
      </c>
      <c r="AL517" s="98">
        <f t="shared" si="302"/>
        <v>1.5544952708022262</v>
      </c>
      <c r="AM517" s="98" t="str">
        <f t="shared" si="287"/>
        <v>1+61401.6254833857i</v>
      </c>
      <c r="AN517" s="98">
        <f t="shared" si="303"/>
        <v>61401.625491528808</v>
      </c>
      <c r="AO517" s="98">
        <f t="shared" si="304"/>
        <v>1.5707800405811028</v>
      </c>
      <c r="AP517" s="168" t="str">
        <f t="shared" si="305"/>
        <v>-0.0000263851029929694+0.001620088642458i</v>
      </c>
      <c r="AQ517" s="98">
        <f t="shared" si="306"/>
        <v>-55.80807267877428</v>
      </c>
      <c r="AR517" s="169">
        <f t="shared" si="307"/>
        <v>90.93304857867183</v>
      </c>
      <c r="AS517" s="168" t="str">
        <f t="shared" si="308"/>
        <v>-7.22759128765731E-08+4.66154908552729E-07i</v>
      </c>
      <c r="AT517" s="190">
        <f t="shared" si="309"/>
        <v>-126.52622739234067</v>
      </c>
      <c r="AU517" s="169">
        <f t="shared" si="310"/>
        <v>98.813361822063115</v>
      </c>
      <c r="AV517" s="225"/>
      <c r="AX517">
        <f t="shared" si="311"/>
        <v>0</v>
      </c>
      <c r="AY517">
        <f t="shared" si="312"/>
        <v>0</v>
      </c>
    </row>
    <row r="518" spans="14:51" x14ac:dyDescent="0.55000000000000004">
      <c r="N518" s="170">
        <v>100</v>
      </c>
      <c r="O518" s="199">
        <f t="shared" si="313"/>
        <v>1000000</v>
      </c>
      <c r="P518" s="189" t="str">
        <f t="shared" si="279"/>
        <v>1078.86904761905</v>
      </c>
      <c r="Q518" s="160" t="str">
        <f t="shared" si="280"/>
        <v>1+196349.540849362i</v>
      </c>
      <c r="R518" s="160">
        <f t="shared" si="288"/>
        <v>196349.5408519085</v>
      </c>
      <c r="S518" s="160">
        <f t="shared" si="289"/>
        <v>1.5707912338367178</v>
      </c>
      <c r="T518" s="160" t="str">
        <f t="shared" si="281"/>
        <v>1+0.125663706143592i</v>
      </c>
      <c r="U518" s="160">
        <f t="shared" si="290"/>
        <v>1.0078647563248468</v>
      </c>
      <c r="V518" s="160">
        <f t="shared" si="291"/>
        <v>0.12500843635595246</v>
      </c>
      <c r="W518" s="98" t="str">
        <f t="shared" si="282"/>
        <v>1-90.8850188312914i</v>
      </c>
      <c r="X518" s="160">
        <f t="shared" si="292"/>
        <v>90.890520121540689</v>
      </c>
      <c r="Y518" s="160">
        <f t="shared" si="293"/>
        <v>-1.5597938572890533</v>
      </c>
      <c r="Z518" s="98" t="str">
        <f t="shared" si="283"/>
        <v>-1809.7741059303+7.2192112204717i</v>
      </c>
      <c r="AA518" s="160">
        <f t="shared" si="294"/>
        <v>1809.7885046343017</v>
      </c>
      <c r="AB518" s="160">
        <f t="shared" si="295"/>
        <v>3.1376036624190404</v>
      </c>
      <c r="AC518" s="171" t="str">
        <f t="shared" si="296"/>
        <v>0.000275398454005187+0.0000388110735457406i</v>
      </c>
      <c r="AD518" s="190">
        <f t="shared" si="297"/>
        <v>-71.115362688320332</v>
      </c>
      <c r="AE518" s="169">
        <f t="shared" si="298"/>
        <v>8.0216950372399953</v>
      </c>
      <c r="AF518" s="98" t="str">
        <f t="shared" si="284"/>
        <v>-9.95024875621891E-06</v>
      </c>
      <c r="AG518" s="98" t="str">
        <f t="shared" si="285"/>
        <v>6.28946849248677i</v>
      </c>
      <c r="AH518" s="98">
        <f t="shared" si="299"/>
        <v>6.2894684924867699</v>
      </c>
      <c r="AI518" s="98">
        <f t="shared" si="300"/>
        <v>1.5707963267948966</v>
      </c>
      <c r="AJ518" s="98" t="str">
        <f t="shared" si="286"/>
        <v>1+62.7690839878081i</v>
      </c>
      <c r="AK518" s="98">
        <f t="shared" si="301"/>
        <v>62.777049187330455</v>
      </c>
      <c r="AL518" s="98">
        <f t="shared" si="302"/>
        <v>1.554866264635586</v>
      </c>
      <c r="AM518" s="98" t="str">
        <f t="shared" si="287"/>
        <v>1+62831.8530717959i</v>
      </c>
      <c r="AN518" s="98">
        <f t="shared" si="303"/>
        <v>62831.853079753651</v>
      </c>
      <c r="AO518" s="98">
        <f t="shared" si="304"/>
        <v>1.5707804113005888</v>
      </c>
      <c r="AP518" s="168" t="str">
        <f t="shared" si="305"/>
        <v>-0.0000251978790687863+0.0015832298368086i</v>
      </c>
      <c r="AQ518" s="98">
        <f t="shared" si="306"/>
        <v>-56.008020743366551</v>
      </c>
      <c r="AR518" s="169">
        <f t="shared" si="307"/>
        <v>90.911813438456861</v>
      </c>
      <c r="AS518" s="168" t="str">
        <f t="shared" si="308"/>
        <v>-6.83863065759429E-08+4.35041092654238E-07i</v>
      </c>
      <c r="AT518" s="190">
        <f t="shared" si="309"/>
        <v>-127.12338343168688</v>
      </c>
      <c r="AU518" s="169">
        <f t="shared" si="310"/>
        <v>98.93350847569684</v>
      </c>
      <c r="AV518" s="225"/>
      <c r="AX518">
        <f t="shared" si="311"/>
        <v>0</v>
      </c>
      <c r="AY518">
        <f t="shared" si="312"/>
        <v>0</v>
      </c>
    </row>
    <row r="519" spans="14:51" x14ac:dyDescent="0.55000000000000004">
      <c r="N519" s="170">
        <v>1</v>
      </c>
      <c r="O519" s="199">
        <f>10^(6+(N519/100))</f>
        <v>1023292.9922807553</v>
      </c>
      <c r="P519" s="189" t="str">
        <f t="shared" si="279"/>
        <v>1078.86904761905</v>
      </c>
      <c r="Q519" s="160" t="str">
        <f t="shared" si="280"/>
        <v>1+200923.109188696i</v>
      </c>
      <c r="R519" s="160">
        <f t="shared" si="288"/>
        <v>200923.10919118451</v>
      </c>
      <c r="S519" s="160">
        <f t="shared" si="289"/>
        <v>1.5707913497665995</v>
      </c>
      <c r="T519" s="160" t="str">
        <f t="shared" si="281"/>
        <v>1+0.128590789880766i</v>
      </c>
      <c r="U519" s="160">
        <f t="shared" si="290"/>
        <v>1.0082338970904319</v>
      </c>
      <c r="V519" s="160">
        <f t="shared" si="291"/>
        <v>0.12788896497305366</v>
      </c>
      <c r="W519" s="98" t="str">
        <f t="shared" si="282"/>
        <v>1-93.002002873365i</v>
      </c>
      <c r="X519" s="160">
        <f t="shared" si="292"/>
        <v>93.007378946282486</v>
      </c>
      <c r="Y519" s="160">
        <f t="shared" si="293"/>
        <v>-1.5600442845448632</v>
      </c>
      <c r="Z519" s="98" t="str">
        <f t="shared" si="283"/>
        <v>-1895.11326039096+7.38736825170329i</v>
      </c>
      <c r="AA519" s="160">
        <f t="shared" si="294"/>
        <v>1895.1276587394691</v>
      </c>
      <c r="AB519" s="160">
        <f t="shared" si="295"/>
        <v>3.1376945589541343</v>
      </c>
      <c r="AC519" s="171" t="str">
        <f t="shared" si="296"/>
        <v>0.000262997654827076+0.0000377447482640686i</v>
      </c>
      <c r="AD519" s="190">
        <f t="shared" si="297"/>
        <v>-71.512418529763067</v>
      </c>
      <c r="AE519" s="169">
        <f t="shared" si="298"/>
        <v>8.167174114807489</v>
      </c>
      <c r="AF519" s="98" t="str">
        <f t="shared" si="284"/>
        <v>-9.95024875621891E-06</v>
      </c>
      <c r="AG519" s="98" t="str">
        <f t="shared" si="285"/>
        <v>6.43596903353232i</v>
      </c>
      <c r="AH519" s="98">
        <f t="shared" si="299"/>
        <v>6.4359690335323201</v>
      </c>
      <c r="AI519" s="98">
        <f t="shared" si="300"/>
        <v>1.5707963267948966</v>
      </c>
      <c r="AJ519" s="98" t="str">
        <f t="shared" si="286"/>
        <v>1+64.2311637766062i</v>
      </c>
      <c r="AK519" s="98">
        <f t="shared" si="301"/>
        <v>64.23894768827715</v>
      </c>
      <c r="AL519" s="98">
        <f t="shared" si="302"/>
        <v>1.5552288178559703</v>
      </c>
      <c r="AM519" s="98" t="str">
        <f t="shared" si="287"/>
        <v>1+64295.3949403828i</v>
      </c>
      <c r="AN519" s="98">
        <f t="shared" si="303"/>
        <v>64295.39494815941</v>
      </c>
      <c r="AO519" s="98">
        <f t="shared" si="304"/>
        <v>1.5707807735814689</v>
      </c>
      <c r="AP519" s="168" t="str">
        <f t="shared" si="305"/>
        <v>-0.0000240640625159755+0.00154720877798248i</v>
      </c>
      <c r="AQ519" s="98">
        <f t="shared" si="306"/>
        <v>-56.207971144857503</v>
      </c>
      <c r="AR519" s="169">
        <f t="shared" si="307"/>
        <v>90.891061426245386</v>
      </c>
      <c r="AS519" s="168" t="str">
        <f t="shared" si="308"/>
        <v>-6.47277978442196E-08+4.06003988155382E-07i</v>
      </c>
      <c r="AT519" s="190">
        <f t="shared" si="309"/>
        <v>-127.72038967462058</v>
      </c>
      <c r="AU519" s="169">
        <f t="shared" si="310"/>
        <v>99.058235541052866</v>
      </c>
      <c r="AV519" s="225"/>
      <c r="AX519">
        <f t="shared" si="311"/>
        <v>0</v>
      </c>
      <c r="AY519">
        <f t="shared" si="312"/>
        <v>0</v>
      </c>
    </row>
    <row r="520" spans="14:51" x14ac:dyDescent="0.55000000000000004">
      <c r="N520" s="170">
        <v>2</v>
      </c>
      <c r="O520" s="199">
        <f t="shared" ref="O520:O560" si="314">10^(6+(N520/100))</f>
        <v>1047128.5480509007</v>
      </c>
      <c r="P520" s="189" t="str">
        <f t="shared" si="279"/>
        <v>1078.86904761905</v>
      </c>
      <c r="Q520" s="160" t="str">
        <f t="shared" si="280"/>
        <v>1+205603.209620053i</v>
      </c>
      <c r="R520" s="160">
        <f t="shared" si="288"/>
        <v>205603.20962248486</v>
      </c>
      <c r="S520" s="160">
        <f t="shared" si="289"/>
        <v>1.5707914630575948</v>
      </c>
      <c r="T520" s="160" t="str">
        <f t="shared" si="281"/>
        <v>1+0.131586054156834i</v>
      </c>
      <c r="U520" s="160">
        <f t="shared" si="290"/>
        <v>1.008620290123377</v>
      </c>
      <c r="V520" s="160">
        <f t="shared" si="291"/>
        <v>0.13083438191002375</v>
      </c>
      <c r="W520" s="98" t="str">
        <f t="shared" si="282"/>
        <v>1-95.1682978083888i</v>
      </c>
      <c r="X520" s="160">
        <f t="shared" si="292"/>
        <v>95.173551513780239</v>
      </c>
      <c r="Y520" s="160">
        <f t="shared" si="293"/>
        <v>-1.5602890126835753</v>
      </c>
      <c r="Z520" s="98" t="str">
        <f t="shared" si="283"/>
        <v>-1984.47432529324+7.5594421633653i</v>
      </c>
      <c r="AA520" s="160">
        <f t="shared" si="294"/>
        <v>1984.4887233022719</v>
      </c>
      <c r="AB520" s="160">
        <f t="shared" si="295"/>
        <v>3.1377833800189259</v>
      </c>
      <c r="AC520" s="171" t="str">
        <f t="shared" si="296"/>
        <v>0.000251155496478957+0.0000367149120397648i</v>
      </c>
      <c r="AD520" s="190">
        <f t="shared" si="297"/>
        <v>-71.909316312367096</v>
      </c>
      <c r="AE520" s="169">
        <f t="shared" si="298"/>
        <v>8.3168166214856427</v>
      </c>
      <c r="AF520" s="98" t="str">
        <f t="shared" si="284"/>
        <v>-9.95024875621891E-06</v>
      </c>
      <c r="AG520" s="98" t="str">
        <f t="shared" si="285"/>
        <v>6.58588201054956i</v>
      </c>
      <c r="AH520" s="98">
        <f t="shared" si="299"/>
        <v>6.5858820105495601</v>
      </c>
      <c r="AI520" s="98">
        <f t="shared" si="300"/>
        <v>1.5707963267948966</v>
      </c>
      <c r="AJ520" s="98" t="str">
        <f t="shared" si="286"/>
        <v>1+65.7272997786385i</v>
      </c>
      <c r="AK520" s="98">
        <f t="shared" si="301"/>
        <v>65.734906527590141</v>
      </c>
      <c r="AL520" s="98">
        <f t="shared" si="302"/>
        <v>1.5555831223124308</v>
      </c>
      <c r="AM520" s="98" t="str">
        <f t="shared" si="287"/>
        <v>1+65793.0270784171i</v>
      </c>
      <c r="AN520" s="98">
        <f t="shared" si="303"/>
        <v>65793.027086016693</v>
      </c>
      <c r="AO520" s="98">
        <f t="shared" si="304"/>
        <v>1.5707811276158297</v>
      </c>
      <c r="AP520" s="168" t="str">
        <f t="shared" si="305"/>
        <v>-0.0000229812519383878+0.00151200648072373i</v>
      </c>
      <c r="AQ520" s="98">
        <f t="shared" si="306"/>
        <v>-56.407923778120292</v>
      </c>
      <c r="AR520" s="169">
        <f t="shared" si="307"/>
        <v>90.870781560902202</v>
      </c>
      <c r="AS520" s="168" t="str">
        <f t="shared" si="308"/>
        <v>-6.12850526836199E-08+3.78904983702087E-07i</v>
      </c>
      <c r="AT520" s="190">
        <f t="shared" si="309"/>
        <v>-128.31724009048739</v>
      </c>
      <c r="AU520" s="169">
        <f t="shared" si="310"/>
        <v>99.187598182387859</v>
      </c>
      <c r="AV520" s="225"/>
      <c r="AX520">
        <f t="shared" si="311"/>
        <v>0</v>
      </c>
      <c r="AY520">
        <f t="shared" si="312"/>
        <v>0</v>
      </c>
    </row>
    <row r="521" spans="14:51" x14ac:dyDescent="0.55000000000000004">
      <c r="N521" s="170">
        <v>3</v>
      </c>
      <c r="O521" s="199">
        <f t="shared" si="314"/>
        <v>1071519.3052376076</v>
      </c>
      <c r="P521" s="189" t="str">
        <f t="shared" si="279"/>
        <v>1078.86904761905</v>
      </c>
      <c r="Q521" s="160" t="str">
        <f t="shared" si="280"/>
        <v>1+210392.323594632i</v>
      </c>
      <c r="R521" s="160">
        <f t="shared" si="288"/>
        <v>210392.32359700851</v>
      </c>
      <c r="S521" s="160">
        <f t="shared" si="289"/>
        <v>1.5707915737697724</v>
      </c>
      <c r="T521" s="160" t="str">
        <f t="shared" si="281"/>
        <v>1+0.134651087100564i</v>
      </c>
      <c r="U521" s="160">
        <f t="shared" si="290"/>
        <v>1.0090247347103853</v>
      </c>
      <c r="V521" s="160">
        <f t="shared" si="291"/>
        <v>0.13384604433407749</v>
      </c>
      <c r="W521" s="98" t="str">
        <f t="shared" si="282"/>
        <v>1-97.3850522346121i</v>
      </c>
      <c r="X521" s="160">
        <f t="shared" si="292"/>
        <v>97.390186357446325</v>
      </c>
      <c r="Y521" s="160">
        <f t="shared" si="293"/>
        <v>-1.5605281713459629</v>
      </c>
      <c r="Z521" s="98" t="str">
        <f t="shared" si="283"/>
        <v>-2078.04684743665+7.73552419132338i</v>
      </c>
      <c r="AA521" s="160">
        <f t="shared" si="294"/>
        <v>2078.0612451214984</v>
      </c>
      <c r="AB521" s="160">
        <f t="shared" si="295"/>
        <v>3.1378701732853629</v>
      </c>
      <c r="AC521" s="171" t="str">
        <f t="shared" si="296"/>
        <v>0.00023984679082134+0.0000357199177640242i</v>
      </c>
      <c r="AD521" s="190">
        <f t="shared" si="297"/>
        <v>-72.306049805335249</v>
      </c>
      <c r="AE521" s="169">
        <f t="shared" si="298"/>
        <v>8.4706901545156779</v>
      </c>
      <c r="AF521" s="98" t="str">
        <f t="shared" si="284"/>
        <v>-9.95024875621891E-06</v>
      </c>
      <c r="AG521" s="98" t="str">
        <f t="shared" si="285"/>
        <v>6.73928690938324i</v>
      </c>
      <c r="AH521" s="98">
        <f t="shared" si="299"/>
        <v>6.7392869093832397</v>
      </c>
      <c r="AI521" s="98">
        <f t="shared" si="300"/>
        <v>1.5707963267948966</v>
      </c>
      <c r="AJ521" s="98" t="str">
        <f t="shared" si="286"/>
        <v>1+67.2582852650171i</v>
      </c>
      <c r="AK521" s="98">
        <f t="shared" si="301"/>
        <v>67.265718882581012</v>
      </c>
      <c r="AL521" s="98">
        <f t="shared" si="302"/>
        <v>1.5559293655058644</v>
      </c>
      <c r="AM521" s="98" t="str">
        <f t="shared" si="287"/>
        <v>1+67325.5435502821i</v>
      </c>
      <c r="AN521" s="98">
        <f t="shared" si="303"/>
        <v>67325.543557708705</v>
      </c>
      <c r="AO521" s="98">
        <f t="shared" si="304"/>
        <v>1.5707814735913843</v>
      </c>
      <c r="AP521" s="168" t="str">
        <f t="shared" si="305"/>
        <v>-0.0000219471538154624+0.00147760438631918i</v>
      </c>
      <c r="AQ521" s="98">
        <f t="shared" si="306"/>
        <v>-56.607878542755131</v>
      </c>
      <c r="AR521" s="169">
        <f t="shared" si="307"/>
        <v>90.850963110172415</v>
      </c>
      <c r="AS521" s="168" t="str">
        <f t="shared" si="308"/>
        <v>-5.80438615773835E-08+3.53614719632748E-07i</v>
      </c>
      <c r="AT521" s="190">
        <f t="shared" si="309"/>
        <v>-128.91392834809039</v>
      </c>
      <c r="AU521" s="169">
        <f t="shared" si="310"/>
        <v>99.321653264688095</v>
      </c>
      <c r="AV521" s="225"/>
      <c r="AX521">
        <f t="shared" si="311"/>
        <v>0</v>
      </c>
      <c r="AY521">
        <f t="shared" si="312"/>
        <v>0</v>
      </c>
    </row>
    <row r="522" spans="14:51" x14ac:dyDescent="0.55000000000000004">
      <c r="N522" s="170">
        <v>4</v>
      </c>
      <c r="O522" s="199">
        <f t="shared" si="314"/>
        <v>1096478.196143186</v>
      </c>
      <c r="P522" s="189" t="str">
        <f t="shared" si="279"/>
        <v>1078.86904761905</v>
      </c>
      <c r="Q522" s="160" t="str">
        <f t="shared" si="280"/>
        <v>1+215292.990364051i</v>
      </c>
      <c r="R522" s="160">
        <f t="shared" si="288"/>
        <v>215292.99036637344</v>
      </c>
      <c r="S522" s="160">
        <f t="shared" si="289"/>
        <v>1.5707916819618331</v>
      </c>
      <c r="T522" s="160" t="str">
        <f t="shared" si="281"/>
        <v>1+0.137787513832993i</v>
      </c>
      <c r="U522" s="160">
        <f t="shared" si="290"/>
        <v>1.0094480665038086</v>
      </c>
      <c r="V522" s="160">
        <f t="shared" si="291"/>
        <v>0.13692533042398056</v>
      </c>
      <c r="W522" s="98" t="str">
        <f t="shared" si="282"/>
        <v>1-99.6534415045738i</v>
      </c>
      <c r="X522" s="160">
        <f t="shared" si="292"/>
        <v>99.658458766456519</v>
      </c>
      <c r="Y522" s="160">
        <f t="shared" si="293"/>
        <v>-1.560761887227619</v>
      </c>
      <c r="Z522" s="98" t="str">
        <f t="shared" si="283"/>
        <v>-2176.02930668614+7.91570769659948i</v>
      </c>
      <c r="AA522" s="160">
        <f t="shared" si="294"/>
        <v>2176.0437040614097</v>
      </c>
      <c r="AB522" s="160">
        <f t="shared" si="295"/>
        <v>3.1379549853115973</v>
      </c>
      <c r="AC522" s="171" t="str">
        <f t="shared" si="296"/>
        <v>0.000229047487345037+0.0000347582104412087i</v>
      </c>
      <c r="AD522" s="190">
        <f t="shared" si="297"/>
        <v>-72.702612462188171</v>
      </c>
      <c r="AE522" s="169">
        <f t="shared" si="298"/>
        <v>8.6288637476527725</v>
      </c>
      <c r="AF522" s="98" t="str">
        <f t="shared" si="284"/>
        <v>-9.95024875621891E-06</v>
      </c>
      <c r="AG522" s="98" t="str">
        <f t="shared" si="285"/>
        <v>6.89626506734129i</v>
      </c>
      <c r="AH522" s="98">
        <f t="shared" si="299"/>
        <v>6.8962650673412904</v>
      </c>
      <c r="AI522" s="98">
        <f t="shared" si="300"/>
        <v>1.5707963267948966</v>
      </c>
      <c r="AJ522" s="98" t="str">
        <f t="shared" si="286"/>
        <v>1+68.8249319845119i</v>
      </c>
      <c r="AK522" s="98">
        <f t="shared" si="301"/>
        <v>68.832196410347763</v>
      </c>
      <c r="AL522" s="98">
        <f t="shared" si="302"/>
        <v>1.5562677306867314</v>
      </c>
      <c r="AM522" s="98" t="str">
        <f t="shared" si="287"/>
        <v>1+68893.7569164964i</v>
      </c>
      <c r="AN522" s="98">
        <f t="shared" si="303"/>
        <v>68893.756923753943</v>
      </c>
      <c r="AO522" s="98">
        <f t="shared" si="304"/>
        <v>1.5707818116915739</v>
      </c>
      <c r="AP522" s="168" t="str">
        <f t="shared" si="305"/>
        <v>-0.0000209595776650536+0.0014439843532633i</v>
      </c>
      <c r="AQ522" s="98">
        <f t="shared" si="306"/>
        <v>-56.807835342876999</v>
      </c>
      <c r="AR522" s="169">
        <f t="shared" si="307"/>
        <v>90.831595585088479</v>
      </c>
      <c r="AS522" s="168" t="str">
        <f t="shared" si="308"/>
        <v>-5.49910506245321E-08+3.30012470469266E-07i</v>
      </c>
      <c r="AT522" s="190">
        <f t="shared" si="309"/>
        <v>-129.51044780506518</v>
      </c>
      <c r="AU522" s="169">
        <f t="shared" si="310"/>
        <v>99.460459332741252</v>
      </c>
      <c r="AV522" s="225"/>
      <c r="AX522">
        <f t="shared" si="311"/>
        <v>0</v>
      </c>
      <c r="AY522">
        <f t="shared" si="312"/>
        <v>0</v>
      </c>
    </row>
    <row r="523" spans="14:51" x14ac:dyDescent="0.55000000000000004">
      <c r="N523" s="170">
        <v>5</v>
      </c>
      <c r="O523" s="199">
        <f t="shared" si="314"/>
        <v>1122018.4543019643</v>
      </c>
      <c r="P523" s="189" t="str">
        <f t="shared" si="279"/>
        <v>1078.86904761905</v>
      </c>
      <c r="Q523" s="160" t="str">
        <f t="shared" si="280"/>
        <v>1+220307.808326702i</v>
      </c>
      <c r="R523" s="160">
        <f t="shared" si="288"/>
        <v>220307.80832897156</v>
      </c>
      <c r="S523" s="160">
        <f t="shared" si="289"/>
        <v>1.5707917876911417</v>
      </c>
      <c r="T523" s="160" t="str">
        <f t="shared" si="281"/>
        <v>1+0.140996997329089i</v>
      </c>
      <c r="U523" s="160">
        <f t="shared" si="290"/>
        <v>1.0098911591136042</v>
      </c>
      <c r="V523" s="160">
        <f t="shared" si="291"/>
        <v>0.14007363915247104</v>
      </c>
      <c r="W523" s="98" t="str">
        <f t="shared" si="282"/>
        <v>1-101.97466834829i</v>
      </c>
      <c r="X523" s="160">
        <f t="shared" si="292"/>
        <v>101.97957140890394</v>
      </c>
      <c r="Y523" s="160">
        <f t="shared" si="293"/>
        <v>-1.5609902841456083</v>
      </c>
      <c r="Z523" s="98" t="str">
        <f t="shared" si="283"/>
        <v>-2278.62953697451+8.10008821487308i</v>
      </c>
      <c r="AA523" s="160">
        <f t="shared" si="294"/>
        <v>2278.6439340541465</v>
      </c>
      <c r="AB523" s="160">
        <f t="shared" si="295"/>
        <v>3.1380378615692557</v>
      </c>
      <c r="AC523" s="171" t="str">
        <f t="shared" si="296"/>
        <v>0.000218734621618932+0.0000338283214331947i</v>
      </c>
      <c r="AD523" s="190">
        <f t="shared" si="297"/>
        <v>-73.098997409937368</v>
      </c>
      <c r="AE523" s="169">
        <f t="shared" si="298"/>
        <v>8.7914078533160129</v>
      </c>
      <c r="AF523" s="98" t="str">
        <f t="shared" si="284"/>
        <v>-9.95024875621891E-06</v>
      </c>
      <c r="AG523" s="98" t="str">
        <f t="shared" si="285"/>
        <v>7.05689971632091i</v>
      </c>
      <c r="AH523" s="98">
        <f t="shared" si="299"/>
        <v>7.0568997163209097</v>
      </c>
      <c r="AI523" s="98">
        <f t="shared" si="300"/>
        <v>1.5707963267948966</v>
      </c>
      <c r="AJ523" s="98" t="str">
        <f t="shared" si="286"/>
        <v>1+70.4280705939506i</v>
      </c>
      <c r="AK523" s="98">
        <f t="shared" si="301"/>
        <v>70.435169678126627</v>
      </c>
      <c r="AL523" s="98">
        <f t="shared" si="302"/>
        <v>1.5565983969506338</v>
      </c>
      <c r="AM523" s="98" t="str">
        <f t="shared" si="287"/>
        <v>1+70498.4986645445i</v>
      </c>
      <c r="AN523" s="98">
        <f t="shared" si="303"/>
        <v>70498.498671636858</v>
      </c>
      <c r="AO523" s="98">
        <f t="shared" si="304"/>
        <v>1.5707821420956636</v>
      </c>
      <c r="AP523" s="168" t="str">
        <f t="shared" si="305"/>
        <v>-0.0000200164314223821+0.00141112864811074i</v>
      </c>
      <c r="AQ523" s="98">
        <f t="shared" si="306"/>
        <v>-57.007794086912455</v>
      </c>
      <c r="AR523" s="169">
        <f t="shared" si="307"/>
        <v>90.812668734499368</v>
      </c>
      <c r="AS523" s="168" t="str">
        <f t="shared" si="308"/>
        <v>-5.21144000452157E-08+3.07985568624036E-07i</v>
      </c>
      <c r="AT523" s="190">
        <f t="shared" si="309"/>
        <v>-130.10679149684981</v>
      </c>
      <c r="AU523" s="169">
        <f t="shared" si="310"/>
        <v>99.604076587815399</v>
      </c>
      <c r="AV523" s="225"/>
      <c r="AX523">
        <f t="shared" si="311"/>
        <v>0</v>
      </c>
      <c r="AY523">
        <f t="shared" si="312"/>
        <v>0</v>
      </c>
    </row>
    <row r="524" spans="14:51" x14ac:dyDescent="0.55000000000000004">
      <c r="N524" s="170">
        <v>6</v>
      </c>
      <c r="O524" s="199">
        <f t="shared" si="314"/>
        <v>1148153.6214968837</v>
      </c>
      <c r="P524" s="189" t="str">
        <f t="shared" si="279"/>
        <v>1078.86904761905</v>
      </c>
      <c r="Q524" s="160" t="str">
        <f t="shared" si="280"/>
        <v>1+225439.436405445i</v>
      </c>
      <c r="R524" s="160">
        <f t="shared" si="288"/>
        <v>225439.43640766293</v>
      </c>
      <c r="S524" s="160">
        <f t="shared" si="289"/>
        <v>1.5707918910137577</v>
      </c>
      <c r="T524" s="160" t="str">
        <f t="shared" si="281"/>
        <v>1+0.144281239299485i</v>
      </c>
      <c r="U524" s="160">
        <f t="shared" si="290"/>
        <v>1.0103549257631179</v>
      </c>
      <c r="V524" s="160">
        <f t="shared" si="291"/>
        <v>0.14329239001901545</v>
      </c>
      <c r="W524" s="98" t="str">
        <f t="shared" si="282"/>
        <v>1-104.34996351096i</v>
      </c>
      <c r="X524" s="160">
        <f t="shared" si="292"/>
        <v>104.35475496947268</v>
      </c>
      <c r="Y524" s="160">
        <f t="shared" si="293"/>
        <v>-1.5612134831036304</v>
      </c>
      <c r="Z524" s="98" t="str">
        <f t="shared" si="283"/>
        <v>-2386.06516714606+8.28876350713555i</v>
      </c>
      <c r="AA524" s="160">
        <f t="shared" si="294"/>
        <v>2386.0795639433809</v>
      </c>
      <c r="AB524" s="160">
        <f t="shared" si="295"/>
        <v>3.138118846469963</v>
      </c>
      <c r="AC524" s="171" t="str">
        <f t="shared" si="296"/>
        <v>0.000208886266088885+0.0000329288630803967i</v>
      </c>
      <c r="AD524" s="190">
        <f t="shared" si="297"/>
        <v>-73.495197437843018</v>
      </c>
      <c r="AE524" s="169">
        <f t="shared" si="298"/>
        <v>8.9583943220220412</v>
      </c>
      <c r="AF524" s="98" t="str">
        <f t="shared" si="284"/>
        <v>-9.95024875621891E-06</v>
      </c>
      <c r="AG524" s="98" t="str">
        <f t="shared" si="285"/>
        <v>7.22127602693923i</v>
      </c>
      <c r="AH524" s="98">
        <f t="shared" si="299"/>
        <v>7.22127602693923</v>
      </c>
      <c r="AI524" s="98">
        <f t="shared" si="300"/>
        <v>1.5707963267948966</v>
      </c>
      <c r="AJ524" s="98" t="str">
        <f t="shared" si="286"/>
        <v>1+72.0685510986439i</v>
      </c>
      <c r="AK524" s="98">
        <f t="shared" si="301"/>
        <v>72.075488603670564</v>
      </c>
      <c r="AL524" s="98">
        <f t="shared" si="302"/>
        <v>1.5569215393317948</v>
      </c>
      <c r="AM524" s="98" t="str">
        <f t="shared" si="287"/>
        <v>1+72140.6196497425i</v>
      </c>
      <c r="AN524" s="98">
        <f t="shared" si="303"/>
        <v>72140.6196566734</v>
      </c>
      <c r="AO524" s="98">
        <f t="shared" si="304"/>
        <v>1.570782464978838</v>
      </c>
      <c r="AP524" s="168" t="str">
        <f t="shared" si="305"/>
        <v>-0.0000191157170255202+0.00137901993651369i</v>
      </c>
      <c r="AQ524" s="98">
        <f t="shared" si="306"/>
        <v>-57.207754687406414</v>
      </c>
      <c r="AR524" s="169">
        <f t="shared" si="307"/>
        <v>90.794172539720222</v>
      </c>
      <c r="AS524" s="168" t="str">
        <f t="shared" si="308"/>
        <v>-4.94025694276693E-08+2.87428866571859E-07i</v>
      </c>
      <c r="AT524" s="190">
        <f t="shared" si="309"/>
        <v>-130.70295212524942</v>
      </c>
      <c r="AU524" s="169">
        <f t="shared" si="310"/>
        <v>99.752566861742253</v>
      </c>
      <c r="AV524" s="225"/>
      <c r="AX524">
        <f t="shared" si="311"/>
        <v>0</v>
      </c>
      <c r="AY524">
        <f t="shared" si="312"/>
        <v>0</v>
      </c>
    </row>
    <row r="525" spans="14:51" x14ac:dyDescent="0.55000000000000004">
      <c r="N525" s="170">
        <v>7</v>
      </c>
      <c r="O525" s="199">
        <f t="shared" si="314"/>
        <v>1174897.5549395324</v>
      </c>
      <c r="P525" s="189" t="str">
        <f t="shared" si="279"/>
        <v>1078.86904761905</v>
      </c>
      <c r="Q525" s="160" t="str">
        <f t="shared" si="280"/>
        <v>1+230690.595457415i</v>
      </c>
      <c r="R525" s="160">
        <f t="shared" si="288"/>
        <v>230690.59545958237</v>
      </c>
      <c r="S525" s="160">
        <f t="shared" si="289"/>
        <v>1.5707919919844635</v>
      </c>
      <c r="T525" s="160" t="str">
        <f t="shared" si="281"/>
        <v>1+0.147641981092746i</v>
      </c>
      <c r="U525" s="160">
        <f t="shared" si="290"/>
        <v>1.010840321010688</v>
      </c>
      <c r="V525" s="160">
        <f t="shared" si="291"/>
        <v>0.14658302272922685</v>
      </c>
      <c r="W525" s="98" t="str">
        <f t="shared" si="282"/>
        <v>1-106.780586405518i</v>
      </c>
      <c r="X525" s="160">
        <f t="shared" si="292"/>
        <v>106.78526880195739</v>
      </c>
      <c r="Y525" s="160">
        <f t="shared" si="293"/>
        <v>-1.561431602355722</v>
      </c>
      <c r="Z525" s="98" t="str">
        <f t="shared" si="283"/>
        <v>-2498.56408257655+8.48183361152427i</v>
      </c>
      <c r="AA525" s="160">
        <f t="shared" si="294"/>
        <v>2498.5784791042706</v>
      </c>
      <c r="AB525" s="160">
        <f t="shared" si="295"/>
        <v>3.1381979833911373</v>
      </c>
      <c r="AC525" s="171" t="str">
        <f t="shared" si="296"/>
        <v>0.000199481483119204+0.0000320585236743282i</v>
      </c>
      <c r="AD525" s="190">
        <f t="shared" si="297"/>
        <v>-73.891204985758264</v>
      </c>
      <c r="AE525" s="169">
        <f t="shared" si="298"/>
        <v>9.1298963788872864</v>
      </c>
      <c r="AF525" s="98" t="str">
        <f t="shared" si="284"/>
        <v>-9.95024875621891E-06</v>
      </c>
      <c r="AG525" s="98" t="str">
        <f t="shared" si="285"/>
        <v>7.38948115369193i</v>
      </c>
      <c r="AH525" s="98">
        <f t="shared" si="299"/>
        <v>7.3894811536919303</v>
      </c>
      <c r="AI525" s="98">
        <f t="shared" si="300"/>
        <v>1.5707963267948966</v>
      </c>
      <c r="AJ525" s="98" t="str">
        <f t="shared" si="286"/>
        <v>1+73.7472433030698i</v>
      </c>
      <c r="AK525" s="98">
        <f t="shared" si="301"/>
        <v>73.754022905887467</v>
      </c>
      <c r="AL525" s="98">
        <f t="shared" si="302"/>
        <v>1.5572373288944841</v>
      </c>
      <c r="AM525" s="98" t="str">
        <f t="shared" si="287"/>
        <v>1+73820.9905463729i</v>
      </c>
      <c r="AN525" s="98">
        <f t="shared" si="303"/>
        <v>73820.990553146054</v>
      </c>
      <c r="AO525" s="98">
        <f t="shared" si="304"/>
        <v>1.570782780512294</v>
      </c>
      <c r="AP525" s="168" t="str">
        <f t="shared" si="305"/>
        <v>-0.0000182555261982478+0.00134764127444172i</v>
      </c>
      <c r="AQ525" s="98">
        <f t="shared" si="306"/>
        <v>-57.407717060836561</v>
      </c>
      <c r="AR525" s="169">
        <f t="shared" si="307"/>
        <v>90.776097209299166</v>
      </c>
      <c r="AS525" s="168" t="str">
        <f t="shared" si="308"/>
        <v>-4.68450291423397E-08+2.68244234919475E-07i</v>
      </c>
      <c r="AT525" s="190">
        <f t="shared" si="309"/>
        <v>-131.29892204659481</v>
      </c>
      <c r="AU525" s="169">
        <f t="shared" si="310"/>
        <v>99.905993588186448</v>
      </c>
      <c r="AV525" s="225"/>
      <c r="AX525">
        <f t="shared" si="311"/>
        <v>0</v>
      </c>
      <c r="AY525">
        <f t="shared" si="312"/>
        <v>0</v>
      </c>
    </row>
    <row r="526" spans="14:51" x14ac:dyDescent="0.55000000000000004">
      <c r="N526" s="170">
        <v>8</v>
      </c>
      <c r="O526" s="199">
        <f t="shared" si="314"/>
        <v>1202264.4346174158</v>
      </c>
      <c r="P526" s="189" t="str">
        <f t="shared" si="279"/>
        <v>1078.86904761905</v>
      </c>
      <c r="Q526" s="160" t="str">
        <f t="shared" si="280"/>
        <v>1+236064.069716648i</v>
      </c>
      <c r="R526" s="160">
        <f t="shared" si="288"/>
        <v>236064.06971876606</v>
      </c>
      <c r="S526" s="160">
        <f t="shared" si="289"/>
        <v>1.5707920906567956</v>
      </c>
      <c r="T526" s="160" t="str">
        <f t="shared" si="281"/>
        <v>1+0.151081004618654i</v>
      </c>
      <c r="U526" s="160">
        <f t="shared" si="290"/>
        <v>1.0113483425390986</v>
      </c>
      <c r="V526" s="160">
        <f t="shared" si="291"/>
        <v>0.14994699681709764</v>
      </c>
      <c r="W526" s="98" t="str">
        <f t="shared" si="282"/>
        <v>1-109.267825780396i</v>
      </c>
      <c r="X526" s="160">
        <f t="shared" si="292"/>
        <v>109.27240159699508</v>
      </c>
      <c r="Y526" s="160">
        <f t="shared" si="293"/>
        <v>-1.5616447574685322</v>
      </c>
      <c r="Z526" s="98" t="str">
        <f t="shared" si="283"/>
        <v>-2616.36490854856+8.67940089636416i</v>
      </c>
      <c r="AA526" s="160">
        <f t="shared" si="294"/>
        <v>2616.3793048188245</v>
      </c>
      <c r="AB526" s="160">
        <f t="shared" si="295"/>
        <v>3.1382753147010902</v>
      </c>
      <c r="AC526" s="171" t="str">
        <f t="shared" si="296"/>
        <v>0.000190500280173315+0.000031216062758277i</v>
      </c>
      <c r="AD526" s="190">
        <f t="shared" si="297"/>
        <v>-74.287012132059559</v>
      </c>
      <c r="AE526" s="169">
        <f t="shared" si="298"/>
        <v>9.3059885969752969</v>
      </c>
      <c r="AF526" s="98" t="str">
        <f t="shared" si="284"/>
        <v>-9.95024875621891E-06</v>
      </c>
      <c r="AG526" s="98" t="str">
        <f t="shared" si="285"/>
        <v>7.56160428116365i</v>
      </c>
      <c r="AH526" s="98">
        <f t="shared" si="299"/>
        <v>7.5616042811636497</v>
      </c>
      <c r="AI526" s="98">
        <f t="shared" si="300"/>
        <v>1.5707963267948966</v>
      </c>
      <c r="AJ526" s="98" t="str">
        <f t="shared" si="286"/>
        <v>1+75.4650372720551i</v>
      </c>
      <c r="AK526" s="98">
        <f t="shared" si="301"/>
        <v>75.471662565976814</v>
      </c>
      <c r="AL526" s="98">
        <f t="shared" si="302"/>
        <v>1.5575459328224315</v>
      </c>
      <c r="AM526" s="98" t="str">
        <f t="shared" si="287"/>
        <v>1+75540.5023093272i</v>
      </c>
      <c r="AN526" s="98">
        <f t="shared" si="303"/>
        <v>75540.502315946171</v>
      </c>
      <c r="AO526" s="98">
        <f t="shared" si="304"/>
        <v>1.5707830888633318</v>
      </c>
      <c r="AP526" s="168" t="str">
        <f t="shared" si="305"/>
        <v>-0.0000174340364215062+0.00131697609958106i</v>
      </c>
      <c r="AQ526" s="98">
        <f t="shared" si="306"/>
        <v>-57.607681127436877</v>
      </c>
      <c r="AR526" s="169">
        <f t="shared" si="307"/>
        <v>90.758433173899675</v>
      </c>
      <c r="AS526" s="168" t="str">
        <f t="shared" si="308"/>
        <v>-4.44319973985219E-08+2.50340093976688E-07i</v>
      </c>
      <c r="AT526" s="190">
        <f t="shared" si="309"/>
        <v>-131.89469325949642</v>
      </c>
      <c r="AU526" s="169">
        <f t="shared" si="310"/>
        <v>100.06442177087496</v>
      </c>
      <c r="AV526" s="225"/>
      <c r="AX526">
        <f t="shared" si="311"/>
        <v>0</v>
      </c>
      <c r="AY526">
        <f t="shared" si="312"/>
        <v>0</v>
      </c>
    </row>
    <row r="527" spans="14:51" x14ac:dyDescent="0.55000000000000004">
      <c r="N527" s="170">
        <v>9</v>
      </c>
      <c r="O527" s="199">
        <f t="shared" si="314"/>
        <v>1230268.770812382</v>
      </c>
      <c r="P527" s="189" t="str">
        <f t="shared" si="279"/>
        <v>1078.86904761905</v>
      </c>
      <c r="Q527" s="160" t="str">
        <f t="shared" si="280"/>
        <v>1+241562.70827032i</v>
      </c>
      <c r="R527" s="160">
        <f t="shared" si="288"/>
        <v>241562.70827238986</v>
      </c>
      <c r="S527" s="160">
        <f t="shared" si="289"/>
        <v>1.5707921870830712</v>
      </c>
      <c r="T527" s="160" t="str">
        <f t="shared" si="281"/>
        <v>1+0.154600133293005i</v>
      </c>
      <c r="U527" s="160">
        <f t="shared" si="290"/>
        <v>1.01188003301489</v>
      </c>
      <c r="V527" s="160">
        <f t="shared" si="291"/>
        <v>0.15338579120600168</v>
      </c>
      <c r="W527" s="98" t="str">
        <f t="shared" si="282"/>
        <v>1-111.813000402833i</v>
      </c>
      <c r="X527" s="160">
        <f t="shared" si="292"/>
        <v>111.81747206534376</v>
      </c>
      <c r="Y527" s="160">
        <f t="shared" si="293"/>
        <v>-1.5618530613822006</v>
      </c>
      <c r="Z527" s="98" t="str">
        <f t="shared" si="283"/>
        <v>-2739.71751640782+8.88157011444474i</v>
      </c>
      <c r="AA527" s="160">
        <f t="shared" si="294"/>
        <v>2739.7319124322235</v>
      </c>
      <c r="AB527" s="160">
        <f t="shared" si="295"/>
        <v>3.1383508817834507</v>
      </c>
      <c r="AC527" s="171" t="str">
        <f t="shared" si="296"/>
        <v>0.00018192356703501+0.0000304003067342327i</v>
      </c>
      <c r="AD527" s="190">
        <f t="shared" si="297"/>
        <v>-74.682610581169541</v>
      </c>
      <c r="AE527" s="169">
        <f t="shared" si="298"/>
        <v>9.486746867255448</v>
      </c>
      <c r="AF527" s="98" t="str">
        <f t="shared" si="284"/>
        <v>-9.95024875621891E-06</v>
      </c>
      <c r="AG527" s="98" t="str">
        <f t="shared" si="285"/>
        <v>7.7377366713149i</v>
      </c>
      <c r="AH527" s="98">
        <f t="shared" si="299"/>
        <v>7.7377366713148996</v>
      </c>
      <c r="AI527" s="98">
        <f t="shared" si="300"/>
        <v>1.5707963267948966</v>
      </c>
      <c r="AJ527" s="98" t="str">
        <f t="shared" si="286"/>
        <v>1+77.2228438026998i</v>
      </c>
      <c r="AK527" s="98">
        <f t="shared" si="301"/>
        <v>77.229318299310222</v>
      </c>
      <c r="AL527" s="98">
        <f t="shared" si="302"/>
        <v>1.5578475145062667</v>
      </c>
      <c r="AM527" s="98" t="str">
        <f t="shared" si="287"/>
        <v>1+77300.0666465025i</v>
      </c>
      <c r="AN527" s="98">
        <f t="shared" si="303"/>
        <v>77300.066652970811</v>
      </c>
      <c r="AO527" s="98">
        <f t="shared" si="304"/>
        <v>1.5707833901954429</v>
      </c>
      <c r="AP527" s="168" t="str">
        <f t="shared" si="305"/>
        <v>-0.0000166495070850703+0.00128700822291074i</v>
      </c>
      <c r="AQ527" s="98">
        <f t="shared" si="306"/>
        <v>-57.807646811029173</v>
      </c>
      <c r="AR527" s="169">
        <f t="shared" si="307"/>
        <v>90.741171081295676</v>
      </c>
      <c r="AS527" s="168" t="str">
        <f t="shared" si="308"/>
        <v>-4.21543824642569E-08+2.33630976592951E-07i</v>
      </c>
      <c r="AT527" s="190">
        <f t="shared" si="309"/>
        <v>-132.49025739219871</v>
      </c>
      <c r="AU527" s="169">
        <f t="shared" si="310"/>
        <v>100.22791794855114</v>
      </c>
      <c r="AV527" s="225"/>
      <c r="AX527">
        <f t="shared" si="311"/>
        <v>0</v>
      </c>
      <c r="AY527">
        <f t="shared" si="312"/>
        <v>0</v>
      </c>
    </row>
    <row r="528" spans="14:51" x14ac:dyDescent="0.55000000000000004">
      <c r="N528" s="170">
        <v>10</v>
      </c>
      <c r="O528" s="199">
        <f t="shared" si="314"/>
        <v>1258925.4117941677</v>
      </c>
      <c r="P528" s="189" t="str">
        <f t="shared" si="279"/>
        <v>1078.86904761905</v>
      </c>
      <c r="Q528" s="160" t="str">
        <f t="shared" si="280"/>
        <v>1+247189.426569379i</v>
      </c>
      <c r="R528" s="160">
        <f t="shared" si="288"/>
        <v>247189.42657140174</v>
      </c>
      <c r="S528" s="160">
        <f t="shared" si="289"/>
        <v>1.5707922813144168</v>
      </c>
      <c r="T528" s="160" t="str">
        <f t="shared" si="281"/>
        <v>1+0.158201233004402i</v>
      </c>
      <c r="U528" s="160">
        <f t="shared" si="290"/>
        <v>1.0124364820195453</v>
      </c>
      <c r="V528" s="160">
        <f t="shared" si="291"/>
        <v>0.15690090370420545</v>
      </c>
      <c r="W528" s="98" t="str">
        <f t="shared" si="282"/>
        <v>1-114.417459758104i</v>
      </c>
      <c r="X528" s="160">
        <f t="shared" si="292"/>
        <v>114.42182963708171</v>
      </c>
      <c r="Y528" s="160">
        <f t="shared" si="293"/>
        <v>-1.5620566244698708</v>
      </c>
      <c r="Z528" s="98" t="str">
        <f t="shared" si="283"/>
        <v>-2868.88355357378+9.08844845856147i</v>
      </c>
      <c r="AA528" s="160">
        <f t="shared" si="294"/>
        <v>2868.8979493633969</v>
      </c>
      <c r="AB528" s="160">
        <f t="shared" si="295"/>
        <v>3.1384247250609327</v>
      </c>
      <c r="AC528" s="171" t="str">
        <f t="shared" si="296"/>
        <v>0.00017373311497643+0.0000296101447556847i</v>
      </c>
      <c r="AD528" s="190">
        <f t="shared" si="297"/>
        <v>-75.077991650674377</v>
      </c>
      <c r="AE528" s="169">
        <f t="shared" si="298"/>
        <v>9.6722483649245898</v>
      </c>
      <c r="AF528" s="98" t="str">
        <f t="shared" si="284"/>
        <v>-9.95024875621891E-06</v>
      </c>
      <c r="AG528" s="98" t="str">
        <f t="shared" si="285"/>
        <v>7.91797171187035i</v>
      </c>
      <c r="AH528" s="98">
        <f t="shared" si="299"/>
        <v>7.9179717118703499</v>
      </c>
      <c r="AI528" s="98">
        <f t="shared" si="300"/>
        <v>1.5707963267948966</v>
      </c>
      <c r="AJ528" s="98" t="str">
        <f t="shared" si="286"/>
        <v>1+79.0215949072939i</v>
      </c>
      <c r="AK528" s="98">
        <f t="shared" si="301"/>
        <v>79.027922038305292</v>
      </c>
      <c r="AL528" s="98">
        <f t="shared" si="302"/>
        <v>1.5581422336290303</v>
      </c>
      <c r="AM528" s="98" t="str">
        <f t="shared" si="287"/>
        <v>1+79100.6165022012i</v>
      </c>
      <c r="AN528" s="98">
        <f t="shared" si="303"/>
        <v>79100.61650852226</v>
      </c>
      <c r="AO528" s="98">
        <f t="shared" si="304"/>
        <v>1.570783684668398</v>
      </c>
      <c r="AP528" s="168" t="str">
        <f t="shared" si="305"/>
        <v>-0.000015900275811424+0.00125772182045299i</v>
      </c>
      <c r="AQ528" s="98">
        <f t="shared" si="306"/>
        <v>-58.007614038861028</v>
      </c>
      <c r="AR528" s="169">
        <f t="shared" si="307"/>
        <v>90.724301791477046</v>
      </c>
      <c r="AS528" s="168" t="str">
        <f t="shared" si="308"/>
        <v>-4.00037296116994E-08+2.18037120172693E-07i</v>
      </c>
      <c r="AT528" s="190">
        <f t="shared" si="309"/>
        <v>-133.08560568953538</v>
      </c>
      <c r="AU528" s="169">
        <f t="shared" si="310"/>
        <v>100.39655015640162</v>
      </c>
      <c r="AV528" s="225"/>
      <c r="AX528">
        <f t="shared" si="311"/>
        <v>0</v>
      </c>
      <c r="AY528">
        <f t="shared" si="312"/>
        <v>0</v>
      </c>
    </row>
    <row r="529" spans="14:51" x14ac:dyDescent="0.55000000000000004">
      <c r="N529" s="170">
        <v>11</v>
      </c>
      <c r="O529" s="199">
        <f t="shared" si="314"/>
        <v>1288249.5516931366</v>
      </c>
      <c r="P529" s="189" t="str">
        <f t="shared" si="279"/>
        <v>1078.86904761905</v>
      </c>
      <c r="Q529" s="160" t="str">
        <f t="shared" si="280"/>
        <v>1+252947.207974344i</v>
      </c>
      <c r="R529" s="160">
        <f t="shared" si="288"/>
        <v>252947.2079763207</v>
      </c>
      <c r="S529" s="160">
        <f t="shared" si="289"/>
        <v>1.5707923734007951</v>
      </c>
      <c r="T529" s="160" t="str">
        <f t="shared" si="281"/>
        <v>1+0.16188621310358i</v>
      </c>
      <c r="U529" s="160">
        <f t="shared" si="290"/>
        <v>1.0130188280545518</v>
      </c>
      <c r="V529" s="160">
        <f t="shared" si="291"/>
        <v>0.16049385043046566</v>
      </c>
      <c r="W529" s="98" t="str">
        <f t="shared" si="282"/>
        <v>1-117.082584765033i</v>
      </c>
      <c r="X529" s="160">
        <f t="shared" si="292"/>
        <v>117.08685517709124</v>
      </c>
      <c r="Y529" s="160">
        <f t="shared" si="293"/>
        <v>-1.5622555545958661</v>
      </c>
      <c r="Z529" s="98" t="str">
        <f t="shared" si="283"/>
        <v>-3004.13699852888+9.3001456183508i</v>
      </c>
      <c r="AA529" s="160">
        <f t="shared" si="294"/>
        <v>3004.1513940942846</v>
      </c>
      <c r="AB529" s="160">
        <f t="shared" si="295"/>
        <v>3.1384968840184739</v>
      </c>
      <c r="AC529" s="171" t="str">
        <f t="shared" si="296"/>
        <v>0.000165911517783265+0.0000288445248872802i</v>
      </c>
      <c r="AD529" s="190">
        <f t="shared" si="297"/>
        <v>-75.47314625804222</v>
      </c>
      <c r="AE529" s="169">
        <f t="shared" si="298"/>
        <v>9.8625715118350925</v>
      </c>
      <c r="AF529" s="98" t="str">
        <f t="shared" si="284"/>
        <v>-9.95024875621891E-06</v>
      </c>
      <c r="AG529" s="98" t="str">
        <f t="shared" si="285"/>
        <v>8.10240496583419i</v>
      </c>
      <c r="AH529" s="98">
        <f t="shared" si="299"/>
        <v>8.1024049658341895</v>
      </c>
      <c r="AI529" s="98">
        <f t="shared" si="300"/>
        <v>1.5707963267948966</v>
      </c>
      <c r="AJ529" s="98" t="str">
        <f t="shared" si="286"/>
        <v>1+80.8622443074825i</v>
      </c>
      <c r="AK529" s="98">
        <f t="shared" si="301"/>
        <v>80.868427426548777</v>
      </c>
      <c r="AL529" s="98">
        <f t="shared" si="302"/>
        <v>1.5584302462497912</v>
      </c>
      <c r="AM529" s="98" t="str">
        <f t="shared" si="287"/>
        <v>1+80943.10655179i</v>
      </c>
      <c r="AN529" s="98">
        <f t="shared" si="303"/>
        <v>80943.10655796717</v>
      </c>
      <c r="AO529" s="98">
        <f t="shared" si="304"/>
        <v>1.5707839724383301</v>
      </c>
      <c r="AP529" s="168" t="str">
        <f t="shared" si="305"/>
        <v>-0.0000151847549441753+0.00122910142519468i</v>
      </c>
      <c r="AQ529" s="98">
        <f t="shared" si="306"/>
        <v>-58.207582741452669</v>
      </c>
      <c r="AR529" s="169">
        <f t="shared" si="307"/>
        <v>90.707816371863501</v>
      </c>
      <c r="AS529" s="168" t="str">
        <f t="shared" si="308"/>
        <v>-3.79721723879746E-08+2.03484085921729E-07i</v>
      </c>
      <c r="AT529" s="190">
        <f t="shared" si="309"/>
        <v>-133.68072899949487</v>
      </c>
      <c r="AU529" s="169">
        <f t="shared" si="310"/>
        <v>100.5703878836986</v>
      </c>
      <c r="AV529" s="225"/>
      <c r="AX529">
        <f t="shared" si="311"/>
        <v>0</v>
      </c>
      <c r="AY529">
        <f t="shared" si="312"/>
        <v>0</v>
      </c>
    </row>
    <row r="530" spans="14:51" x14ac:dyDescent="0.55000000000000004">
      <c r="N530" s="170">
        <v>12</v>
      </c>
      <c r="O530" s="199">
        <f t="shared" si="314"/>
        <v>1318256.7385564097</v>
      </c>
      <c r="P530" s="189" t="str">
        <f t="shared" si="279"/>
        <v>1078.86904761905</v>
      </c>
      <c r="Q530" s="160" t="str">
        <f t="shared" si="280"/>
        <v>1+258839.105337129i</v>
      </c>
      <c r="R530" s="160">
        <f t="shared" si="288"/>
        <v>258839.10533906071</v>
      </c>
      <c r="S530" s="160">
        <f t="shared" si="289"/>
        <v>1.5707924633910315</v>
      </c>
      <c r="T530" s="160" t="str">
        <f t="shared" si="281"/>
        <v>1+0.165657027415762i</v>
      </c>
      <c r="U530" s="160">
        <f t="shared" si="290"/>
        <v>1.0136282606223184</v>
      </c>
      <c r="V530" s="160">
        <f t="shared" si="291"/>
        <v>0.16416616516504487</v>
      </c>
      <c r="W530" s="98" t="str">
        <f t="shared" si="282"/>
        <v>1-119.809788508176i</v>
      </c>
      <c r="X530" s="160">
        <f t="shared" si="292"/>
        <v>119.81396171721333</v>
      </c>
      <c r="Y530" s="160">
        <f t="shared" si="293"/>
        <v>-1.5624499571725574</v>
      </c>
      <c r="Z530" s="98" t="str">
        <f t="shared" si="283"/>
        <v>-3145.76474196359+9.51677383844896i</v>
      </c>
      <c r="AA530" s="160">
        <f t="shared" si="294"/>
        <v>3145.7791373148789</v>
      </c>
      <c r="AB530" s="160">
        <f t="shared" si="295"/>
        <v>3.1385673972257626</v>
      </c>
      <c r="AC530" s="171" t="str">
        <f t="shared" si="296"/>
        <v>0.00015844215455185+0.0000281024505136069i</v>
      </c>
      <c r="AD530" s="190">
        <f t="shared" si="297"/>
        <v>-75.868064906952156</v>
      </c>
      <c r="AE530" s="169">
        <f t="shared" si="298"/>
        <v>10.057795934760993</v>
      </c>
      <c r="AF530" s="98" t="str">
        <f t="shared" si="284"/>
        <v>-9.95024875621891E-06</v>
      </c>
      <c r="AG530" s="98" t="str">
        <f t="shared" si="285"/>
        <v>8.29113422215891i</v>
      </c>
      <c r="AH530" s="98">
        <f t="shared" si="299"/>
        <v>8.2911342221589095</v>
      </c>
      <c r="AI530" s="98">
        <f t="shared" si="300"/>
        <v>1.5707963267948966</v>
      </c>
      <c r="AJ530" s="98" t="str">
        <f t="shared" si="286"/>
        <v>1+82.7457679399413i</v>
      </c>
      <c r="AK530" s="98">
        <f t="shared" si="301"/>
        <v>82.751810324431062</v>
      </c>
      <c r="AL530" s="98">
        <f t="shared" si="302"/>
        <v>1.5587117048854158</v>
      </c>
      <c r="AM530" s="98" t="str">
        <f t="shared" si="287"/>
        <v>1+82828.5137078812i</v>
      </c>
      <c r="AN530" s="98">
        <f t="shared" si="303"/>
        <v>82828.513713917768</v>
      </c>
      <c r="AO530" s="98">
        <f t="shared" si="304"/>
        <v>1.5707842536578187</v>
      </c>
      <c r="AP530" s="168" t="str">
        <f t="shared" si="305"/>
        <v>-0.0000145014281936874+0.0012011319191775i</v>
      </c>
      <c r="AQ530" s="98">
        <f t="shared" si="306"/>
        <v>-58.407552852449129</v>
      </c>
      <c r="AR530" s="169">
        <f t="shared" si="307"/>
        <v>90.691706092624528</v>
      </c>
      <c r="AS530" s="168" t="str">
        <f t="shared" si="308"/>
        <v>-3.60523878460861E-08+1.89902403507292E-07i</v>
      </c>
      <c r="AT530" s="190">
        <f t="shared" si="309"/>
        <v>-134.27561775940126</v>
      </c>
      <c r="AU530" s="169">
        <f t="shared" si="310"/>
        <v>100.7495020273855</v>
      </c>
      <c r="AV530" s="225"/>
      <c r="AX530">
        <f t="shared" si="311"/>
        <v>0</v>
      </c>
      <c r="AY530">
        <f t="shared" si="312"/>
        <v>0</v>
      </c>
    </row>
    <row r="531" spans="14:51" x14ac:dyDescent="0.55000000000000004">
      <c r="N531" s="170">
        <v>13</v>
      </c>
      <c r="O531" s="199">
        <f t="shared" si="314"/>
        <v>1348962.8825916562</v>
      </c>
      <c r="P531" s="189" t="str">
        <f t="shared" ref="P531:P560" si="315">COMPLEX(Adc,0)</f>
        <v>1078.86904761905</v>
      </c>
      <c r="Q531" s="160" t="str">
        <f t="shared" ref="Q531:Q560" si="316">IMSUM(COMPLEX(1,0),IMDIV(COMPLEX(0,2*PI()*O531),COMPLEX(wp_lf,0)))</f>
        <v>1+264868.242619703i</v>
      </c>
      <c r="R531" s="160">
        <f t="shared" si="288"/>
        <v>264868.24262159079</v>
      </c>
      <c r="S531" s="160">
        <f t="shared" si="289"/>
        <v>1.57079255133284</v>
      </c>
      <c r="T531" s="160" t="str">
        <f t="shared" ref="T531:T560" si="317">IMSUM(COMPLEX(1,0),IMDIV(COMPLEX(0,2*PI()*O531),COMPLEX(wz_esr,0)))</f>
        <v>1+0.16951567527661i</v>
      </c>
      <c r="U531" s="160">
        <f t="shared" si="290"/>
        <v>1.0142660223848994</v>
      </c>
      <c r="V531" s="160">
        <f t="shared" si="291"/>
        <v>0.16791939862132602</v>
      </c>
      <c r="W531" s="98" t="str">
        <f t="shared" ref="W531:W560" si="318">IMSUB(COMPLEX(1,0),IMDIV(COMPLEX(0,2*PI()*O531),COMPLEX(wz_rhp,0)))</f>
        <v>1-122.600516987056i</v>
      </c>
      <c r="X531" s="160">
        <f t="shared" si="292"/>
        <v>122.60459520545469</v>
      </c>
      <c r="Y531" s="160">
        <f t="shared" si="293"/>
        <v>-1.562639935215955</v>
      </c>
      <c r="Z531" s="98" t="str">
        <f t="shared" ref="Z531:Z560" si="319">IF(Dc_Mode_Loop="CCM",IMSUM(COMPLEX(1,0),IMDIV(COMPLEX(0,2*PI()*O531),COMPLEX(Q*(wsl/2),0)),IMDIV(IMPOWER(COMPLEX(0,2*PI()*O531),2),IMPOWER(COMPLEX(wsl/2,0),2))),COMPLEX(1,0))</f>
        <v>-3294.06719531009+9.73844797800562i</v>
      </c>
      <c r="AA531" s="160">
        <f t="shared" si="294"/>
        <v>3294.0815904569067</v>
      </c>
      <c r="AB531" s="160">
        <f t="shared" si="295"/>
        <v>3.1386363023591723</v>
      </c>
      <c r="AC531" s="171" t="str">
        <f t="shared" si="296"/>
        <v>0.000151309154176853+0.000027382976980556i</v>
      </c>
      <c r="AD531" s="190">
        <f t="shared" si="297"/>
        <v>-76.262737673242682</v>
      </c>
      <c r="AE531" s="169">
        <f t="shared" si="298"/>
        <v>10.258002419220711</v>
      </c>
      <c r="AF531" s="98" t="str">
        <f t="shared" ref="AF531:AF560" si="320">COMPLEX(Adc_ea,0)</f>
        <v>-9.95024875621891E-06</v>
      </c>
      <c r="AG531" s="98" t="str">
        <f t="shared" ref="AG531:AG560" si="321">COMPLEX(0,2*PI()*O531*wp0_ea)</f>
        <v>8.48425954759435i</v>
      </c>
      <c r="AH531" s="98">
        <f t="shared" si="299"/>
        <v>8.4842595475943501</v>
      </c>
      <c r="AI531" s="98">
        <f t="shared" si="300"/>
        <v>1.5707963267948966</v>
      </c>
      <c r="AJ531" s="98" t="str">
        <f t="shared" ref="AJ531:AJ560" si="322">IMSUM(COMPLEX(1,0),IMDIV(COMPLEX(0,2*PI()*O531),COMPLEX(wp1_ea,0)))</f>
        <v>1+84.6731644738313i</v>
      </c>
      <c r="AK531" s="98">
        <f t="shared" si="301"/>
        <v>84.679069326560793</v>
      </c>
      <c r="AL531" s="98">
        <f t="shared" si="302"/>
        <v>1.5589867585905208</v>
      </c>
      <c r="AM531" s="98" t="str">
        <f t="shared" ref="AM531:AM560" si="323">IMSUM(COMPLEX(1,0),IMDIV(COMPLEX(0,2*PI()*O531),COMPLEX(wz_ea,0)))</f>
        <v>1+84757.8376383051i</v>
      </c>
      <c r="AN531" s="98">
        <f t="shared" si="303"/>
        <v>84757.837644204279</v>
      </c>
      <c r="AO531" s="98">
        <f t="shared" si="304"/>
        <v>1.5707845284759705</v>
      </c>
      <c r="AP531" s="168" t="str">
        <f t="shared" si="305"/>
        <v>-0.0000138488474329204+0.00117379852575363i</v>
      </c>
      <c r="AQ531" s="98">
        <f t="shared" si="306"/>
        <v>-58.60752430848035</v>
      </c>
      <c r="AR531" s="169">
        <f t="shared" si="307"/>
        <v>90.675962422102799</v>
      </c>
      <c r="AS531" s="168" t="str">
        <f t="shared" si="308"/>
        <v>-3.42375554019217E-08+1.77227239435356E-07i</v>
      </c>
      <c r="AT531" s="190">
        <f t="shared" si="309"/>
        <v>-134.87026198172305</v>
      </c>
      <c r="AU531" s="169">
        <f t="shared" si="310"/>
        <v>100.9339648413235</v>
      </c>
      <c r="AV531" s="225"/>
      <c r="AX531">
        <f t="shared" si="311"/>
        <v>0</v>
      </c>
      <c r="AY531">
        <f t="shared" si="312"/>
        <v>0</v>
      </c>
    </row>
    <row r="532" spans="14:51" x14ac:dyDescent="0.55000000000000004">
      <c r="N532" s="170">
        <v>14</v>
      </c>
      <c r="O532" s="199">
        <f t="shared" si="314"/>
        <v>1380384.2646028849</v>
      </c>
      <c r="P532" s="189" t="str">
        <f t="shared" si="315"/>
        <v>1078.86904761905</v>
      </c>
      <c r="Q532" s="160" t="str">
        <f t="shared" si="316"/>
        <v>1+271037.816550461i</v>
      </c>
      <c r="R532" s="160">
        <f t="shared" ref="R532:R560" si="324">IMABS(Q532)</f>
        <v>271037.81655230577</v>
      </c>
      <c r="S532" s="160">
        <f t="shared" ref="S532:S560" si="325">IMARGUMENT(Q532)</f>
        <v>1.5707926372728487</v>
      </c>
      <c r="T532" s="160" t="str">
        <f t="shared" si="317"/>
        <v>1+0.173464202592295i</v>
      </c>
      <c r="U532" s="160">
        <f t="shared" ref="U532:U560" si="326">IMABS(T532)</f>
        <v>1.0149334114024333</v>
      </c>
      <c r="V532" s="160">
        <f t="shared" ref="V532:V560" si="327">IMARGUMENT(T532)</f>
        <v>0.17175511763295595</v>
      </c>
      <c r="W532" s="98" t="str">
        <f t="shared" si="318"/>
        <v>1-125.456249882851i</v>
      </c>
      <c r="X532" s="160">
        <f t="shared" ref="X532:X560" si="328">IMABS(W532)</f>
        <v>125.46023527264865</v>
      </c>
      <c r="Y532" s="160">
        <f t="shared" ref="Y532:Y560" si="329">IMARGUMENT(W532)</f>
        <v>-1.5628255894000476</v>
      </c>
      <c r="Z532" s="98" t="str">
        <f t="shared" si="319"/>
        <v>-3449.35892795519+9.96528557158383i</v>
      </c>
      <c r="AA532" s="160">
        <f t="shared" ref="AA532:AA560" si="330">IMABS(Z532)</f>
        <v>3449.3733229067425</v>
      </c>
      <c r="AB532" s="160">
        <f t="shared" ref="AB532:AB560" si="331">IMARGUMENT(Z532)</f>
        <v>3.1387036362231222</v>
      </c>
      <c r="AC532" s="171" t="str">
        <f t="shared" ref="AC532:AC560" si="332">(IMDIV(IMPRODUCT(P532,T532,W532),IMPRODUCT(Q532,Z532)))</f>
        <v>0.000144497361452042+0.0000266852084538366i</v>
      </c>
      <c r="AD532" s="190">
        <f t="shared" ref="AD532:AD560" si="333">20*LOG(IMABS(AC532))</f>
        <v>-76.657154190492747</v>
      </c>
      <c r="AE532" s="169">
        <f t="shared" ref="AE532:AE560" si="334">(180/PI())*IMARGUMENT(AC532)</f>
        <v>10.463272858565388</v>
      </c>
      <c r="AF532" s="98" t="str">
        <f t="shared" si="320"/>
        <v>-9.95024875621891E-06</v>
      </c>
      <c r="AG532" s="98" t="str">
        <f t="shared" si="321"/>
        <v>8.68188333974436i</v>
      </c>
      <c r="AH532" s="98">
        <f t="shared" ref="AH532:AH560" si="335">IMABS(AG532)</f>
        <v>8.6818833397443598</v>
      </c>
      <c r="AI532" s="98">
        <f t="shared" ref="AI532:AI560" si="336">IMARGUMENT(AG532)</f>
        <v>1.5707963267948966</v>
      </c>
      <c r="AJ532" s="98" t="str">
        <f t="shared" si="322"/>
        <v>1+86.6454558403071i</v>
      </c>
      <c r="AK532" s="98">
        <f t="shared" ref="AK532:AK560" si="337">IMABS(AJ532)</f>
        <v>86.651226291233797</v>
      </c>
      <c r="AL532" s="98">
        <f t="shared" ref="AL532:AL560" si="338">IMARGUMENT(AJ532)</f>
        <v>1.5592555530356536</v>
      </c>
      <c r="AM532" s="98" t="str">
        <f t="shared" si="323"/>
        <v>1+86732.1012961474i</v>
      </c>
      <c r="AN532" s="98">
        <f t="shared" ref="AN532:AN560" si="339">IMABS(AM532)</f>
        <v>86732.101301912291</v>
      </c>
      <c r="AO532" s="98">
        <f t="shared" ref="AO532:AO560" si="340">IMARGUMENT(AM532)</f>
        <v>1.5707847970384972</v>
      </c>
      <c r="AP532" s="168" t="str">
        <f t="shared" ref="AP532:AP560" si="341">IMPRODUCT(AF532,IMDIV(AM532,IMPRODUCT(AG532,AJ532)))</f>
        <v>-0.000013225629636793+0.00114708680200444i</v>
      </c>
      <c r="AQ532" s="98">
        <f t="shared" ref="AQ532:AQ560" si="342">20*LOG(IMABS(AP532))</f>
        <v>-58.807497049026537</v>
      </c>
      <c r="AR532" s="169">
        <f t="shared" ref="AR532:AR560" si="343">(180/PI())*IMARGUMENT(AP532)</f>
        <v>90.660577022339439</v>
      </c>
      <c r="AS532" s="168" t="str">
        <f t="shared" ref="AS532:AS560" si="344">IMPRODUCT(AC532,AP532)</f>
        <v>-3.25213190121918E-08+1.65398087562311E-07i</v>
      </c>
      <c r="AT532" s="190">
        <f t="shared" ref="AT532:AT560" si="345">20*LOG(IMABS(AS532))</f>
        <v>-135.4646512395193</v>
      </c>
      <c r="AU532" s="169">
        <f t="shared" ref="AU532:AU560" si="346">(180/PI())*IMARGUMENT(AS532)</f>
        <v>101.12384988090487</v>
      </c>
      <c r="AV532" s="225"/>
      <c r="AX532">
        <f t="shared" ref="AX532:AX559" si="347">SUM((AT533&lt;0)*(AT532&gt;0))*O532</f>
        <v>0</v>
      </c>
      <c r="AY532">
        <f t="shared" ref="AY532:AY559" si="348">IF(AX532&gt;0,AU532,0)</f>
        <v>0</v>
      </c>
    </row>
    <row r="533" spans="14:51" x14ac:dyDescent="0.55000000000000004">
      <c r="N533" s="170">
        <v>15</v>
      </c>
      <c r="O533" s="199">
        <f t="shared" si="314"/>
        <v>1412537.5446227565</v>
      </c>
      <c r="P533" s="189" t="str">
        <f t="shared" si="315"/>
        <v>1078.86904761905</v>
      </c>
      <c r="Q533" s="160" t="str">
        <f t="shared" si="316"/>
        <v>1+277351.098319163i</v>
      </c>
      <c r="R533" s="160">
        <f t="shared" si="324"/>
        <v>277351.09832096577</v>
      </c>
      <c r="S533" s="160">
        <f t="shared" si="325"/>
        <v>1.5707927212566237</v>
      </c>
      <c r="T533" s="160" t="str">
        <f t="shared" si="317"/>
        <v>1+0.177504702924265i</v>
      </c>
      <c r="U533" s="160">
        <f t="shared" si="326"/>
        <v>1.0156317834531525</v>
      </c>
      <c r="V533" s="160">
        <f t="shared" si="327"/>
        <v>0.17567490425129303</v>
      </c>
      <c r="W533" s="98" t="str">
        <f t="shared" si="318"/>
        <v>1-128.378501342945i</v>
      </c>
      <c r="X533" s="160">
        <f t="shared" si="328"/>
        <v>128.38239601697938</v>
      </c>
      <c r="Y533" s="160">
        <f t="shared" si="329"/>
        <v>-1.5630070181099196</v>
      </c>
      <c r="Z533" s="98" t="str">
        <f t="shared" si="319"/>
        <v>-3611.96933448419+10.1974068914782i</v>
      </c>
      <c r="AA533" s="160">
        <f t="shared" si="330"/>
        <v>3611.9837292492712</v>
      </c>
      <c r="AB533" s="160">
        <f t="shared" si="331"/>
        <v>3.138769434770885</v>
      </c>
      <c r="AC533" s="171" t="str">
        <f t="shared" si="332"/>
        <v>0.000137992304710238+0.0000260082949802444i</v>
      </c>
      <c r="AD533" s="190">
        <f t="shared" si="333"/>
        <v>-77.051303635249042</v>
      </c>
      <c r="AE533" s="169">
        <f t="shared" si="334"/>
        <v>10.673690198028972</v>
      </c>
      <c r="AF533" s="98" t="str">
        <f t="shared" si="320"/>
        <v>-9.95024875621891E-06</v>
      </c>
      <c r="AG533" s="98" t="str">
        <f t="shared" si="321"/>
        <v>8.88411038135945i</v>
      </c>
      <c r="AH533" s="98">
        <f t="shared" si="335"/>
        <v>8.8841103813594504</v>
      </c>
      <c r="AI533" s="98">
        <f t="shared" si="336"/>
        <v>1.5707963267948966</v>
      </c>
      <c r="AJ533" s="98" t="str">
        <f t="shared" si="322"/>
        <v>1+88.6636877743579i</v>
      </c>
      <c r="AK533" s="98">
        <f t="shared" si="337"/>
        <v>88.669326882236007</v>
      </c>
      <c r="AL533" s="98">
        <f t="shared" si="338"/>
        <v>1.5595182305837334</v>
      </c>
      <c r="AM533" s="98" t="str">
        <f t="shared" si="323"/>
        <v>1+88752.3514621323i</v>
      </c>
      <c r="AN533" s="98">
        <f t="shared" si="339"/>
        <v>88752.351467765955</v>
      </c>
      <c r="AO533" s="98">
        <f t="shared" si="340"/>
        <v>1.5707850594877946</v>
      </c>
      <c r="AP533" s="168" t="str">
        <f t="shared" si="341"/>
        <v>-0.0000126304539586633+0.00112098263131908i</v>
      </c>
      <c r="AQ533" s="98">
        <f t="shared" si="342"/>
        <v>-59.007471016290594</v>
      </c>
      <c r="AR533" s="169">
        <f t="shared" si="343"/>
        <v>90.645541744698704</v>
      </c>
      <c r="AS533" s="168" t="str">
        <f t="shared" si="344"/>
        <v>-3.08977523943697E-08+1.54358480263576E-07i</v>
      </c>
      <c r="AT533" s="190">
        <f t="shared" si="345"/>
        <v>-136.05877465153964</v>
      </c>
      <c r="AU533" s="169">
        <f t="shared" si="346"/>
        <v>101.31923194272765</v>
      </c>
      <c r="AV533" s="225"/>
      <c r="AX533">
        <f t="shared" si="347"/>
        <v>0</v>
      </c>
      <c r="AY533">
        <f t="shared" si="348"/>
        <v>0</v>
      </c>
    </row>
    <row r="534" spans="14:51" x14ac:dyDescent="0.55000000000000004">
      <c r="N534" s="170">
        <v>16</v>
      </c>
      <c r="O534" s="199">
        <f t="shared" si="314"/>
        <v>1445439.7707459298</v>
      </c>
      <c r="P534" s="189" t="str">
        <f t="shared" si="315"/>
        <v>1078.86904761905</v>
      </c>
      <c r="Q534" s="160" t="str">
        <f t="shared" si="316"/>
        <v>1+283811.435311371i</v>
      </c>
      <c r="R534" s="160">
        <f t="shared" si="324"/>
        <v>283811.43531313277</v>
      </c>
      <c r="S534" s="160">
        <f t="shared" si="325"/>
        <v>1.5707928033286949</v>
      </c>
      <c r="T534" s="160" t="str">
        <f t="shared" si="317"/>
        <v>1+0.181639318599277i</v>
      </c>
      <c r="U534" s="160">
        <f t="shared" si="326"/>
        <v>1.0163625544367569</v>
      </c>
      <c r="V534" s="160">
        <f t="shared" si="327"/>
        <v>0.17968035474771532</v>
      </c>
      <c r="W534" s="98" t="str">
        <f t="shared" si="318"/>
        <v>1-131.368820783741i</v>
      </c>
      <c r="X534" s="160">
        <f t="shared" si="328"/>
        <v>131.37262680676923</v>
      </c>
      <c r="Y534" s="160">
        <f t="shared" si="329"/>
        <v>-1.5631843174936713</v>
      </c>
      <c r="Z534" s="98" t="str">
        <f t="shared" si="319"/>
        <v>-3782.24333337086+10.4349350114852i</v>
      </c>
      <c r="AA534" s="160">
        <f t="shared" si="330"/>
        <v>3782.2577279578672</v>
      </c>
      <c r="AB534" s="160">
        <f t="shared" si="331"/>
        <v>3.1388337331248564</v>
      </c>
      <c r="AC534" s="171" t="str">
        <f t="shared" si="332"/>
        <v>0.000131780164931957+0.0000253514297382518i</v>
      </c>
      <c r="AD534" s="190">
        <f t="shared" si="333"/>
        <v>-77.445174711919847</v>
      </c>
      <c r="AE534" s="169">
        <f t="shared" si="334"/>
        <v>10.889338373427853</v>
      </c>
      <c r="AF534" s="98" t="str">
        <f t="shared" si="320"/>
        <v>-9.95024875621891E-06</v>
      </c>
      <c r="AG534" s="98" t="str">
        <f t="shared" si="321"/>
        <v>9.09104789589382i</v>
      </c>
      <c r="AH534" s="98">
        <f t="shared" si="335"/>
        <v>9.0910478958938192</v>
      </c>
      <c r="AI534" s="98">
        <f t="shared" si="336"/>
        <v>1.5707963267948966</v>
      </c>
      <c r="AJ534" s="98" t="str">
        <f t="shared" si="322"/>
        <v>1+90.7289303692693i</v>
      </c>
      <c r="AK534" s="98">
        <f t="shared" si="337"/>
        <v>90.734441123267629</v>
      </c>
      <c r="AL534" s="98">
        <f t="shared" si="338"/>
        <v>1.5597749303647928</v>
      </c>
      <c r="AM534" s="98" t="str">
        <f t="shared" si="323"/>
        <v>1+90819.6592996386i</v>
      </c>
      <c r="AN534" s="98">
        <f t="shared" si="339"/>
        <v>90819.659305144</v>
      </c>
      <c r="AO534" s="98">
        <f t="shared" si="340"/>
        <v>1.5707853159630165</v>
      </c>
      <c r="AP534" s="168" t="str">
        <f t="shared" si="341"/>
        <v>-0.0000120620589378135+0.00109547221613051i</v>
      </c>
      <c r="AQ534" s="98">
        <f t="shared" si="342"/>
        <v>-59.207446155075097</v>
      </c>
      <c r="AR534" s="169">
        <f t="shared" si="343"/>
        <v>90.630848625589834</v>
      </c>
      <c r="AS534" s="168" t="str">
        <f t="shared" si="344"/>
        <v>-2.93613270336837E-08+1.44055718880394E-07i</v>
      </c>
      <c r="AT534" s="190">
        <f t="shared" si="345"/>
        <v>-136.65262086699497</v>
      </c>
      <c r="AU534" s="169">
        <f t="shared" si="346"/>
        <v>101.52018699901774</v>
      </c>
      <c r="AV534" s="225"/>
      <c r="AX534">
        <f t="shared" si="347"/>
        <v>0</v>
      </c>
      <c r="AY534">
        <f t="shared" si="348"/>
        <v>0</v>
      </c>
    </row>
    <row r="535" spans="14:51" x14ac:dyDescent="0.55000000000000004">
      <c r="N535" s="170">
        <v>17</v>
      </c>
      <c r="O535" s="199">
        <f t="shared" si="314"/>
        <v>1479108.3881682095</v>
      </c>
      <c r="P535" s="189" t="str">
        <f t="shared" si="315"/>
        <v>1078.86904761905</v>
      </c>
      <c r="Q535" s="160" t="str">
        <f t="shared" si="316"/>
        <v>1+290422.252883268i</v>
      </c>
      <c r="R535" s="160">
        <f t="shared" si="324"/>
        <v>290422.25288498966</v>
      </c>
      <c r="S535" s="160">
        <f t="shared" si="325"/>
        <v>1.5707928835325775</v>
      </c>
      <c r="T535" s="160" t="str">
        <f t="shared" si="317"/>
        <v>1+0.185870241845291i</v>
      </c>
      <c r="U535" s="160">
        <f t="shared" si="326"/>
        <v>1.0171272028628606</v>
      </c>
      <c r="V535" s="160">
        <f t="shared" si="327"/>
        <v>0.18377307851517716</v>
      </c>
      <c r="W535" s="98" t="str">
        <f t="shared" si="318"/>
        <v>1-134.428793712189i</v>
      </c>
      <c r="X535" s="160">
        <f t="shared" si="328"/>
        <v>134.43251310198087</v>
      </c>
      <c r="Y535" s="160">
        <f t="shared" si="329"/>
        <v>-1.5633575815131693</v>
      </c>
      <c r="Z535" s="98" t="str">
        <f t="shared" si="319"/>
        <v>-3960.54209859586+10.6779958721579i</v>
      </c>
      <c r="AA535" s="160">
        <f t="shared" si="330"/>
        <v>3960.5564930128116</v>
      </c>
      <c r="AB535" s="160">
        <f t="shared" si="331"/>
        <v>3.1388965655962995</v>
      </c>
      <c r="AC535" s="171" t="str">
        <f t="shared" si="332"/>
        <v>0.000125847746255607+0.0000247138464653925i</v>
      </c>
      <c r="AD535" s="190">
        <f t="shared" si="333"/>
        <v>-77.838755637352762</v>
      </c>
      <c r="AE535" s="169">
        <f t="shared" si="334"/>
        <v>11.110302244183485</v>
      </c>
      <c r="AF535" s="98" t="str">
        <f t="shared" si="320"/>
        <v>-9.95024875621891E-06</v>
      </c>
      <c r="AG535" s="98" t="str">
        <f t="shared" si="321"/>
        <v>9.30280560435684i</v>
      </c>
      <c r="AH535" s="98">
        <f t="shared" si="335"/>
        <v>9.3028056043568395</v>
      </c>
      <c r="AI535" s="98">
        <f t="shared" si="336"/>
        <v>1.5707963267948966</v>
      </c>
      <c r="AJ535" s="98" t="str">
        <f t="shared" si="322"/>
        <v>1+92.8422786440017i</v>
      </c>
      <c r="AK535" s="98">
        <f t="shared" si="337"/>
        <v>92.847663965284852</v>
      </c>
      <c r="AL535" s="98">
        <f t="shared" si="338"/>
        <v>1.5600257883490545</v>
      </c>
      <c r="AM535" s="98" t="str">
        <f t="shared" si="323"/>
        <v>1+92935.1209226457i</v>
      </c>
      <c r="AN535" s="98">
        <f t="shared" si="339"/>
        <v>92935.120928025804</v>
      </c>
      <c r="AO535" s="98">
        <f t="shared" si="340"/>
        <v>1.5707855666001496</v>
      </c>
      <c r="AP535" s="168" t="str">
        <f t="shared" si="341"/>
        <v>-0.0000115192398320938+0.0010705420708058i</v>
      </c>
      <c r="AQ535" s="98">
        <f t="shared" si="342"/>
        <v>-59.407422412665881</v>
      </c>
      <c r="AR535" s="169">
        <f t="shared" si="343"/>
        <v>90.616489882284412</v>
      </c>
      <c r="AS535" s="168" t="str">
        <f t="shared" si="344"/>
        <v>-2.79068827440847E-08+1.34440622158112E-07i</v>
      </c>
      <c r="AT535" s="190">
        <f t="shared" si="345"/>
        <v>-137.24617805001861</v>
      </c>
      <c r="AU535" s="169">
        <f t="shared" si="346"/>
        <v>101.7267921264679</v>
      </c>
      <c r="AV535" s="225"/>
      <c r="AX535">
        <f t="shared" si="347"/>
        <v>0</v>
      </c>
      <c r="AY535">
        <f t="shared" si="348"/>
        <v>0</v>
      </c>
    </row>
    <row r="536" spans="14:51" x14ac:dyDescent="0.55000000000000004">
      <c r="N536" s="170">
        <v>18</v>
      </c>
      <c r="O536" s="199">
        <f t="shared" si="314"/>
        <v>1513561.2484362102</v>
      </c>
      <c r="P536" s="189" t="str">
        <f t="shared" si="315"/>
        <v>1078.86904761905</v>
      </c>
      <c r="Q536" s="160" t="str">
        <f t="shared" si="316"/>
        <v>1+297187.056177837i</v>
      </c>
      <c r="R536" s="160">
        <f t="shared" si="324"/>
        <v>297187.05617951945</v>
      </c>
      <c r="S536" s="160">
        <f t="shared" si="325"/>
        <v>1.5707929619107968</v>
      </c>
      <c r="T536" s="160" t="str">
        <f t="shared" si="317"/>
        <v>1+0.190199715953816i</v>
      </c>
      <c r="U536" s="160">
        <f t="shared" si="326"/>
        <v>1.0179272724261357</v>
      </c>
      <c r="V536" s="160">
        <f t="shared" si="327"/>
        <v>0.18795469686320435</v>
      </c>
      <c r="W536" s="98" t="str">
        <f t="shared" si="318"/>
        <v>1-137.560042566438i</v>
      </c>
      <c r="X536" s="160">
        <f t="shared" si="328"/>
        <v>137.56367729484492</v>
      </c>
      <c r="Y536" s="160">
        <f t="shared" si="329"/>
        <v>-1.5635269019936551</v>
      </c>
      <c r="Z536" s="98" t="str">
        <f t="shared" si="319"/>
        <v>-4147.2438257452+10.926718347582i</v>
      </c>
      <c r="AA536" s="160">
        <f t="shared" si="330"/>
        <v>4147.2582199997541</v>
      </c>
      <c r="AB536" s="160">
        <f t="shared" si="331"/>
        <v>3.1389579657045905</v>
      </c>
      <c r="AC536" s="171" t="str">
        <f t="shared" si="332"/>
        <v>0.000120182447825124+0.0000240948170507446i</v>
      </c>
      <c r="AD536" s="190">
        <f t="shared" si="333"/>
        <v>-78.232034125123761</v>
      </c>
      <c r="AE536" s="169">
        <f t="shared" si="334"/>
        <v>11.336667520335169</v>
      </c>
      <c r="AF536" s="98" t="str">
        <f t="shared" si="320"/>
        <v>-9.95024875621891E-06</v>
      </c>
      <c r="AG536" s="98" t="str">
        <f t="shared" si="321"/>
        <v>9.51949578348848i</v>
      </c>
      <c r="AH536" s="98">
        <f t="shared" si="335"/>
        <v>9.5194957834884804</v>
      </c>
      <c r="AI536" s="98">
        <f t="shared" si="336"/>
        <v>1.5707963267948966</v>
      </c>
      <c r="AJ536" s="98" t="str">
        <f t="shared" si="322"/>
        <v>1+95.0048531237841i</v>
      </c>
      <c r="AK536" s="98">
        <f t="shared" si="337"/>
        <v>95.010115867058005</v>
      </c>
      <c r="AL536" s="98">
        <f t="shared" si="338"/>
        <v>1.5602709374183783</v>
      </c>
      <c r="AM536" s="98" t="str">
        <f t="shared" si="323"/>
        <v>1+95099.8579769079i</v>
      </c>
      <c r="AN536" s="98">
        <f t="shared" si="339"/>
        <v>95099.857982165515</v>
      </c>
      <c r="AO536" s="98">
        <f t="shared" si="340"/>
        <v>1.5707858115320852</v>
      </c>
      <c r="AP536" s="168" t="str">
        <f t="shared" si="341"/>
        <v>-0.0000110008460701361+0.00104617901468824i</v>
      </c>
      <c r="AQ536" s="98">
        <f t="shared" si="342"/>
        <v>-59.607399738719778</v>
      </c>
      <c r="AR536" s="169">
        <f t="shared" si="343"/>
        <v>90.60245790882675</v>
      </c>
      <c r="AS536" s="168" t="str">
        <f t="shared" si="344"/>
        <v>-2.65296005700977E-08+1.25467291475046E-07i</v>
      </c>
      <c r="AT536" s="190">
        <f t="shared" si="345"/>
        <v>-137.83943386384351</v>
      </c>
      <c r="AU536" s="169">
        <f t="shared" si="346"/>
        <v>101.93912542916188</v>
      </c>
      <c r="AV536" s="225"/>
      <c r="AX536">
        <f t="shared" si="347"/>
        <v>0</v>
      </c>
      <c r="AY536">
        <f t="shared" si="348"/>
        <v>0</v>
      </c>
    </row>
    <row r="537" spans="14:51" x14ac:dyDescent="0.55000000000000004">
      <c r="N537" s="170">
        <v>19</v>
      </c>
      <c r="O537" s="199">
        <f t="shared" si="314"/>
        <v>1548816.6189124861</v>
      </c>
      <c r="P537" s="189" t="str">
        <f t="shared" si="315"/>
        <v>1078.86904761905</v>
      </c>
      <c r="Q537" s="160" t="str">
        <f t="shared" si="316"/>
        <v>1+304109.431983328i</v>
      </c>
      <c r="R537" s="160">
        <f t="shared" si="324"/>
        <v>304109.43198497215</v>
      </c>
      <c r="S537" s="160">
        <f t="shared" si="325"/>
        <v>1.57079303850491</v>
      </c>
      <c r="T537" s="160" t="str">
        <f t="shared" si="317"/>
        <v>1+0.19463003646933i</v>
      </c>
      <c r="U537" s="160">
        <f t="shared" si="326"/>
        <v>1.0187643746696546</v>
      </c>
      <c r="V537" s="160">
        <f t="shared" si="327"/>
        <v>0.19222684170036772</v>
      </c>
      <c r="W537" s="98" t="str">
        <f t="shared" si="318"/>
        <v>1-140.764227576078i</v>
      </c>
      <c r="X537" s="160">
        <f t="shared" si="328"/>
        <v>140.76777957007735</v>
      </c>
      <c r="Y537" s="160">
        <f t="shared" si="329"/>
        <v>-1.5636923686722317</v>
      </c>
      <c r="Z537" s="98" t="str">
        <f t="shared" si="319"/>
        <v>-4342.7445342137+11.1812343137062i</v>
      </c>
      <c r="AA537" s="160">
        <f t="shared" si="330"/>
        <v>4342.7589283131692</v>
      </c>
      <c r="AB537" s="160">
        <f t="shared" si="331"/>
        <v>3.139017966195969</v>
      </c>
      <c r="AC537" s="171" t="str">
        <f t="shared" si="332"/>
        <v>0.000114772236914006+0.0000234936492816084i</v>
      </c>
      <c r="AD537" s="190">
        <f t="shared" si="333"/>
        <v>-78.624997369561299</v>
      </c>
      <c r="AE537" s="169">
        <f t="shared" si="334"/>
        <v>11.568520683196532</v>
      </c>
      <c r="AF537" s="98" t="str">
        <f t="shared" si="320"/>
        <v>-9.95024875621891E-06</v>
      </c>
      <c r="AG537" s="98" t="str">
        <f t="shared" si="321"/>
        <v>9.74123332528996i</v>
      </c>
      <c r="AH537" s="98">
        <f t="shared" si="335"/>
        <v>9.7412333252899597</v>
      </c>
      <c r="AI537" s="98">
        <f t="shared" si="336"/>
        <v>1.5707963267948966</v>
      </c>
      <c r="AJ537" s="98" t="str">
        <f t="shared" si="322"/>
        <v>1+97.2178004342308i</v>
      </c>
      <c r="AK537" s="98">
        <f t="shared" si="337"/>
        <v>97.22294338925316</v>
      </c>
      <c r="AL537" s="98">
        <f t="shared" si="338"/>
        <v>1.5605105074361145</v>
      </c>
      <c r="AM537" s="98" t="str">
        <f t="shared" si="323"/>
        <v>1+97315.018234665i</v>
      </c>
      <c r="AN537" s="98">
        <f t="shared" si="339"/>
        <v>97315.018239802943</v>
      </c>
      <c r="AO537" s="98">
        <f t="shared" si="340"/>
        <v>1.5707860508886891</v>
      </c>
      <c r="AP537" s="168" t="str">
        <f t="shared" si="341"/>
        <v>-0.0000105057788178022+0.00102237016528814i</v>
      </c>
      <c r="AQ537" s="98">
        <f t="shared" si="342"/>
        <v>-59.807378085158909</v>
      </c>
      <c r="AR537" s="169">
        <f t="shared" si="343"/>
        <v>90.588745272035808</v>
      </c>
      <c r="AS537" s="168" t="str">
        <f t="shared" si="344"/>
        <v>-2.52249778347025E-08+1.17092891741286E-07i</v>
      </c>
      <c r="AT537" s="190">
        <f t="shared" si="345"/>
        <v>-138.43237545472024</v>
      </c>
      <c r="AU537" s="169">
        <f t="shared" si="346"/>
        <v>102.15726595523236</v>
      </c>
      <c r="AV537" s="225"/>
      <c r="AX537">
        <f t="shared" si="347"/>
        <v>0</v>
      </c>
      <c r="AY537">
        <f t="shared" si="348"/>
        <v>0</v>
      </c>
    </row>
    <row r="538" spans="14:51" x14ac:dyDescent="0.55000000000000004">
      <c r="N538" s="170">
        <v>20</v>
      </c>
      <c r="O538" s="199">
        <f t="shared" si="314"/>
        <v>1584893.1924611153</v>
      </c>
      <c r="P538" s="189" t="str">
        <f t="shared" si="315"/>
        <v>1078.86904761905</v>
      </c>
      <c r="Q538" s="160" t="str">
        <f t="shared" si="316"/>
        <v>1+311193.05063502i</v>
      </c>
      <c r="R538" s="160">
        <f t="shared" si="324"/>
        <v>311193.05063662672</v>
      </c>
      <c r="S538" s="160">
        <f t="shared" si="325"/>
        <v>1.5707931133555284</v>
      </c>
      <c r="T538" s="160" t="str">
        <f t="shared" si="317"/>
        <v>1+0.199163552406413i</v>
      </c>
      <c r="U538" s="160">
        <f t="shared" si="326"/>
        <v>1.0196401917378217</v>
      </c>
      <c r="V538" s="160">
        <f t="shared" si="327"/>
        <v>0.19659115409812589</v>
      </c>
      <c r="W538" s="98" t="str">
        <f t="shared" si="318"/>
        <v>1-144.043047642414i</v>
      </c>
      <c r="X538" s="160">
        <f t="shared" si="328"/>
        <v>144.04651878512979</v>
      </c>
      <c r="Y538" s="160">
        <f t="shared" si="329"/>
        <v>-1.5638540692452585</v>
      </c>
      <c r="Z538" s="98" t="str">
        <f t="shared" si="319"/>
        <v>-4547.4589072152+11.4416787182647i</v>
      </c>
      <c r="AA538" s="160">
        <f t="shared" si="330"/>
        <v>4547.4733011665676</v>
      </c>
      <c r="AB538" s="160">
        <f t="shared" si="331"/>
        <v>3.1390765990618159</v>
      </c>
      <c r="AC538" s="171" t="str">
        <f t="shared" si="332"/>
        <v>0.00010960562326742+0.000022909684734198i</v>
      </c>
      <c r="AD538" s="190">
        <f t="shared" si="333"/>
        <v>-79.01763202954092</v>
      </c>
      <c r="AE538" s="169">
        <f t="shared" si="334"/>
        <v>11.805948899307085</v>
      </c>
      <c r="AF538" s="98" t="str">
        <f t="shared" si="320"/>
        <v>-9.95024875621891E-06</v>
      </c>
      <c r="AG538" s="98" t="str">
        <f t="shared" si="321"/>
        <v>9.96813579794095i</v>
      </c>
      <c r="AH538" s="98">
        <f t="shared" si="335"/>
        <v>9.9681357979409508</v>
      </c>
      <c r="AI538" s="98">
        <f t="shared" si="336"/>
        <v>1.5707963267948966</v>
      </c>
      <c r="AJ538" s="98" t="str">
        <f t="shared" si="322"/>
        <v>1+99.482293909297i</v>
      </c>
      <c r="AK538" s="98">
        <f t="shared" si="337"/>
        <v>99.487319802353468</v>
      </c>
      <c r="AL538" s="98">
        <f t="shared" si="338"/>
        <v>1.5607446253153954</v>
      </c>
      <c r="AM538" s="98" t="str">
        <f t="shared" si="323"/>
        <v>1+99581.7762032063i</v>
      </c>
      <c r="AN538" s="98">
        <f t="shared" si="339"/>
        <v>99581.776208227311</v>
      </c>
      <c r="AO538" s="98">
        <f t="shared" si="340"/>
        <v>1.5707862847968714</v>
      </c>
      <c r="AP538" s="168" t="str">
        <f t="shared" si="341"/>
        <v>-0.0000100329886537592+0.000999102931619961i</v>
      </c>
      <c r="AQ538" s="98">
        <f t="shared" si="342"/>
        <v>-60.007357406068074</v>
      </c>
      <c r="AR538" s="169">
        <f t="shared" si="343"/>
        <v>90.575344707596116</v>
      </c>
      <c r="AS538" s="168" t="str">
        <f t="shared" si="344"/>
        <v>-2.39888051550565E-08+1.09277446921513E-07i</v>
      </c>
      <c r="AT538" s="190">
        <f t="shared" si="345"/>
        <v>-139.024989435609</v>
      </c>
      <c r="AU538" s="169">
        <f t="shared" si="346"/>
        <v>102.38129360690318</v>
      </c>
      <c r="AV538" s="225"/>
      <c r="AX538">
        <f t="shared" si="347"/>
        <v>0</v>
      </c>
      <c r="AY538">
        <f t="shared" si="348"/>
        <v>0</v>
      </c>
    </row>
    <row r="539" spans="14:51" x14ac:dyDescent="0.55000000000000004">
      <c r="N539" s="170">
        <v>21</v>
      </c>
      <c r="O539" s="199">
        <f t="shared" si="314"/>
        <v>1621810.0973589318</v>
      </c>
      <c r="P539" s="189" t="str">
        <f t="shared" si="315"/>
        <v>1078.86904761905</v>
      </c>
      <c r="Q539" s="160" t="str">
        <f t="shared" si="316"/>
        <v>1+318441.667961284i</v>
      </c>
      <c r="R539" s="160">
        <f t="shared" si="324"/>
        <v>318441.66796285415</v>
      </c>
      <c r="S539" s="160">
        <f t="shared" si="325"/>
        <v>1.5707931865023388</v>
      </c>
      <c r="T539" s="160" t="str">
        <f t="shared" si="317"/>
        <v>1+0.203802667495222i</v>
      </c>
      <c r="U539" s="160">
        <f t="shared" si="326"/>
        <v>1.0205564792201205</v>
      </c>
      <c r="V539" s="160">
        <f t="shared" si="327"/>
        <v>0.20104928272976733</v>
      </c>
      <c r="W539" s="98" t="str">
        <f t="shared" si="318"/>
        <v>1-147.398241239244i</v>
      </c>
      <c r="X539" s="160">
        <f t="shared" si="328"/>
        <v>147.40163337094461</v>
      </c>
      <c r="Y539" s="160">
        <f t="shared" si="329"/>
        <v>-1.5640120894146765</v>
      </c>
      <c r="Z539" s="98" t="str">
        <f t="shared" si="319"/>
        <v>-4761.8211713814+11.7081896523281i</v>
      </c>
      <c r="AA539" s="160">
        <f t="shared" si="330"/>
        <v>4761.8355651913325</v>
      </c>
      <c r="AB539" s="160">
        <f t="shared" si="331"/>
        <v>3.139133895556466</v>
      </c>
      <c r="AC539" s="171" t="str">
        <f t="shared" si="332"/>
        <v>0.000104671634606854+0.0000223422967988453i</v>
      </c>
      <c r="AD539" s="190">
        <f t="shared" si="333"/>
        <v>-79.409924212083013</v>
      </c>
      <c r="AE539" s="169">
        <f t="shared" si="334"/>
        <v>12.049039927313137</v>
      </c>
      <c r="AF539" s="98" t="str">
        <f t="shared" si="320"/>
        <v>-9.95024875621891E-06</v>
      </c>
      <c r="AG539" s="98" t="str">
        <f t="shared" si="321"/>
        <v>10.2003235081359i</v>
      </c>
      <c r="AH539" s="98">
        <f t="shared" si="335"/>
        <v>10.2003235081359</v>
      </c>
      <c r="AI539" s="98">
        <f t="shared" si="336"/>
        <v>1.5707963267948966</v>
      </c>
      <c r="AJ539" s="98" t="str">
        <f t="shared" si="322"/>
        <v>1+101.799534213398i</v>
      </c>
      <c r="AK539" s="98">
        <f t="shared" si="337"/>
        <v>101.80444570874491</v>
      </c>
      <c r="AL539" s="98">
        <f t="shared" si="338"/>
        <v>1.5609734150859023</v>
      </c>
      <c r="AM539" s="98" t="str">
        <f t="shared" si="323"/>
        <v>1+101901.333747611i</v>
      </c>
      <c r="AN539" s="98">
        <f t="shared" si="339"/>
        <v>101901.33375251772</v>
      </c>
      <c r="AO539" s="98">
        <f t="shared" si="340"/>
        <v>1.5707865133806538</v>
      </c>
      <c r="AP539" s="168" t="str">
        <f t="shared" si="341"/>
        <v>-9.58147334930844E-06+0.000976365007682719i</v>
      </c>
      <c r="AQ539" s="98">
        <f t="shared" si="342"/>
        <v>-60.207337657597691</v>
      </c>
      <c r="AR539" s="169">
        <f t="shared" si="343"/>
        <v>90.562249116236273</v>
      </c>
      <c r="AS539" s="168" t="str">
        <f t="shared" si="344"/>
        <v>-2.28171452630683E-08+1.01983649205743E-07i</v>
      </c>
      <c r="AT539" s="190">
        <f t="shared" si="345"/>
        <v>-139.61726186968073</v>
      </c>
      <c r="AU539" s="169">
        <f t="shared" si="346"/>
        <v>102.61128904354945</v>
      </c>
      <c r="AV539" s="225"/>
      <c r="AX539">
        <f t="shared" si="347"/>
        <v>0</v>
      </c>
      <c r="AY539">
        <f t="shared" si="348"/>
        <v>0</v>
      </c>
    </row>
    <row r="540" spans="14:51" x14ac:dyDescent="0.55000000000000004">
      <c r="N540" s="170">
        <v>22</v>
      </c>
      <c r="O540" s="199">
        <f t="shared" si="314"/>
        <v>1659586.9074375622</v>
      </c>
      <c r="P540" s="189" t="str">
        <f t="shared" si="315"/>
        <v>1078.86904761905</v>
      </c>
      <c r="Q540" s="160" t="str">
        <f t="shared" si="316"/>
        <v>1+325859.127274978i</v>
      </c>
      <c r="R540" s="160">
        <f t="shared" si="324"/>
        <v>325859.12727651233</v>
      </c>
      <c r="S540" s="160">
        <f t="shared" si="325"/>
        <v>1.5707932579841244</v>
      </c>
      <c r="T540" s="160" t="str">
        <f t="shared" si="317"/>
        <v>1+0.208549841455986i</v>
      </c>
      <c r="U540" s="160">
        <f t="shared" si="326"/>
        <v>1.0215150690867545</v>
      </c>
      <c r="V540" s="160">
        <f t="shared" si="327"/>
        <v>0.20560288217810041</v>
      </c>
      <c r="W540" s="98" t="str">
        <f t="shared" si="318"/>
        <v>1-150.831587334627i</v>
      </c>
      <c r="X540" s="160">
        <f t="shared" si="328"/>
        <v>150.83490225369991</v>
      </c>
      <c r="Y540" s="160">
        <f t="shared" si="329"/>
        <v>-1.5641665129332865</v>
      </c>
      <c r="Z540" s="98" t="str">
        <f t="shared" si="319"/>
        <v>-4986.28601781472+11.9809084235214i</v>
      </c>
      <c r="AA540" s="160">
        <f t="shared" si="330"/>
        <v>4986.3004114895884</v>
      </c>
      <c r="AB540" s="160">
        <f t="shared" si="331"/>
        <v>3.1391898862145795</v>
      </c>
      <c r="AC540" s="171" t="str">
        <f t="shared" si="332"/>
        <v>0.0000999597932443038+0.0000217908888308612i</v>
      </c>
      <c r="AD540" s="190">
        <f t="shared" si="333"/>
        <v>-79.801859455794101</v>
      </c>
      <c r="AE540" s="169">
        <f t="shared" si="334"/>
        <v>12.297882017415123</v>
      </c>
      <c r="AF540" s="98" t="str">
        <f t="shared" si="320"/>
        <v>-9.95024875621891E-06</v>
      </c>
      <c r="AG540" s="98" t="str">
        <f t="shared" si="321"/>
        <v>10.4379195648721i</v>
      </c>
      <c r="AH540" s="98">
        <f t="shared" si="335"/>
        <v>10.4379195648721</v>
      </c>
      <c r="AI540" s="98">
        <f t="shared" si="336"/>
        <v>1.5707963267948966</v>
      </c>
      <c r="AJ540" s="98" t="str">
        <f t="shared" si="322"/>
        <v>1+104.170749978015i</v>
      </c>
      <c r="AK540" s="98">
        <f t="shared" si="337"/>
        <v>104.17554967928949</v>
      </c>
      <c r="AL540" s="98">
        <f t="shared" si="338"/>
        <v>1.5611969979591376</v>
      </c>
      <c r="AM540" s="98" t="str">
        <f t="shared" si="323"/>
        <v>1+104274.920727993i</v>
      </c>
      <c r="AN540" s="98">
        <f t="shared" si="339"/>
        <v>104274.92073278801</v>
      </c>
      <c r="AO540" s="98">
        <f t="shared" si="340"/>
        <v>1.5707867367612338</v>
      </c>
      <c r="AP540" s="168" t="str">
        <f t="shared" si="341"/>
        <v>-9.15027574780726E-06+0.00095414436608108i</v>
      </c>
      <c r="AQ540" s="98">
        <f t="shared" si="342"/>
        <v>-60.407318797870992</v>
      </c>
      <c r="AR540" s="169">
        <f t="shared" si="343"/>
        <v>90.54945155999296</v>
      </c>
      <c r="AS540" s="168" t="str">
        <f t="shared" si="344"/>
        <v>-2.17063134817445E-08+9.51766809170899E-08i</v>
      </c>
      <c r="AT540" s="190">
        <f t="shared" si="345"/>
        <v>-140.2091782536651</v>
      </c>
      <c r="AU540" s="169">
        <f t="shared" si="346"/>
        <v>102.84733357740807</v>
      </c>
      <c r="AV540" s="225"/>
      <c r="AX540">
        <f t="shared" si="347"/>
        <v>0</v>
      </c>
      <c r="AY540">
        <f t="shared" si="348"/>
        <v>0</v>
      </c>
    </row>
    <row r="541" spans="14:51" x14ac:dyDescent="0.55000000000000004">
      <c r="N541" s="170">
        <v>23</v>
      </c>
      <c r="O541" s="199">
        <f t="shared" si="314"/>
        <v>1698243.6524617488</v>
      </c>
      <c r="P541" s="189" t="str">
        <f t="shared" si="315"/>
        <v>1078.86904761905</v>
      </c>
      <c r="Q541" s="160" t="str">
        <f t="shared" si="316"/>
        <v>1+333449.361411209i</v>
      </c>
      <c r="R541" s="160">
        <f t="shared" si="324"/>
        <v>333449.36141270847</v>
      </c>
      <c r="S541" s="160">
        <f t="shared" si="325"/>
        <v>1.570793327838786</v>
      </c>
      <c r="T541" s="160" t="str">
        <f t="shared" si="317"/>
        <v>1+0.213407591303174i</v>
      </c>
      <c r="U541" s="160">
        <f t="shared" si="326"/>
        <v>1.0225178727170603</v>
      </c>
      <c r="V541" s="160">
        <f t="shared" si="327"/>
        <v>0.21025361110540949</v>
      </c>
      <c r="W541" s="98" t="str">
        <f t="shared" si="318"/>
        <v>1-154.344906334108i</v>
      </c>
      <c r="X541" s="160">
        <f t="shared" si="328"/>
        <v>154.34814579801267</v>
      </c>
      <c r="Y541" s="160">
        <f t="shared" si="329"/>
        <v>-1.564317421649005</v>
      </c>
      <c r="Z541" s="98" t="str">
        <f t="shared" si="319"/>
        <v>-5221.32956654893+12.259979630947i</v>
      </c>
      <c r="AA541" s="160">
        <f t="shared" si="330"/>
        <v>5221.3439600948141</v>
      </c>
      <c r="AB541" s="160">
        <f t="shared" si="331"/>
        <v>3.1392446008680706</v>
      </c>
      <c r="AC541" s="171" t="str">
        <f t="shared" si="332"/>
        <v>0.0000954600937554118+0.000021254892418773i</v>
      </c>
      <c r="AD541" s="190">
        <f t="shared" si="333"/>
        <v>-80.193422714198306</v>
      </c>
      <c r="AE541" s="169">
        <f t="shared" si="334"/>
        <v>12.552563803007077</v>
      </c>
      <c r="AF541" s="98" t="str">
        <f t="shared" si="320"/>
        <v>-9.95024875621891E-06</v>
      </c>
      <c r="AG541" s="98" t="str">
        <f t="shared" si="321"/>
        <v>10.6810499447238i</v>
      </c>
      <c r="AH541" s="98">
        <f t="shared" si="335"/>
        <v>10.681049944723799</v>
      </c>
      <c r="AI541" s="98">
        <f t="shared" si="336"/>
        <v>1.5707963267948966</v>
      </c>
      <c r="AJ541" s="98" t="str">
        <f t="shared" si="322"/>
        <v>1+106.597198453134i</v>
      </c>
      <c r="AK541" s="98">
        <f t="shared" si="337"/>
        <v>106.60188890473205</v>
      </c>
      <c r="AL541" s="98">
        <f t="shared" si="338"/>
        <v>1.5614154923922345</v>
      </c>
      <c r="AM541" s="98" t="str">
        <f t="shared" si="323"/>
        <v>1+106703.795651587i</v>
      </c>
      <c r="AN541" s="98">
        <f t="shared" si="339"/>
        <v>106703.79565627287</v>
      </c>
      <c r="AO541" s="98">
        <f t="shared" si="340"/>
        <v>1.570786955057051</v>
      </c>
      <c r="AP541" s="168" t="str">
        <f t="shared" si="341"/>
        <v>-8.73848173922864E-06+0.000932429251784434i</v>
      </c>
      <c r="AQ541" s="98">
        <f t="shared" si="342"/>
        <v>-60.607300786895465</v>
      </c>
      <c r="AR541" s="169">
        <f t="shared" si="343"/>
        <v>90.536945258558404</v>
      </c>
      <c r="AS541" s="168" t="str">
        <f t="shared" si="344"/>
        <v>-2.06528597209019E-08+8.88240483063598E-08i</v>
      </c>
      <c r="AT541" s="190">
        <f t="shared" si="345"/>
        <v>-140.80072350109376</v>
      </c>
      <c r="AU541" s="169">
        <f t="shared" si="346"/>
        <v>103.08950906156551</v>
      </c>
      <c r="AV541" s="225"/>
      <c r="AX541">
        <f t="shared" si="347"/>
        <v>0</v>
      </c>
      <c r="AY541">
        <f t="shared" si="348"/>
        <v>0</v>
      </c>
    </row>
    <row r="542" spans="14:51" x14ac:dyDescent="0.55000000000000004">
      <c r="N542" s="170">
        <v>24</v>
      </c>
      <c r="O542" s="199">
        <f t="shared" si="314"/>
        <v>1737800.8287493798</v>
      </c>
      <c r="P542" s="189" t="str">
        <f t="shared" si="315"/>
        <v>1078.86904761905</v>
      </c>
      <c r="Q542" s="160" t="str">
        <f t="shared" si="316"/>
        <v>1+341216.394812581i</v>
      </c>
      <c r="R542" s="160">
        <f t="shared" si="324"/>
        <v>341216.39481404633</v>
      </c>
      <c r="S542" s="160">
        <f t="shared" si="325"/>
        <v>1.5707933961033613</v>
      </c>
      <c r="T542" s="160" t="str">
        <f t="shared" si="317"/>
        <v>1+0.218378492680052i</v>
      </c>
      <c r="U542" s="160">
        <f t="shared" si="326"/>
        <v>1.0235668840213674</v>
      </c>
      <c r="V542" s="160">
        <f t="shared" si="327"/>
        <v>0.21500313027917825</v>
      </c>
      <c r="W542" s="98" t="str">
        <f t="shared" si="318"/>
        <v>1-157.940061045921i</v>
      </c>
      <c r="X542" s="160">
        <f t="shared" si="328"/>
        <v>157.94322677211977</v>
      </c>
      <c r="Y542" s="160">
        <f t="shared" si="329"/>
        <v>-1.5644648955481213</v>
      </c>
      <c r="Z542" s="98" t="str">
        <f t="shared" si="319"/>
        <v>-5467.45037646363+12.5455512418528i</v>
      </c>
      <c r="AA542" s="160">
        <f t="shared" si="330"/>
        <v>5467.4647698863373</v>
      </c>
      <c r="AB542" s="160">
        <f t="shared" si="331"/>
        <v>3.1392980686626197</v>
      </c>
      <c r="AC542" s="171" t="str">
        <f t="shared" si="332"/>
        <v>0.000091162981663359+0.0000207337657622264i</v>
      </c>
      <c r="AD542" s="190">
        <f t="shared" si="333"/>
        <v>-80.584598339006732</v>
      </c>
      <c r="AE542" s="169">
        <f t="shared" si="334"/>
        <v>12.813174184133199</v>
      </c>
      <c r="AF542" s="98" t="str">
        <f t="shared" si="320"/>
        <v>-9.95024875621891E-06</v>
      </c>
      <c r="AG542" s="98" t="str">
        <f t="shared" si="321"/>
        <v>10.9298435586366i</v>
      </c>
      <c r="AH542" s="98">
        <f t="shared" si="335"/>
        <v>10.9298435586366</v>
      </c>
      <c r="AI542" s="98">
        <f t="shared" si="336"/>
        <v>1.5707963267948966</v>
      </c>
      <c r="AJ542" s="98" t="str">
        <f t="shared" si="322"/>
        <v>1+109.080166173852i</v>
      </c>
      <c r="AK542" s="98">
        <f t="shared" si="337"/>
        <v>109.08474986227529</v>
      </c>
      <c r="AL542" s="98">
        <f t="shared" si="338"/>
        <v>1.5616290141503388</v>
      </c>
      <c r="AM542" s="98" t="str">
        <f t="shared" si="323"/>
        <v>1+109189.246340026i</v>
      </c>
      <c r="AN542" s="98">
        <f t="shared" si="339"/>
        <v>109189.2463446052</v>
      </c>
      <c r="AO542" s="98">
        <f t="shared" si="340"/>
        <v>1.5707871683838488</v>
      </c>
      <c r="AP542" s="168" t="str">
        <f t="shared" si="341"/>
        <v>-8.34521832560714E-06+0.000911208176021387i</v>
      </c>
      <c r="AQ542" s="98">
        <f t="shared" si="342"/>
        <v>-60.807283586477595</v>
      </c>
      <c r="AR542" s="169">
        <f t="shared" si="343"/>
        <v>90.524723585709992</v>
      </c>
      <c r="AS542" s="168" t="str">
        <f t="shared" si="344"/>
        <v>-1.96535518674471E-08+8.28954264401427E-08i</v>
      </c>
      <c r="AT542" s="190">
        <f t="shared" si="345"/>
        <v>-141.39188192548434</v>
      </c>
      <c r="AU542" s="169">
        <f t="shared" si="346"/>
        <v>103.33789776984322</v>
      </c>
      <c r="AV542" s="225"/>
      <c r="AX542">
        <f t="shared" si="347"/>
        <v>0</v>
      </c>
      <c r="AY542">
        <f t="shared" si="348"/>
        <v>0</v>
      </c>
    </row>
    <row r="543" spans="14:51" x14ac:dyDescent="0.55000000000000004">
      <c r="N543" s="170">
        <v>25</v>
      </c>
      <c r="O543" s="199">
        <f t="shared" si="314"/>
        <v>1778279.4100389241</v>
      </c>
      <c r="P543" s="189" t="str">
        <f t="shared" si="315"/>
        <v>1078.86904761905</v>
      </c>
      <c r="Q543" s="160" t="str">
        <f t="shared" si="316"/>
        <v>1+349164.345663016i</v>
      </c>
      <c r="R543" s="160">
        <f t="shared" si="324"/>
        <v>349164.34566444799</v>
      </c>
      <c r="S543" s="160">
        <f t="shared" si="325"/>
        <v>1.5707934628140452</v>
      </c>
      <c r="T543" s="160" t="str">
        <f t="shared" si="317"/>
        <v>1+0.22346518122433i</v>
      </c>
      <c r="U543" s="160">
        <f t="shared" si="326"/>
        <v>1.0246641826567486</v>
      </c>
      <c r="V543" s="160">
        <f t="shared" si="327"/>
        <v>0.21985310044702133</v>
      </c>
      <c r="W543" s="98" t="str">
        <f t="shared" si="318"/>
        <v>1-161.618957668685i</v>
      </c>
      <c r="X543" s="160">
        <f t="shared" si="328"/>
        <v>161.62205133555321</v>
      </c>
      <c r="Y543" s="160">
        <f t="shared" si="329"/>
        <v>-1.5646090127975754</v>
      </c>
      <c r="Z543" s="98" t="str">
        <f t="shared" si="319"/>
        <v>-5725.17050279471+12.837774670087i</v>
      </c>
      <c r="AA543" s="160">
        <f t="shared" si="330"/>
        <v>5725.184896099785</v>
      </c>
      <c r="AB543" s="160">
        <f t="shared" si="331"/>
        <v>3.1393503180737752</v>
      </c>
      <c r="AC543" s="171" t="str">
        <f t="shared" si="332"/>
        <v>0.0000870593330874816+0.0000202269921523437i</v>
      </c>
      <c r="AD543" s="190">
        <f t="shared" si="333"/>
        <v>-80.975370063382201</v>
      </c>
      <c r="AE543" s="169">
        <f t="shared" si="334"/>
        <v>13.079802202384343</v>
      </c>
      <c r="AF543" s="98" t="str">
        <f t="shared" si="320"/>
        <v>-9.95024875621891E-06</v>
      </c>
      <c r="AG543" s="98" t="str">
        <f t="shared" si="321"/>
        <v>11.1844323202778i</v>
      </c>
      <c r="AH543" s="98">
        <f t="shared" si="335"/>
        <v>11.1844323202778</v>
      </c>
      <c r="AI543" s="98">
        <f t="shared" si="336"/>
        <v>1.5707963267948966</v>
      </c>
      <c r="AJ543" s="98" t="str">
        <f t="shared" si="322"/>
        <v>1+111.620969642522i</v>
      </c>
      <c r="AK543" s="98">
        <f t="shared" si="337"/>
        <v>111.62544899769415</v>
      </c>
      <c r="AL543" s="98">
        <f t="shared" si="338"/>
        <v>1.5618376763675899</v>
      </c>
      <c r="AM543" s="98" t="str">
        <f t="shared" si="323"/>
        <v>1+111732.590612165i</v>
      </c>
      <c r="AN543" s="98">
        <f t="shared" si="339"/>
        <v>111732.59061663997</v>
      </c>
      <c r="AO543" s="98">
        <f t="shared" si="340"/>
        <v>1.570787376854736</v>
      </c>
      <c r="AP543" s="168" t="str">
        <f t="shared" si="341"/>
        <v>-7.96965177329956E-06+0.000890469910306824i</v>
      </c>
      <c r="AQ543" s="98">
        <f t="shared" si="342"/>
        <v>-61.007267160142433</v>
      </c>
      <c r="AR543" s="169">
        <f t="shared" si="343"/>
        <v>90.512780065819641</v>
      </c>
      <c r="AS543" s="168" t="str">
        <f t="shared" si="344"/>
        <v>-1.87053604559973E-08+7.73625144419062E-08i</v>
      </c>
      <c r="AT543" s="190">
        <f t="shared" si="345"/>
        <v>-141.98263722352462</v>
      </c>
      <c r="AU543" s="169">
        <f t="shared" si="346"/>
        <v>103.59258226820401</v>
      </c>
      <c r="AV543" s="225"/>
      <c r="AX543">
        <f t="shared" si="347"/>
        <v>0</v>
      </c>
      <c r="AY543">
        <f t="shared" si="348"/>
        <v>0</v>
      </c>
    </row>
    <row r="544" spans="14:51" x14ac:dyDescent="0.55000000000000004">
      <c r="N544" s="170">
        <v>26</v>
      </c>
      <c r="O544" s="199">
        <f t="shared" si="314"/>
        <v>1819700.8586099846</v>
      </c>
      <c r="P544" s="189" t="str">
        <f t="shared" si="315"/>
        <v>1078.86904761905</v>
      </c>
      <c r="Q544" s="160" t="str">
        <f t="shared" si="316"/>
        <v>1+357297.428071259i</v>
      </c>
      <c r="R544" s="160">
        <f t="shared" si="324"/>
        <v>357297.42807265843</v>
      </c>
      <c r="S544" s="160">
        <f t="shared" si="325"/>
        <v>1.5707935280062084</v>
      </c>
      <c r="T544" s="160" t="str">
        <f t="shared" si="317"/>
        <v>1+0.228670353965606i</v>
      </c>
      <c r="U544" s="160">
        <f t="shared" si="326"/>
        <v>1.0258119373368373</v>
      </c>
      <c r="V544" s="160">
        <f t="shared" si="327"/>
        <v>0.22480518005426375</v>
      </c>
      <c r="W544" s="98" t="str">
        <f t="shared" si="318"/>
        <v>1-165.383546802085i</v>
      </c>
      <c r="X544" s="160">
        <f t="shared" si="328"/>
        <v>165.38657004980013</v>
      </c>
      <c r="Y544" s="160">
        <f t="shared" si="329"/>
        <v>-1.5647498497862804</v>
      </c>
      <c r="Z544" s="98" t="str">
        <f t="shared" si="319"/>
        <v>-5995.03660448332+13.1368048563794i</v>
      </c>
      <c r="AA544" s="160">
        <f t="shared" si="330"/>
        <v>5995.0509976760604</v>
      </c>
      <c r="AB544" s="160">
        <f t="shared" si="331"/>
        <v>3.1394013769226508</v>
      </c>
      <c r="AC544" s="171" t="str">
        <f t="shared" si="332"/>
        <v>0.0000831404353127307+0.0000197340785478152i</v>
      </c>
      <c r="AD544" s="190">
        <f t="shared" si="333"/>
        <v>-81.365720985259287</v>
      </c>
      <c r="AE544" s="169">
        <f t="shared" si="334"/>
        <v>13.352536906856836</v>
      </c>
      <c r="AF544" s="98" t="str">
        <f t="shared" si="320"/>
        <v>-9.95024875621891E-06</v>
      </c>
      <c r="AG544" s="98" t="str">
        <f t="shared" si="321"/>
        <v>11.4449512159786i</v>
      </c>
      <c r="AH544" s="98">
        <f t="shared" si="335"/>
        <v>11.4449512159786</v>
      </c>
      <c r="AI544" s="98">
        <f t="shared" si="336"/>
        <v>1.5707963267948966</v>
      </c>
      <c r="AJ544" s="98" t="str">
        <f t="shared" si="322"/>
        <v>1+114.220956026776i</v>
      </c>
      <c r="AK544" s="98">
        <f t="shared" si="337"/>
        <v>114.22533342332906</v>
      </c>
      <c r="AL544" s="98">
        <f t="shared" si="338"/>
        <v>1.5620415896067346</v>
      </c>
      <c r="AM544" s="98" t="str">
        <f t="shared" si="323"/>
        <v>1+114335.176982803i</v>
      </c>
      <c r="AN544" s="98">
        <f t="shared" si="339"/>
        <v>114335.17698717609</v>
      </c>
      <c r="AO544" s="98">
        <f t="shared" si="340"/>
        <v>1.5707875805802463</v>
      </c>
      <c r="AP544" s="168" t="str">
        <f t="shared" si="341"/>
        <v>-7.61098584817998E-06+0.00087020348059915i</v>
      </c>
      <c r="AQ544" s="98">
        <f t="shared" si="342"/>
        <v>-61.207251473056161</v>
      </c>
      <c r="AR544" s="169">
        <f t="shared" si="343"/>
        <v>90.501108370441727</v>
      </c>
      <c r="AS544" s="168" t="str">
        <f t="shared" si="344"/>
        <v>-1.78054445153025E-08+7.21989003951124E-08i</v>
      </c>
      <c r="AT544" s="190">
        <f t="shared" si="345"/>
        <v>-142.57297245831546</v>
      </c>
      <c r="AU544" s="169">
        <f t="shared" si="346"/>
        <v>103.85364527729855</v>
      </c>
      <c r="AV544" s="225"/>
      <c r="AX544">
        <f t="shared" si="347"/>
        <v>0</v>
      </c>
      <c r="AY544">
        <f t="shared" si="348"/>
        <v>0</v>
      </c>
    </row>
    <row r="545" spans="14:51" x14ac:dyDescent="0.55000000000000004">
      <c r="N545" s="170">
        <v>27</v>
      </c>
      <c r="O545" s="199">
        <f t="shared" si="314"/>
        <v>1862087.1366628683</v>
      </c>
      <c r="P545" s="189" t="str">
        <f t="shared" si="315"/>
        <v>1078.86904761905</v>
      </c>
      <c r="Q545" s="160" t="str">
        <f t="shared" si="316"/>
        <v>1+365619.954305256i</v>
      </c>
      <c r="R545" s="160">
        <f t="shared" si="324"/>
        <v>365619.95430662355</v>
      </c>
      <c r="S545" s="160">
        <f t="shared" si="325"/>
        <v>1.5707935917144169</v>
      </c>
      <c r="T545" s="160" t="str">
        <f t="shared" si="317"/>
        <v>1+0.233996770755364i</v>
      </c>
      <c r="U545" s="160">
        <f t="shared" si="326"/>
        <v>1.027012409235613</v>
      </c>
      <c r="V545" s="160">
        <f t="shared" si="327"/>
        <v>0.22986102279768975</v>
      </c>
      <c r="W545" s="98" t="str">
        <f t="shared" si="318"/>
        <v>1-169.23582448111i</v>
      </c>
      <c r="X545" s="160">
        <f t="shared" si="328"/>
        <v>169.23877891252073</v>
      </c>
      <c r="Y545" s="160">
        <f t="shared" si="329"/>
        <v>-1.5648874811655109</v>
      </c>
      <c r="Z545" s="98" t="str">
        <f t="shared" si="319"/>
        <v>-6277.62110371265+13.4428003504929i</v>
      </c>
      <c r="AA545" s="160">
        <f t="shared" si="330"/>
        <v>6277.6354967981142</v>
      </c>
      <c r="AB545" s="160">
        <f t="shared" si="331"/>
        <v>3.139451272391244</v>
      </c>
      <c r="AC545" s="171" t="str">
        <f t="shared" si="332"/>
        <v>0.0000793979682381068+0.0000192545542404499i</v>
      </c>
      <c r="AD545" s="190">
        <f t="shared" si="333"/>
        <v>-81.755633550787351</v>
      </c>
      <c r="AE545" s="169">
        <f t="shared" si="334"/>
        <v>13.631467210799784</v>
      </c>
      <c r="AF545" s="98" t="str">
        <f t="shared" si="320"/>
        <v>-9.95024875621891E-06</v>
      </c>
      <c r="AG545" s="98" t="str">
        <f t="shared" si="321"/>
        <v>11.711538376306i</v>
      </c>
      <c r="AH545" s="98">
        <f t="shared" si="335"/>
        <v>11.711538376306001</v>
      </c>
      <c r="AI545" s="98">
        <f t="shared" si="336"/>
        <v>1.5707963267948966</v>
      </c>
      <c r="AJ545" s="98" t="str">
        <f t="shared" si="322"/>
        <v>1+116.881503873808i</v>
      </c>
      <c r="AK545" s="98">
        <f t="shared" si="337"/>
        <v>116.88578163233966</v>
      </c>
      <c r="AL545" s="98">
        <f t="shared" si="338"/>
        <v>1.5622408619174015</v>
      </c>
      <c r="AM545" s="98" t="str">
        <f t="shared" si="323"/>
        <v>1+116998.385377682i</v>
      </c>
      <c r="AN545" s="98">
        <f t="shared" si="339"/>
        <v>116998.38538195558</v>
      </c>
      <c r="AO545" s="98">
        <f t="shared" si="340"/>
        <v>1.5707877796683978</v>
      </c>
      <c r="AP545" s="168" t="str">
        <f t="shared" si="341"/>
        <v>-7.26846013005482E-06+0.00085039816158504i</v>
      </c>
      <c r="AQ545" s="98">
        <f t="shared" si="342"/>
        <v>-61.40723649195219</v>
      </c>
      <c r="AR545" s="169">
        <f t="shared" si="343"/>
        <v>90.489702314977549</v>
      </c>
      <c r="AS545" s="168" t="str">
        <f t="shared" si="344"/>
        <v>-1.69511384947641E-08+6.73799352634547E-08i</v>
      </c>
      <c r="AT545" s="190">
        <f t="shared" si="345"/>
        <v>-143.16287004273954</v>
      </c>
      <c r="AU545" s="169">
        <f t="shared" si="346"/>
        <v>104.12116952577735</v>
      </c>
      <c r="AV545" s="225"/>
      <c r="AX545">
        <f t="shared" si="347"/>
        <v>0</v>
      </c>
      <c r="AY545">
        <f t="shared" si="348"/>
        <v>0</v>
      </c>
    </row>
    <row r="546" spans="14:51" x14ac:dyDescent="0.55000000000000004">
      <c r="N546" s="170">
        <v>28</v>
      </c>
      <c r="O546" s="199">
        <f t="shared" si="314"/>
        <v>1905460.7179632513</v>
      </c>
      <c r="P546" s="189" t="str">
        <f t="shared" si="315"/>
        <v>1078.86904761905</v>
      </c>
      <c r="Q546" s="160" t="str">
        <f t="shared" si="316"/>
        <v>1+374136.337078581i</v>
      </c>
      <c r="R546" s="160">
        <f t="shared" si="324"/>
        <v>374136.33707991743</v>
      </c>
      <c r="S546" s="160">
        <f t="shared" si="325"/>
        <v>1.5707936539724496</v>
      </c>
      <c r="T546" s="160" t="str">
        <f t="shared" si="317"/>
        <v>1+0.239447255730292i</v>
      </c>
      <c r="U546" s="160">
        <f t="shared" si="326"/>
        <v>1.0282679554847403</v>
      </c>
      <c r="V546" s="160">
        <f t="shared" si="327"/>
        <v>0.23502227500907402</v>
      </c>
      <c r="W546" s="98" t="str">
        <f t="shared" si="318"/>
        <v>1-173.177833234376i</v>
      </c>
      <c r="X546" s="160">
        <f t="shared" si="328"/>
        <v>173.18072041585154</v>
      </c>
      <c r="Y546" s="160">
        <f t="shared" si="329"/>
        <v>-1.5650219798883778</v>
      </c>
      <c r="Z546" s="98" t="str">
        <f t="shared" si="319"/>
        <v>-6573.52340009248+13.7559233952888i</v>
      </c>
      <c r="AA546" s="160">
        <f t="shared" si="330"/>
        <v>6573.5377930754958</v>
      </c>
      <c r="AB546" s="160">
        <f t="shared" si="331"/>
        <v>3.1395000310373717</v>
      </c>
      <c r="AC546" s="171" t="str">
        <f t="shared" si="332"/>
        <v>0.0000758239866640924+0.000018787969604324i</v>
      </c>
      <c r="AD546" s="190">
        <f t="shared" si="333"/>
        <v>-82.145089537972225</v>
      </c>
      <c r="AE546" s="169">
        <f t="shared" si="334"/>
        <v>13.916681738584128</v>
      </c>
      <c r="AF546" s="98" t="str">
        <f t="shared" si="320"/>
        <v>-9.95024875621891E-06</v>
      </c>
      <c r="AG546" s="98" t="str">
        <f t="shared" si="321"/>
        <v>11.9843351493011i</v>
      </c>
      <c r="AH546" s="98">
        <f t="shared" si="335"/>
        <v>11.984335149301099</v>
      </c>
      <c r="AI546" s="98">
        <f t="shared" si="336"/>
        <v>1.5707963267948966</v>
      </c>
      <c r="AJ546" s="98" t="str">
        <f t="shared" si="322"/>
        <v>1+119.604023841305i</v>
      </c>
      <c r="AK546" s="98">
        <f t="shared" si="337"/>
        <v>119.60820422960731</v>
      </c>
      <c r="AL546" s="98">
        <f t="shared" si="338"/>
        <v>1.5624355988930672</v>
      </c>
      <c r="AM546" s="98" t="str">
        <f t="shared" si="323"/>
        <v>1+119723.627865146i</v>
      </c>
      <c r="AN546" s="98">
        <f t="shared" si="339"/>
        <v>119723.6278693223</v>
      </c>
      <c r="AO546" s="98">
        <f t="shared" si="340"/>
        <v>1.5707879742247497</v>
      </c>
      <c r="AP546" s="168" t="str">
        <f t="shared" si="341"/>
        <v>-6.94134840274927E-06+0.000831043471089159i</v>
      </c>
      <c r="AQ546" s="98">
        <f t="shared" si="342"/>
        <v>-61.607222185060806</v>
      </c>
      <c r="AR546" s="169">
        <f t="shared" si="343"/>
        <v>90.478555855414584</v>
      </c>
      <c r="AS546" s="168" t="str">
        <f t="shared" si="344"/>
        <v>-1.61399401834159E-08+6.28826152263416E-08i</v>
      </c>
      <c r="AT546" s="190">
        <f t="shared" si="345"/>
        <v>-143.75231172303305</v>
      </c>
      <c r="AU546" s="169">
        <f t="shared" si="346"/>
        <v>104.3952375939987</v>
      </c>
      <c r="AV546" s="225"/>
      <c r="AX546">
        <f t="shared" si="347"/>
        <v>0</v>
      </c>
      <c r="AY546">
        <f t="shared" si="348"/>
        <v>0</v>
      </c>
    </row>
    <row r="547" spans="14:51" x14ac:dyDescent="0.55000000000000004">
      <c r="N547" s="170">
        <v>29</v>
      </c>
      <c r="O547" s="199">
        <f t="shared" si="314"/>
        <v>1949844.5997580495</v>
      </c>
      <c r="P547" s="189" t="str">
        <f t="shared" si="315"/>
        <v>1078.86904761905</v>
      </c>
      <c r="Q547" s="160" t="str">
        <f t="shared" si="316"/>
        <v>1+382851.0918901i</v>
      </c>
      <c r="R547" s="160">
        <f t="shared" si="324"/>
        <v>382851.09189140599</v>
      </c>
      <c r="S547" s="160">
        <f t="shared" si="325"/>
        <v>1.5707937148133164</v>
      </c>
      <c r="T547" s="160" t="str">
        <f t="shared" si="317"/>
        <v>1+0.245024698809664i</v>
      </c>
      <c r="U547" s="160">
        <f t="shared" si="326"/>
        <v>1.0295810327636998</v>
      </c>
      <c r="V547" s="160">
        <f t="shared" si="327"/>
        <v>0.24029057286222513</v>
      </c>
      <c r="W547" s="98" t="str">
        <f t="shared" si="318"/>
        <v>1-177.211663167101i</v>
      </c>
      <c r="X547" s="160">
        <f t="shared" si="328"/>
        <v>177.2144846293611</v>
      </c>
      <c r="Y547" s="160">
        <f t="shared" si="329"/>
        <v>-1.5651534172484081</v>
      </c>
      <c r="Z547" s="98" t="str">
        <f t="shared" si="319"/>
        <v>-6883.37114206539+14.0763400127498i</v>
      </c>
      <c r="AA547" s="160">
        <f t="shared" si="330"/>
        <v>6883.3855349505693</v>
      </c>
      <c r="AB547" s="160">
        <f t="shared" si="331"/>
        <v>3.1395476788092425</v>
      </c>
      <c r="AC547" s="171" t="str">
        <f t="shared" si="332"/>
        <v>0.0000724109033810054+0.0000183338949230647i</v>
      </c>
      <c r="AD547" s="190">
        <f t="shared" si="333"/>
        <v>-82.534070040593704</v>
      </c>
      <c r="AE547" s="169">
        <f t="shared" si="334"/>
        <v>14.208268662631093</v>
      </c>
      <c r="AF547" s="98" t="str">
        <f t="shared" si="320"/>
        <v>-9.95024875621891E-06</v>
      </c>
      <c r="AG547" s="98" t="str">
        <f t="shared" si="321"/>
        <v>12.2634861754237i</v>
      </c>
      <c r="AH547" s="98">
        <f t="shared" si="335"/>
        <v>12.263486175423701</v>
      </c>
      <c r="AI547" s="98">
        <f t="shared" si="336"/>
        <v>1.5707963267948966</v>
      </c>
      <c r="AJ547" s="98" t="str">
        <f t="shared" si="322"/>
        <v>1+122.389959445387i</v>
      </c>
      <c r="AK547" s="98">
        <f t="shared" si="337"/>
        <v>122.39404467964719</v>
      </c>
      <c r="AL547" s="98">
        <f t="shared" si="338"/>
        <v>1.5626259037267407</v>
      </c>
      <c r="AM547" s="98" t="str">
        <f t="shared" si="323"/>
        <v>1+122512.349404832i</v>
      </c>
      <c r="AN547" s="98">
        <f t="shared" si="339"/>
        <v>122512.34940891321</v>
      </c>
      <c r="AO547" s="98">
        <f t="shared" si="340"/>
        <v>1.5707881643524584</v>
      </c>
      <c r="AP547" s="168" t="str">
        <f t="shared" si="341"/>
        <v>-0.0000066289571164798+0.000812129164606412i</v>
      </c>
      <c r="AQ547" s="98">
        <f t="shared" si="342"/>
        <v>-61.807208522041492</v>
      </c>
      <c r="AR547" s="169">
        <f t="shared" si="343"/>
        <v>90.467663085139449</v>
      </c>
      <c r="AS547" s="168" t="str">
        <f t="shared" si="344"/>
        <v>-1.53694995411285E-08+5.86854718679885E-08i</v>
      </c>
      <c r="AT547" s="190">
        <f t="shared" si="345"/>
        <v>-144.34127856263518</v>
      </c>
      <c r="AU547" s="169">
        <f t="shared" si="346"/>
        <v>104.67593174777051</v>
      </c>
      <c r="AV547" s="225"/>
      <c r="AX547">
        <f t="shared" si="347"/>
        <v>0</v>
      </c>
      <c r="AY547">
        <f t="shared" si="348"/>
        <v>0</v>
      </c>
    </row>
    <row r="548" spans="14:51" x14ac:dyDescent="0.55000000000000004">
      <c r="N548" s="170">
        <v>30</v>
      </c>
      <c r="O548" s="199">
        <f t="shared" si="314"/>
        <v>1995262.31496888</v>
      </c>
      <c r="P548" s="189" t="str">
        <f t="shared" si="315"/>
        <v>1078.86904761905</v>
      </c>
      <c r="Q548" s="160" t="str">
        <f t="shared" si="316"/>
        <v>1+391768.839418175i</v>
      </c>
      <c r="R548" s="160">
        <f t="shared" si="324"/>
        <v>391768.83941945131</v>
      </c>
      <c r="S548" s="160">
        <f t="shared" si="325"/>
        <v>1.5707937742692759</v>
      </c>
      <c r="T548" s="160" t="str">
        <f t="shared" si="317"/>
        <v>1+0.250732057227632i</v>
      </c>
      <c r="U548" s="160">
        <f t="shared" si="326"/>
        <v>1.0309542009815957</v>
      </c>
      <c r="V548" s="160">
        <f t="shared" si="327"/>
        <v>0.24566753939756472</v>
      </c>
      <c r="W548" s="98" t="str">
        <f t="shared" si="318"/>
        <v>1-181.339453069313i</v>
      </c>
      <c r="X548" s="160">
        <f t="shared" si="328"/>
        <v>181.34221030823898</v>
      </c>
      <c r="Y548" s="160">
        <f t="shared" si="329"/>
        <v>-1.5652818629172542</v>
      </c>
      <c r="Z548" s="98" t="str">
        <f t="shared" si="319"/>
        <v>-7207.82155823447+14.4042200920081i</v>
      </c>
      <c r="AA548" s="160">
        <f t="shared" si="330"/>
        <v>7207.8359510262189</v>
      </c>
      <c r="AB548" s="160">
        <f t="shared" si="331"/>
        <v>3.139594241059672</v>
      </c>
      <c r="AC548" s="171" t="str">
        <f t="shared" si="332"/>
        <v>0.0000691514730218421+0.0000178919192901578i</v>
      </c>
      <c r="AD548" s="190">
        <f t="shared" si="333"/>
        <v>-82.922555452492844</v>
      </c>
      <c r="AE548" s="169">
        <f t="shared" si="334"/>
        <v>14.506315529957806</v>
      </c>
      <c r="AF548" s="98" t="str">
        <f t="shared" si="320"/>
        <v>-9.95024875621891E-06</v>
      </c>
      <c r="AG548" s="98" t="str">
        <f t="shared" si="321"/>
        <v>12.549139464243i</v>
      </c>
      <c r="AH548" s="98">
        <f t="shared" si="335"/>
        <v>12.549139464243</v>
      </c>
      <c r="AI548" s="98">
        <f t="shared" si="336"/>
        <v>1.5707963267948966</v>
      </c>
      <c r="AJ548" s="98" t="str">
        <f t="shared" si="322"/>
        <v>1+125.24078782599i</v>
      </c>
      <c r="AK548" s="98">
        <f t="shared" si="337"/>
        <v>125.24478007196404</v>
      </c>
      <c r="AL548" s="98">
        <f t="shared" si="338"/>
        <v>1.5628118772653954</v>
      </c>
      <c r="AM548" s="98" t="str">
        <f t="shared" si="323"/>
        <v>1+125366.028613816i</v>
      </c>
      <c r="AN548" s="98">
        <f t="shared" si="339"/>
        <v>125366.02861780433</v>
      </c>
      <c r="AO548" s="98">
        <f t="shared" si="340"/>
        <v>1.5707883501523321</v>
      </c>
      <c r="AP548" s="168" t="str">
        <f t="shared" si="341"/>
        <v>-0.0000063306239192698+0.00079364522995411i</v>
      </c>
      <c r="AQ548" s="98">
        <f t="shared" si="342"/>
        <v>-62.007195473919261</v>
      </c>
      <c r="AR548" s="169">
        <f t="shared" si="343"/>
        <v>90.457018231822005</v>
      </c>
      <c r="AS548" s="168" t="str">
        <f t="shared" si="344"/>
        <v>-1.46376083685225E-08+5.47684696958654E-08i</v>
      </c>
      <c r="AT548" s="190">
        <f t="shared" si="345"/>
        <v>-144.92975092641211</v>
      </c>
      <c r="AU548" s="169">
        <f t="shared" si="346"/>
        <v>104.96333376177982</v>
      </c>
      <c r="AV548" s="225"/>
      <c r="AX548">
        <f t="shared" si="347"/>
        <v>0</v>
      </c>
      <c r="AY548">
        <f t="shared" si="348"/>
        <v>0</v>
      </c>
    </row>
    <row r="549" spans="14:51" x14ac:dyDescent="0.55000000000000004">
      <c r="N549" s="170">
        <v>31</v>
      </c>
      <c r="O549" s="199">
        <f t="shared" si="314"/>
        <v>2041737.9446695296</v>
      </c>
      <c r="P549" s="189" t="str">
        <f t="shared" si="315"/>
        <v>1078.86904761905</v>
      </c>
      <c r="Q549" s="160" t="str">
        <f t="shared" si="316"/>
        <v>1+400894.307970581i</v>
      </c>
      <c r="R549" s="160">
        <f t="shared" si="324"/>
        <v>400894.30797182821</v>
      </c>
      <c r="S549" s="160">
        <f t="shared" si="325"/>
        <v>1.5707938323718527</v>
      </c>
      <c r="T549" s="160" t="str">
        <f t="shared" si="317"/>
        <v>1+0.256572357101172i</v>
      </c>
      <c r="U549" s="160">
        <f t="shared" si="326"/>
        <v>1.0323901270490974</v>
      </c>
      <c r="V549" s="160">
        <f t="shared" si="327"/>
        <v>0.25115478135843539</v>
      </c>
      <c r="W549" s="98" t="str">
        <f t="shared" si="318"/>
        <v>1-185.563391549852i</v>
      </c>
      <c r="X549" s="160">
        <f t="shared" si="328"/>
        <v>185.56608602727948</v>
      </c>
      <c r="Y549" s="160">
        <f t="shared" si="329"/>
        <v>-1.5654073849815471</v>
      </c>
      <c r="Z549" s="98" t="str">
        <f t="shared" si="319"/>
        <v>-7547.56285143204+14.7397374794215i</v>
      </c>
      <c r="AA549" s="160">
        <f t="shared" si="330"/>
        <v>7547.5772441345644</v>
      </c>
      <c r="AB549" s="160">
        <f t="shared" si="331"/>
        <v>3.1396397425599525</v>
      </c>
      <c r="AC549" s="171" t="str">
        <f t="shared" si="332"/>
        <v>0.0000660387766449727+0.0000174616495775222i</v>
      </c>
      <c r="AD549" s="190">
        <f t="shared" si="333"/>
        <v>-83.310525452317194</v>
      </c>
      <c r="AE549" s="169">
        <f t="shared" si="334"/>
        <v>14.810909078002917</v>
      </c>
      <c r="AF549" s="98" t="str">
        <f t="shared" si="320"/>
        <v>-9.95024875621891E-06</v>
      </c>
      <c r="AG549" s="98" t="str">
        <f t="shared" si="321"/>
        <v>12.8414464729137i</v>
      </c>
      <c r="AH549" s="98">
        <f t="shared" si="335"/>
        <v>12.841446472913701</v>
      </c>
      <c r="AI549" s="98">
        <f t="shared" si="336"/>
        <v>1.5707963267948966</v>
      </c>
      <c r="AJ549" s="98" t="str">
        <f t="shared" si="322"/>
        <v>1+128.158020530056i</v>
      </c>
      <c r="AK549" s="98">
        <f t="shared" si="337"/>
        <v>128.1619219042156</v>
      </c>
      <c r="AL549" s="98">
        <f t="shared" si="338"/>
        <v>1.5629936180631769</v>
      </c>
      <c r="AM549" s="98" t="str">
        <f t="shared" si="323"/>
        <v>1+128286.178550586i</v>
      </c>
      <c r="AN549" s="98">
        <f t="shared" si="339"/>
        <v>128286.17855448353</v>
      </c>
      <c r="AO549" s="98">
        <f t="shared" si="340"/>
        <v>1.5707885317228845</v>
      </c>
      <c r="AP549" s="168" t="str">
        <f t="shared" si="341"/>
        <v>-6.04571625432028E-06+0.000775581882041833i</v>
      </c>
      <c r="AQ549" s="98">
        <f t="shared" si="342"/>
        <v>-62.207183013022636</v>
      </c>
      <c r="AR549" s="169">
        <f t="shared" si="343"/>
        <v>90.446615654370106</v>
      </c>
      <c r="AS549" s="168" t="str">
        <f t="shared" si="344"/>
        <v>-1.39421907482676E-08+5.11129104993701E-08i</v>
      </c>
      <c r="AT549" s="190">
        <f t="shared" si="345"/>
        <v>-145.51770846533984</v>
      </c>
      <c r="AU549" s="169">
        <f t="shared" si="346"/>
        <v>105.25752473237304</v>
      </c>
      <c r="AV549" s="225"/>
      <c r="AX549">
        <f t="shared" si="347"/>
        <v>0</v>
      </c>
      <c r="AY549">
        <f t="shared" si="348"/>
        <v>0</v>
      </c>
    </row>
    <row r="550" spans="14:51" x14ac:dyDescent="0.55000000000000004">
      <c r="N550" s="170">
        <v>32</v>
      </c>
      <c r="O550" s="199">
        <f t="shared" si="314"/>
        <v>2089296.1308540432</v>
      </c>
      <c r="P550" s="189" t="str">
        <f t="shared" si="315"/>
        <v>1078.86904761905</v>
      </c>
      <c r="Q550" s="160" t="str">
        <f t="shared" si="316"/>
        <v>1+410232.335991541i</v>
      </c>
      <c r="R550" s="160">
        <f t="shared" si="324"/>
        <v>410232.33599275979</v>
      </c>
      <c r="S550" s="160">
        <f t="shared" si="325"/>
        <v>1.5707938891518531</v>
      </c>
      <c r="T550" s="160" t="str">
        <f t="shared" si="317"/>
        <v>1+0.262548695034586i</v>
      </c>
      <c r="U550" s="160">
        <f t="shared" si="326"/>
        <v>1.0338915887385698</v>
      </c>
      <c r="V550" s="160">
        <f t="shared" si="327"/>
        <v>0.25675388583381753</v>
      </c>
      <c r="W550" s="98" t="str">
        <f t="shared" si="318"/>
        <v>1-189.885718196814i</v>
      </c>
      <c r="X550" s="160">
        <f t="shared" si="328"/>
        <v>189.88835134130753</v>
      </c>
      <c r="Y550" s="160">
        <f t="shared" si="329"/>
        <v>-1.5655300499789158</v>
      </c>
      <c r="Z550" s="98" t="str">
        <f t="shared" si="319"/>
        <v>-7903.31565849109+15.0830700707502i</v>
      </c>
      <c r="AA550" s="160">
        <f t="shared" si="330"/>
        <v>7903.3300511084071</v>
      </c>
      <c r="AB550" s="160">
        <f t="shared" si="331"/>
        <v>3.1396842075133851</v>
      </c>
      <c r="AC550" s="171" t="str">
        <f t="shared" si="332"/>
        <v>0.0000630662070135094+0.0000170427094678983i</v>
      </c>
      <c r="AD550" s="190">
        <f t="shared" si="333"/>
        <v>-83.697958988833832</v>
      </c>
      <c r="AE550" s="169">
        <f t="shared" si="334"/>
        <v>15.122135039429633</v>
      </c>
      <c r="AF550" s="98" t="str">
        <f t="shared" si="320"/>
        <v>-9.95024875621891E-06</v>
      </c>
      <c r="AG550" s="98" t="str">
        <f t="shared" si="321"/>
        <v>13.140562186481i</v>
      </c>
      <c r="AH550" s="98">
        <f t="shared" si="335"/>
        <v>13.140562186481</v>
      </c>
      <c r="AI550" s="98">
        <f t="shared" si="336"/>
        <v>1.5707963267948966</v>
      </c>
      <c r="AJ550" s="98" t="str">
        <f t="shared" si="322"/>
        <v>1+131.14320431298i</v>
      </c>
      <c r="AK550" s="98">
        <f t="shared" si="337"/>
        <v>131.14701688363337</v>
      </c>
      <c r="AL550" s="98">
        <f t="shared" si="338"/>
        <v>1.5631712224334116</v>
      </c>
      <c r="AM550" s="98" t="str">
        <f t="shared" si="323"/>
        <v>1+131274.347517293i</v>
      </c>
      <c r="AN550" s="98">
        <f t="shared" si="339"/>
        <v>131274.34752110182</v>
      </c>
      <c r="AO550" s="98">
        <f t="shared" si="340"/>
        <v>1.5707887091603863</v>
      </c>
      <c r="AP550" s="168" t="str">
        <f t="shared" si="341"/>
        <v>-5.77363002037506E-06+0.000757929557756376i</v>
      </c>
      <c r="AQ550" s="98">
        <f t="shared" si="342"/>
        <v>-62.407171112925425</v>
      </c>
      <c r="AR550" s="169">
        <f t="shared" si="343"/>
        <v>90.436449839952573</v>
      </c>
      <c r="AS550" s="168" t="str">
        <f t="shared" si="344"/>
        <v>-1.32812941960589E-08+4.77013440921088E-08i</v>
      </c>
      <c r="AT550" s="190">
        <f t="shared" si="345"/>
        <v>-146.10513010175927</v>
      </c>
      <c r="AU550" s="169">
        <f t="shared" si="346"/>
        <v>105.55858487938217</v>
      </c>
      <c r="AV550" s="225"/>
      <c r="AX550">
        <f t="shared" si="347"/>
        <v>0</v>
      </c>
      <c r="AY550">
        <f t="shared" si="348"/>
        <v>0</v>
      </c>
    </row>
    <row r="551" spans="14:51" x14ac:dyDescent="0.55000000000000004">
      <c r="N551" s="170">
        <v>33</v>
      </c>
      <c r="O551" s="199">
        <f t="shared" si="314"/>
        <v>2137962.0895022359</v>
      </c>
      <c r="P551" s="189" t="str">
        <f t="shared" si="315"/>
        <v>1078.86904761905</v>
      </c>
      <c r="Q551" s="160" t="str">
        <f t="shared" si="316"/>
        <v>1+419787.874627106i</v>
      </c>
      <c r="R551" s="160">
        <f t="shared" si="324"/>
        <v>419787.87462829705</v>
      </c>
      <c r="S551" s="160">
        <f t="shared" si="325"/>
        <v>1.5707939446393833</v>
      </c>
      <c r="T551" s="160" t="str">
        <f t="shared" si="317"/>
        <v>1+0.268664239761348i</v>
      </c>
      <c r="U551" s="160">
        <f t="shared" si="326"/>
        <v>1.0354614786299599</v>
      </c>
      <c r="V551" s="160">
        <f t="shared" si="327"/>
        <v>0.26246641670245041</v>
      </c>
      <c r="W551" s="98" t="str">
        <f t="shared" si="318"/>
        <v>1-194.308724764997i</v>
      </c>
      <c r="X551" s="160">
        <f t="shared" si="328"/>
        <v>194.31129797260726</v>
      </c>
      <c r="Y551" s="160">
        <f t="shared" si="329"/>
        <v>-1.5656499229331919</v>
      </c>
      <c r="Z551" s="98" t="str">
        <f t="shared" si="319"/>
        <v>-8275.83457881174+15.4343999054782i</v>
      </c>
      <c r="AA551" s="160">
        <f t="shared" si="330"/>
        <v>8275.8489713476847</v>
      </c>
      <c r="AB551" s="160">
        <f t="shared" si="331"/>
        <v>3.1397276595684853</v>
      </c>
      <c r="AC551" s="171" t="str">
        <f t="shared" si="332"/>
        <v>0.0000602274545397915+0.000016634738546899i</v>
      </c>
      <c r="AD551" s="190">
        <f t="shared" si="333"/>
        <v>-84.084834266916019</v>
      </c>
      <c r="AE551" s="169">
        <f t="shared" si="334"/>
        <v>15.440077935612988</v>
      </c>
      <c r="AF551" s="98" t="str">
        <f t="shared" si="320"/>
        <v>-9.95024875621891E-06</v>
      </c>
      <c r="AG551" s="98" t="str">
        <f t="shared" si="321"/>
        <v>13.4466452000555i</v>
      </c>
      <c r="AH551" s="98">
        <f t="shared" si="335"/>
        <v>13.446645200055499</v>
      </c>
      <c r="AI551" s="98">
        <f t="shared" si="336"/>
        <v>1.5707963267948966</v>
      </c>
      <c r="AJ551" s="98" t="str">
        <f t="shared" si="322"/>
        <v>1+134.197921958715i</v>
      </c>
      <c r="AK551" s="98">
        <f t="shared" si="337"/>
        <v>134.20164774710244</v>
      </c>
      <c r="AL551" s="98">
        <f t="shared" si="338"/>
        <v>1.5633447844994435</v>
      </c>
      <c r="AM551" s="98" t="str">
        <f t="shared" si="323"/>
        <v>1+134332.119880674i</v>
      </c>
      <c r="AN551" s="98">
        <f t="shared" si="339"/>
        <v>134332.11988439612</v>
      </c>
      <c r="AO551" s="98">
        <f t="shared" si="340"/>
        <v>1.5707888825589174</v>
      </c>
      <c r="AP551" s="168" t="str">
        <f t="shared" si="341"/>
        <v>-5.51378829226044E-06+0.000740678910959572i</v>
      </c>
      <c r="AQ551" s="98">
        <f t="shared" si="342"/>
        <v>-62.607159748390345</v>
      </c>
      <c r="AR551" s="169">
        <f t="shared" si="343"/>
        <v>90.426515401089375</v>
      </c>
      <c r="AS551" s="168" t="str">
        <f t="shared" si="344"/>
        <v>-1.26530814647285E-08+4.45174850117552E-08i</v>
      </c>
      <c r="AT551" s="190">
        <f t="shared" si="345"/>
        <v>-146.69199401530636</v>
      </c>
      <c r="AU551" s="169">
        <f t="shared" si="346"/>
        <v>105.86659333670235</v>
      </c>
      <c r="AV551" s="225"/>
      <c r="AX551">
        <f t="shared" si="347"/>
        <v>0</v>
      </c>
      <c r="AY551">
        <f t="shared" si="348"/>
        <v>0</v>
      </c>
    </row>
    <row r="552" spans="14:51" x14ac:dyDescent="0.55000000000000004">
      <c r="N552" s="170">
        <v>34</v>
      </c>
      <c r="O552" s="199">
        <f t="shared" si="314"/>
        <v>2187761.6239495561</v>
      </c>
      <c r="P552" s="189" t="str">
        <f t="shared" si="315"/>
        <v>1078.86904761905</v>
      </c>
      <c r="Q552" s="160" t="str">
        <f t="shared" si="316"/>
        <v>1+429565.99035035i</v>
      </c>
      <c r="R552" s="160">
        <f t="shared" si="324"/>
        <v>429565.99035151396</v>
      </c>
      <c r="S552" s="160">
        <f t="shared" si="325"/>
        <v>1.5707939988638628</v>
      </c>
      <c r="T552" s="160" t="str">
        <f t="shared" si="317"/>
        <v>1+0.274922233824224i</v>
      </c>
      <c r="U552" s="160">
        <f t="shared" si="326"/>
        <v>1.0371028081395313</v>
      </c>
      <c r="V552" s="160">
        <f t="shared" si="327"/>
        <v>0.26829391087399312</v>
      </c>
      <c r="W552" s="98" t="str">
        <f t="shared" si="318"/>
        <v>1-198.834756391032i</v>
      </c>
      <c r="X552" s="160">
        <f t="shared" si="328"/>
        <v>198.83727102603535</v>
      </c>
      <c r="Y552" s="160">
        <f t="shared" si="329"/>
        <v>-1.565767067388814</v>
      </c>
      <c r="Z552" s="98" t="str">
        <f t="shared" si="319"/>
        <v>-8665.9097749686+15.7939132633346i</v>
      </c>
      <c r="AA552" s="160">
        <f t="shared" si="330"/>
        <v>8665.924167426836</v>
      </c>
      <c r="AB552" s="160">
        <f t="shared" si="331"/>
        <v>3.1397701218318681</v>
      </c>
      <c r="AC552" s="171" t="str">
        <f t="shared" si="332"/>
        <v>0.0000575164938647837+0.0000162373914508449i</v>
      </c>
      <c r="AD552" s="190">
        <f t="shared" si="333"/>
        <v>-84.471128734327877</v>
      </c>
      <c r="AE552" s="169">
        <f t="shared" si="334"/>
        <v>15.764820858564748</v>
      </c>
      <c r="AF552" s="98" t="str">
        <f t="shared" si="320"/>
        <v>-9.95024875621891E-06</v>
      </c>
      <c r="AG552" s="98" t="str">
        <f t="shared" si="321"/>
        <v>13.7598578029024i</v>
      </c>
      <c r="AH552" s="98">
        <f t="shared" si="335"/>
        <v>13.759857802902401</v>
      </c>
      <c r="AI552" s="98">
        <f t="shared" si="336"/>
        <v>1.5707963267948966</v>
      </c>
      <c r="AJ552" s="98" t="str">
        <f t="shared" si="322"/>
        <v>1+137.323793118993i</v>
      </c>
      <c r="AK552" s="98">
        <f t="shared" si="337"/>
        <v>137.32743410035735</v>
      </c>
      <c r="AL552" s="98">
        <f t="shared" si="338"/>
        <v>1.5635143962443268</v>
      </c>
      <c r="AM552" s="98" t="str">
        <f t="shared" si="323"/>
        <v>1+137461.116912112i</v>
      </c>
      <c r="AN552" s="98">
        <f t="shared" si="339"/>
        <v>137461.11691574939</v>
      </c>
      <c r="AO552" s="98">
        <f t="shared" si="340"/>
        <v>1.5707890520104162</v>
      </c>
      <c r="AP552" s="168" t="str">
        <f t="shared" si="341"/>
        <v>-5.26564009889899E-06+0.000723820807596561i</v>
      </c>
      <c r="AQ552" s="98">
        <f t="shared" si="342"/>
        <v>-62.807148895315819</v>
      </c>
      <c r="AR552" s="169">
        <f t="shared" si="343"/>
        <v>90.41680707280743</v>
      </c>
      <c r="AS552" s="168" t="str">
        <f t="shared" si="344"/>
        <v>-1.20558229496545E-08+4.15461347798053E-08i</v>
      </c>
      <c r="AT552" s="190">
        <f t="shared" si="345"/>
        <v>-147.2782776296437</v>
      </c>
      <c r="AU552" s="169">
        <f t="shared" si="346"/>
        <v>106.18162793137212</v>
      </c>
      <c r="AV552" s="225"/>
      <c r="AX552">
        <f t="shared" si="347"/>
        <v>0</v>
      </c>
      <c r="AY552">
        <f t="shared" si="348"/>
        <v>0</v>
      </c>
    </row>
    <row r="553" spans="14:51" x14ac:dyDescent="0.55000000000000004">
      <c r="N553" s="170">
        <v>35</v>
      </c>
      <c r="O553" s="199">
        <f t="shared" si="314"/>
        <v>2238721.1385683389</v>
      </c>
      <c r="P553" s="189" t="str">
        <f t="shared" si="315"/>
        <v>1078.86904761905</v>
      </c>
      <c r="Q553" s="160" t="str">
        <f t="shared" si="316"/>
        <v>1+439571.867647653i</v>
      </c>
      <c r="R553" s="160">
        <f t="shared" si="324"/>
        <v>439571.86764879047</v>
      </c>
      <c r="S553" s="160">
        <f t="shared" si="325"/>
        <v>1.5707940518540426</v>
      </c>
      <c r="T553" s="160" t="str">
        <f t="shared" si="317"/>
        <v>1+0.281325995294498i</v>
      </c>
      <c r="U553" s="160">
        <f t="shared" si="326"/>
        <v>1.0388187116279914</v>
      </c>
      <c r="V553" s="160">
        <f t="shared" si="327"/>
        <v>0.27423787432337793</v>
      </c>
      <c r="W553" s="98" t="str">
        <f t="shared" si="318"/>
        <v>1-203.466212836793i</v>
      </c>
      <c r="X553" s="160">
        <f t="shared" si="328"/>
        <v>203.46867023241478</v>
      </c>
      <c r="Y553" s="160">
        <f t="shared" si="329"/>
        <v>-1.5658815454444557</v>
      </c>
      <c r="Z553" s="98" t="str">
        <f t="shared" si="319"/>
        <v>-9074.36864875096+16.1618007630603i</v>
      </c>
      <c r="AA553" s="160">
        <f t="shared" si="330"/>
        <v>9074.3830411349863</v>
      </c>
      <c r="AB553" s="160">
        <f t="shared" si="331"/>
        <v>3.1398116168808232</v>
      </c>
      <c r="AC553" s="171" t="str">
        <f t="shared" si="332"/>
        <v>0.0000549275710436472+0.000015850337066766i</v>
      </c>
      <c r="AD553" s="190">
        <f t="shared" si="333"/>
        <v>-84.856819069429861</v>
      </c>
      <c r="AE553" s="169">
        <f t="shared" si="334"/>
        <v>16.096445241069954</v>
      </c>
      <c r="AF553" s="98" t="str">
        <f t="shared" si="320"/>
        <v>-9.95024875621891E-06</v>
      </c>
      <c r="AG553" s="98" t="str">
        <f t="shared" si="321"/>
        <v>14.0803660644897i</v>
      </c>
      <c r="AH553" s="98">
        <f t="shared" si="335"/>
        <v>14.0803660644897</v>
      </c>
      <c r="AI553" s="98">
        <f t="shared" si="336"/>
        <v>1.5707963267948966</v>
      </c>
      <c r="AJ553" s="98" t="str">
        <f t="shared" si="322"/>
        <v>1+140.522475172077i</v>
      </c>
      <c r="AK553" s="98">
        <f t="shared" si="337"/>
        <v>140.52603327670997</v>
      </c>
      <c r="AL553" s="98">
        <f t="shared" si="338"/>
        <v>1.5636801475593958</v>
      </c>
      <c r="AM553" s="98" t="str">
        <f t="shared" si="323"/>
        <v>1+140662.997647249i</v>
      </c>
      <c r="AN553" s="98">
        <f t="shared" si="339"/>
        <v>140662.99765080362</v>
      </c>
      <c r="AO553" s="98">
        <f t="shared" si="340"/>
        <v>1.5707892176047278</v>
      </c>
      <c r="AP553" s="168" t="str">
        <f t="shared" si="341"/>
        <v>-5.02865925622238E-06+0.000707346320912271i</v>
      </c>
      <c r="AQ553" s="98">
        <f t="shared" si="342"/>
        <v>-63.007138530684841</v>
      </c>
      <c r="AR553" s="169">
        <f t="shared" si="343"/>
        <v>90.407319709860403</v>
      </c>
      <c r="AS553" s="168" t="str">
        <f t="shared" si="344"/>
        <v>-1.14878896479468E-08+3.87731093501662E-08i</v>
      </c>
      <c r="AT553" s="190">
        <f t="shared" si="345"/>
        <v>-147.8639576001147</v>
      </c>
      <c r="AU553" s="169">
        <f t="shared" si="346"/>
        <v>106.50376495093039</v>
      </c>
      <c r="AV553" s="225"/>
      <c r="AX553">
        <f t="shared" si="347"/>
        <v>0</v>
      </c>
      <c r="AY553">
        <f t="shared" si="348"/>
        <v>0</v>
      </c>
    </row>
    <row r="554" spans="14:51" x14ac:dyDescent="0.55000000000000004">
      <c r="N554" s="170">
        <v>36</v>
      </c>
      <c r="O554" s="199">
        <f t="shared" si="314"/>
        <v>2290867.6527677765</v>
      </c>
      <c r="P554" s="189" t="str">
        <f t="shared" si="315"/>
        <v>1078.86904761905</v>
      </c>
      <c r="Q554" s="160" t="str">
        <f t="shared" si="316"/>
        <v>1+449810.811767609i</v>
      </c>
      <c r="R554" s="160">
        <f t="shared" si="324"/>
        <v>449810.81176872062</v>
      </c>
      <c r="S554" s="160">
        <f t="shared" si="325"/>
        <v>1.5707941036380186</v>
      </c>
      <c r="T554" s="160" t="str">
        <f t="shared" si="317"/>
        <v>1+0.28787891953127i</v>
      </c>
      <c r="U554" s="160">
        <f t="shared" si="326"/>
        <v>1.0406124505840257</v>
      </c>
      <c r="V554" s="160">
        <f t="shared" si="327"/>
        <v>0.2802997779153415</v>
      </c>
      <c r="W554" s="98" t="str">
        <f t="shared" si="318"/>
        <v>1-208.205549761796i</v>
      </c>
      <c r="X554" s="160">
        <f t="shared" si="328"/>
        <v>208.2079512209169</v>
      </c>
      <c r="Y554" s="160">
        <f t="shared" si="329"/>
        <v>-1.5659934177858881</v>
      </c>
      <c r="Z554" s="98" t="str">
        <f t="shared" si="319"/>
        <v>-9502.07759619337+16.5382574634775i</v>
      </c>
      <c r="AA554" s="160">
        <f t="shared" si="330"/>
        <v>9502.0919885065268</v>
      </c>
      <c r="AB554" s="160">
        <f t="shared" si="331"/>
        <v>3.1398521667755883</v>
      </c>
      <c r="AC554" s="171" t="str">
        <f t="shared" si="332"/>
        <v>0.000052455191309985+0.0000154732577811882i</v>
      </c>
      <c r="AD554" s="190">
        <f t="shared" si="333"/>
        <v>-85.241881169944506</v>
      </c>
      <c r="AE554" s="169">
        <f t="shared" si="334"/>
        <v>16.435030614863344</v>
      </c>
      <c r="AF554" s="98" t="str">
        <f t="shared" si="320"/>
        <v>-9.95024875621891E-06</v>
      </c>
      <c r="AG554" s="98" t="str">
        <f t="shared" si="321"/>
        <v>14.40833992254i</v>
      </c>
      <c r="AH554" s="98">
        <f t="shared" si="335"/>
        <v>14.40833992254</v>
      </c>
      <c r="AI554" s="98">
        <f t="shared" si="336"/>
        <v>1.5707963267948966</v>
      </c>
      <c r="AJ554" s="98" t="str">
        <f t="shared" si="322"/>
        <v>1+143.795664101533i</v>
      </c>
      <c r="AK554" s="98">
        <f t="shared" si="337"/>
        <v>143.79914121579762</v>
      </c>
      <c r="AL554" s="98">
        <f t="shared" si="338"/>
        <v>1.563842126291741</v>
      </c>
      <c r="AM554" s="98" t="str">
        <f t="shared" si="323"/>
        <v>1+143939.459765635i</v>
      </c>
      <c r="AN554" s="98">
        <f t="shared" si="339"/>
        <v>143939.45976910868</v>
      </c>
      <c r="AO554" s="98">
        <f t="shared" si="340"/>
        <v>1.5707893794296528</v>
      </c>
      <c r="AP554" s="168" t="str">
        <f t="shared" si="341"/>
        <v>-4.80234325252002E-06+0.000691246726773868i</v>
      </c>
      <c r="AQ554" s="98">
        <f t="shared" si="342"/>
        <v>-63.207128632515925</v>
      </c>
      <c r="AR554" s="169">
        <f t="shared" si="343"/>
        <v>90.398048284011367</v>
      </c>
      <c r="AS554" s="168" t="str">
        <f t="shared" si="344"/>
        <v>-1.09477466278218E-08+3.61851714002242E-08i</v>
      </c>
      <c r="AT554" s="190">
        <f t="shared" si="345"/>
        <v>-148.44900980246041</v>
      </c>
      <c r="AU554" s="169">
        <f t="shared" si="346"/>
        <v>106.83307889887473</v>
      </c>
      <c r="AV554" s="225"/>
      <c r="AX554">
        <f t="shared" si="347"/>
        <v>0</v>
      </c>
      <c r="AY554">
        <f t="shared" si="348"/>
        <v>0</v>
      </c>
    </row>
    <row r="555" spans="14:51" x14ac:dyDescent="0.55000000000000004">
      <c r="N555" s="170">
        <v>37</v>
      </c>
      <c r="O555" s="199">
        <f t="shared" si="314"/>
        <v>2344228.8153199251</v>
      </c>
      <c r="P555" s="189" t="str">
        <f t="shared" si="315"/>
        <v>1078.86904761905</v>
      </c>
      <c r="Q555" s="160" t="str">
        <f t="shared" si="316"/>
        <v>1+460288.251533912i</v>
      </c>
      <c r="R555" s="160">
        <f t="shared" si="324"/>
        <v>460288.25153499818</v>
      </c>
      <c r="S555" s="160">
        <f t="shared" si="325"/>
        <v>1.5707941542432473</v>
      </c>
      <c r="T555" s="160" t="str">
        <f t="shared" si="317"/>
        <v>1+0.294584480981704i</v>
      </c>
      <c r="U555" s="160">
        <f t="shared" si="326"/>
        <v>1.0424874178786332</v>
      </c>
      <c r="V555" s="160">
        <f t="shared" si="327"/>
        <v>0.28648105301686061</v>
      </c>
      <c r="W555" s="98" t="str">
        <f t="shared" si="318"/>
        <v>1-213.055280025208i</v>
      </c>
      <c r="X555" s="160">
        <f t="shared" si="328"/>
        <v>213.05762682105464</v>
      </c>
      <c r="Y555" s="160">
        <f t="shared" si="329"/>
        <v>-1.5661027437180999</v>
      </c>
      <c r="Z555" s="98" t="str">
        <f t="shared" si="319"/>
        <v>-9949.943845317+16.9234829669114i</v>
      </c>
      <c r="AA555" s="160">
        <f t="shared" si="330"/>
        <v>9949.9582375624759</v>
      </c>
      <c r="AB555" s="160">
        <f t="shared" si="331"/>
        <v>3.1398917930713282</v>
      </c>
      <c r="AC555" s="171" t="str">
        <f t="shared" si="332"/>
        <v>0.0000500941073925643+0.0000151058487745492i</v>
      </c>
      <c r="AD555" s="190">
        <f t="shared" si="333"/>
        <v>-85.626290142924546</v>
      </c>
      <c r="AE555" s="169">
        <f t="shared" si="334"/>
        <v>16.780654356712933</v>
      </c>
      <c r="AF555" s="98" t="str">
        <f t="shared" si="320"/>
        <v>-9.95024875621891E-06</v>
      </c>
      <c r="AG555" s="98" t="str">
        <f t="shared" si="321"/>
        <v>14.7439532731342i</v>
      </c>
      <c r="AH555" s="98">
        <f t="shared" si="335"/>
        <v>14.743953273134199</v>
      </c>
      <c r="AI555" s="98">
        <f t="shared" si="336"/>
        <v>1.5707963267948966</v>
      </c>
      <c r="AJ555" s="98" t="str">
        <f t="shared" si="322"/>
        <v>1+147.145095395457i</v>
      </c>
      <c r="AK555" s="98">
        <f t="shared" si="337"/>
        <v>147.14849336278692</v>
      </c>
      <c r="AL555" s="98">
        <f t="shared" si="338"/>
        <v>1.5640004182906118</v>
      </c>
      <c r="AM555" s="98" t="str">
        <f t="shared" si="323"/>
        <v>1+147292.240490852i</v>
      </c>
      <c r="AN555" s="98">
        <f t="shared" si="339"/>
        <v>147292.24049424665</v>
      </c>
      <c r="AO555" s="98">
        <f t="shared" si="340"/>
        <v>1.5707895375709928</v>
      </c>
      <c r="AP555" s="168" t="str">
        <f t="shared" si="341"/>
        <v>-4.58621218387174E-06+0.000675513499096872i</v>
      </c>
      <c r="AQ555" s="98">
        <f t="shared" si="342"/>
        <v>-63.40711917981703</v>
      </c>
      <c r="AR555" s="169">
        <f t="shared" si="343"/>
        <v>90.388987881376735</v>
      </c>
      <c r="AS555" s="168" t="str">
        <f t="shared" si="344"/>
        <v>-1.04339469681879E-08+3.3769967141188E-08i</v>
      </c>
      <c r="AT555" s="190">
        <f t="shared" si="345"/>
        <v>-149.03340932274159</v>
      </c>
      <c r="AU555" s="169">
        <f t="shared" si="346"/>
        <v>107.16964223808971</v>
      </c>
      <c r="AV555" s="225"/>
      <c r="AX555">
        <f t="shared" si="347"/>
        <v>0</v>
      </c>
      <c r="AY555">
        <f t="shared" si="348"/>
        <v>0</v>
      </c>
    </row>
    <row r="556" spans="14:51" x14ac:dyDescent="0.55000000000000004">
      <c r="N556" s="170">
        <v>38</v>
      </c>
      <c r="O556" s="199">
        <f t="shared" si="314"/>
        <v>2398832.9190194933</v>
      </c>
      <c r="P556" s="189" t="str">
        <f t="shared" si="315"/>
        <v>1078.86904761905</v>
      </c>
      <c r="Q556" s="160" t="str">
        <f t="shared" si="316"/>
        <v>1+471009.742223813i</v>
      </c>
      <c r="R556" s="160">
        <f t="shared" si="324"/>
        <v>471009.74222487456</v>
      </c>
      <c r="S556" s="160">
        <f t="shared" si="325"/>
        <v>1.5707942036965605</v>
      </c>
      <c r="T556" s="160" t="str">
        <f t="shared" si="317"/>
        <v>1+0.30144623502324i</v>
      </c>
      <c r="U556" s="160">
        <f t="shared" si="326"/>
        <v>1.0444471420850776</v>
      </c>
      <c r="V556" s="160">
        <f t="shared" si="327"/>
        <v>0.29278308689628474</v>
      </c>
      <c r="W556" s="98" t="str">
        <f t="shared" si="318"/>
        <v>1-218.017975018208i</v>
      </c>
      <c r="X556" s="160">
        <f t="shared" si="328"/>
        <v>218.02026839502781</v>
      </c>
      <c r="Y556" s="160">
        <f t="shared" si="329"/>
        <v>-1.5662095811966881</v>
      </c>
      <c r="Z556" s="98" t="str">
        <f t="shared" si="319"/>
        <v>-10418.9173804828+17.3176815250232i</v>
      </c>
      <c r="AA556" s="160">
        <f t="shared" si="330"/>
        <v>10418.931772663644</v>
      </c>
      <c r="AB556" s="160">
        <f t="shared" si="331"/>
        <v>3.1399305168298244</v>
      </c>
      <c r="AC556" s="171" t="str">
        <f t="shared" si="332"/>
        <v>0.0000478393083594763+0.0000147478173582951i</v>
      </c>
      <c r="AD556" s="190">
        <f t="shared" si="333"/>
        <v>-86.010020296078835</v>
      </c>
      <c r="AE556" s="169">
        <f t="shared" si="334"/>
        <v>17.133391422340637</v>
      </c>
      <c r="AF556" s="98" t="str">
        <f t="shared" si="320"/>
        <v>-9.95024875621891E-06</v>
      </c>
      <c r="AG556" s="98" t="str">
        <f t="shared" si="321"/>
        <v>15.0873840629132i</v>
      </c>
      <c r="AH556" s="98">
        <f t="shared" si="335"/>
        <v>15.0873840629132</v>
      </c>
      <c r="AI556" s="98">
        <f t="shared" si="336"/>
        <v>1.5707963267948966</v>
      </c>
      <c r="AJ556" s="98" t="str">
        <f t="shared" si="322"/>
        <v>1+150.572544966653i</v>
      </c>
      <c r="AK556" s="98">
        <f t="shared" si="337"/>
        <v>150.57586558852896</v>
      </c>
      <c r="AL556" s="98">
        <f t="shared" si="338"/>
        <v>1.5641551074527729</v>
      </c>
      <c r="AM556" s="98" t="str">
        <f t="shared" si="323"/>
        <v>1+150723.11751162i</v>
      </c>
      <c r="AN556" s="98">
        <f t="shared" si="339"/>
        <v>150723.11751493733</v>
      </c>
      <c r="AO556" s="98">
        <f t="shared" si="340"/>
        <v>1.5707896921125963</v>
      </c>
      <c r="AP556" s="168" t="str">
        <f t="shared" si="341"/>
        <v>-4.37980773741848E-06+0.000660138305372918i</v>
      </c>
      <c r="AQ556" s="98">
        <f t="shared" si="342"/>
        <v>-63.607110152540436</v>
      </c>
      <c r="AR556" s="169">
        <f t="shared" si="343"/>
        <v>90.380133699830125</v>
      </c>
      <c r="AS556" s="168" t="str">
        <f t="shared" si="344"/>
        <v>-9.94512613175982E-09+3.15159673460613E-08i</v>
      </c>
      <c r="AT556" s="190">
        <f t="shared" si="345"/>
        <v>-149.61713044861926</v>
      </c>
      <c r="AU556" s="169">
        <f t="shared" si="346"/>
        <v>107.51352512217073</v>
      </c>
      <c r="AV556" s="225"/>
      <c r="AX556">
        <f t="shared" si="347"/>
        <v>0</v>
      </c>
      <c r="AY556">
        <f t="shared" si="348"/>
        <v>0</v>
      </c>
    </row>
    <row r="557" spans="14:51" x14ac:dyDescent="0.55000000000000004">
      <c r="N557" s="170">
        <v>39</v>
      </c>
      <c r="O557" s="199">
        <f t="shared" si="314"/>
        <v>2454708.915685033</v>
      </c>
      <c r="P557" s="189" t="str">
        <f t="shared" si="315"/>
        <v>1078.86904761905</v>
      </c>
      <c r="Q557" s="160" t="str">
        <f t="shared" si="316"/>
        <v>1+481980.968513591i</v>
      </c>
      <c r="R557" s="160">
        <f t="shared" si="324"/>
        <v>481980.96851462842</v>
      </c>
      <c r="S557" s="160">
        <f t="shared" si="325"/>
        <v>1.5707942520241789</v>
      </c>
      <c r="T557" s="160" t="str">
        <f t="shared" si="317"/>
        <v>1+0.308467819848698i</v>
      </c>
      <c r="U557" s="160">
        <f t="shared" si="326"/>
        <v>1.0464952918585964</v>
      </c>
      <c r="V557" s="160">
        <f t="shared" si="327"/>
        <v>0.29920721790894383</v>
      </c>
      <c r="W557" s="98" t="str">
        <f t="shared" si="318"/>
        <v>1-223.096266027372i</v>
      </c>
      <c r="X557" s="160">
        <f t="shared" si="328"/>
        <v>223.09850720109256</v>
      </c>
      <c r="Y557" s="160">
        <f t="shared" si="329"/>
        <v>-1.5663139868585367</v>
      </c>
      <c r="Z557" s="98" t="str">
        <f t="shared" si="319"/>
        <v>-10909.9929574352+17.721062147106i</v>
      </c>
      <c r="AA557" s="160">
        <f t="shared" si="330"/>
        <v>10910.00734955432</v>
      </c>
      <c r="AB557" s="160">
        <f t="shared" si="331"/>
        <v>3.1399683586308922</v>
      </c>
      <c r="AC557" s="171" t="str">
        <f t="shared" si="332"/>
        <v>0.0000456860089658726+0.0000143988823519076i</v>
      </c>
      <c r="AD557" s="190">
        <f t="shared" si="333"/>
        <v>-86.393045130614183</v>
      </c>
      <c r="AE557" s="169">
        <f t="shared" si="334"/>
        <v>17.493314068164988</v>
      </c>
      <c r="AF557" s="98" t="str">
        <f t="shared" si="320"/>
        <v>-9.95024875621891E-06</v>
      </c>
      <c r="AG557" s="98" t="str">
        <f t="shared" si="321"/>
        <v>15.4388143834274i</v>
      </c>
      <c r="AH557" s="98">
        <f t="shared" si="335"/>
        <v>15.438814383427401</v>
      </c>
      <c r="AI557" s="98">
        <f t="shared" si="336"/>
        <v>1.5707963267948966</v>
      </c>
      <c r="AJ557" s="98" t="str">
        <f t="shared" si="322"/>
        <v>1+154.079830094255i</v>
      </c>
      <c r="AK557" s="98">
        <f t="shared" si="337"/>
        <v>154.08307513115929</v>
      </c>
      <c r="AL557" s="98">
        <f t="shared" si="338"/>
        <v>1.5643062757668371</v>
      </c>
      <c r="AM557" s="98" t="str">
        <f t="shared" si="323"/>
        <v>1+154233.909924349i</v>
      </c>
      <c r="AN557" s="98">
        <f t="shared" si="339"/>
        <v>154233.90992759084</v>
      </c>
      <c r="AO557" s="98">
        <f t="shared" si="340"/>
        <v>1.5707898431364036</v>
      </c>
      <c r="AP557" s="168" t="str">
        <f t="shared" si="341"/>
        <v>-4.18269222032296E-06+0.000645113002296833i</v>
      </c>
      <c r="AQ557" s="98">
        <f t="shared" si="342"/>
        <v>-63.80710153154071</v>
      </c>
      <c r="AR557" s="169">
        <f t="shared" si="343"/>
        <v>90.371481046464893</v>
      </c>
      <c r="AS557" s="168" t="str">
        <f t="shared" si="344"/>
        <v>-9.47999673803715E-09+2.94124123137394E-08i</v>
      </c>
      <c r="AT557" s="190">
        <f t="shared" si="345"/>
        <v>-150.20014666215491</v>
      </c>
      <c r="AU557" s="169">
        <f t="shared" si="346"/>
        <v>107.8647951146299</v>
      </c>
      <c r="AV557" s="225"/>
      <c r="AX557">
        <f t="shared" si="347"/>
        <v>0</v>
      </c>
      <c r="AY557">
        <f t="shared" si="348"/>
        <v>0</v>
      </c>
    </row>
    <row r="558" spans="14:51" x14ac:dyDescent="0.55000000000000004">
      <c r="N558" s="170">
        <v>40</v>
      </c>
      <c r="O558" s="199">
        <f t="shared" si="314"/>
        <v>2511886.431509587</v>
      </c>
      <c r="P558" s="189" t="str">
        <f t="shared" si="315"/>
        <v>1078.86904761905</v>
      </c>
      <c r="Q558" s="160" t="str">
        <f t="shared" si="316"/>
        <v>1+493207.74749265i</v>
      </c>
      <c r="R558" s="160">
        <f t="shared" si="324"/>
        <v>493207.74749366374</v>
      </c>
      <c r="S558" s="160">
        <f t="shared" si="325"/>
        <v>1.5707942992517263</v>
      </c>
      <c r="T558" s="160" t="str">
        <f t="shared" si="317"/>
        <v>1+0.315652958395296i</v>
      </c>
      <c r="U558" s="160">
        <f t="shared" si="326"/>
        <v>1.0486356803693562</v>
      </c>
      <c r="V558" s="160">
        <f t="shared" si="327"/>
        <v>0.30575473047029689</v>
      </c>
      <c r="W558" s="98" t="str">
        <f t="shared" si="318"/>
        <v>1-228.292845629814i</v>
      </c>
      <c r="X558" s="160">
        <f t="shared" si="328"/>
        <v>228.29503578868744</v>
      </c>
      <c r="Y558" s="160">
        <f t="shared" si="329"/>
        <v>-1.5664160160517997</v>
      </c>
      <c r="Z558" s="98" t="str">
        <f t="shared" si="319"/>
        <v>-11424.2122133128+18.1338387109055i</v>
      </c>
      <c r="AA558" s="160">
        <f t="shared" si="330"/>
        <v>11424.226605372975</v>
      </c>
      <c r="AB558" s="160">
        <f t="shared" si="331"/>
        <v>3.1400053385835163</v>
      </c>
      <c r="AC558" s="171" t="str">
        <f t="shared" si="332"/>
        <v>0.000043629639482468+0.0000140587734972895i</v>
      </c>
      <c r="AD558" s="190">
        <f t="shared" si="333"/>
        <v>-86.775337335764391</v>
      </c>
      <c r="AE558" s="169">
        <f t="shared" si="334"/>
        <v>17.860491560927201</v>
      </c>
      <c r="AF558" s="98" t="str">
        <f t="shared" si="320"/>
        <v>-9.95024875621891E-06</v>
      </c>
      <c r="AG558" s="98" t="str">
        <f t="shared" si="321"/>
        <v>15.7984305676846i</v>
      </c>
      <c r="AH558" s="98">
        <f t="shared" si="335"/>
        <v>15.7984305676846</v>
      </c>
      <c r="AI558" s="98">
        <f t="shared" si="336"/>
        <v>1.5707963267948966</v>
      </c>
      <c r="AJ558" s="98" t="str">
        <f t="shared" si="322"/>
        <v>1+157.668810387261i</v>
      </c>
      <c r="AK558" s="98">
        <f t="shared" si="337"/>
        <v>157.6719815596102</v>
      </c>
      <c r="AL558" s="98">
        <f t="shared" si="338"/>
        <v>1.5644540033565935</v>
      </c>
      <c r="AM558" s="98" t="str">
        <f t="shared" si="323"/>
        <v>1+157826.479197648i</v>
      </c>
      <c r="AN558" s="98">
        <f t="shared" si="339"/>
        <v>157826.47920081601</v>
      </c>
      <c r="AO558" s="98">
        <f t="shared" si="340"/>
        <v>1.5707899907224894</v>
      </c>
      <c r="AP558" s="168" t="str">
        <f t="shared" si="341"/>
        <v>-3.99444763237208E-06+0.000630429631491086i</v>
      </c>
      <c r="AQ558" s="98">
        <f t="shared" si="342"/>
        <v>-64.007093298533917</v>
      </c>
      <c r="AR558" s="169">
        <f t="shared" si="343"/>
        <v>90.363025335114045</v>
      </c>
      <c r="AS558" s="168" t="str">
        <f t="shared" si="344"/>
        <v>-9.03734370524486E-09+2.74492605065109E-08i</v>
      </c>
      <c r="AT558" s="190">
        <f t="shared" si="345"/>
        <v>-150.78243063429829</v>
      </c>
      <c r="AU558" s="169">
        <f t="shared" si="346"/>
        <v>108.22351689604126</v>
      </c>
      <c r="AV558" s="225"/>
      <c r="AX558">
        <f t="shared" si="347"/>
        <v>0</v>
      </c>
      <c r="AY558">
        <f t="shared" si="348"/>
        <v>0</v>
      </c>
    </row>
    <row r="559" spans="14:51" x14ac:dyDescent="0.55000000000000004">
      <c r="N559" s="170">
        <v>41</v>
      </c>
      <c r="O559" s="199">
        <f t="shared" si="314"/>
        <v>2570395.782768866</v>
      </c>
      <c r="P559" s="189" t="str">
        <f t="shared" si="315"/>
        <v>1078.86904761905</v>
      </c>
      <c r="Q559" s="160" t="str">
        <f t="shared" si="316"/>
        <v>1+504696.031747803i</v>
      </c>
      <c r="R559" s="160">
        <f t="shared" si="324"/>
        <v>504696.03174879361</v>
      </c>
      <c r="S559" s="160">
        <f t="shared" si="325"/>
        <v>1.5707943454042435</v>
      </c>
      <c r="T559" s="160" t="str">
        <f t="shared" si="317"/>
        <v>1+0.323005460318594i</v>
      </c>
      <c r="U559" s="160">
        <f t="shared" si="326"/>
        <v>1.0508722697814548</v>
      </c>
      <c r="V559" s="160">
        <f t="shared" si="327"/>
        <v>0.3124268498190122</v>
      </c>
      <c r="W559" s="98" t="str">
        <f t="shared" si="318"/>
        <v>1-233.61046912082i</v>
      </c>
      <c r="X559" s="160">
        <f t="shared" si="328"/>
        <v>233.61260942605298</v>
      </c>
      <c r="Y559" s="160">
        <f t="shared" si="329"/>
        <v>-1.5665157228652042</v>
      </c>
      <c r="Z559" s="98" t="str">
        <f t="shared" si="319"/>
        <v>-11962.6658760996+18.556230076019i</v>
      </c>
      <c r="AA559" s="160">
        <f t="shared" si="330"/>
        <v>11962.680268103484</v>
      </c>
      <c r="AB559" s="160">
        <f t="shared" si="331"/>
        <v>3.140041476336731</v>
      </c>
      <c r="AC559" s="171" t="str">
        <f t="shared" si="332"/>
        <v>0.0000416658359830662+0.0000137272309081097i</v>
      </c>
      <c r="AD559" s="190">
        <f t="shared" si="333"/>
        <v>-87.156868785181203</v>
      </c>
      <c r="AE559" s="169">
        <f t="shared" si="334"/>
        <v>18.23498987533457</v>
      </c>
      <c r="AF559" s="98" t="str">
        <f t="shared" si="320"/>
        <v>-9.95024875621891E-06</v>
      </c>
      <c r="AG559" s="98" t="str">
        <f t="shared" si="321"/>
        <v>16.1664232889456i</v>
      </c>
      <c r="AH559" s="98">
        <f t="shared" si="335"/>
        <v>16.166423288945602</v>
      </c>
      <c r="AI559" s="98">
        <f t="shared" si="336"/>
        <v>1.5707963267948966</v>
      </c>
      <c r="AJ559" s="98" t="str">
        <f t="shared" si="322"/>
        <v>1+161.341388770526i</v>
      </c>
      <c r="AK559" s="98">
        <f t="shared" si="337"/>
        <v>161.34448775958234</v>
      </c>
      <c r="AL559" s="98">
        <f t="shared" si="338"/>
        <v>1.5645983685233591</v>
      </c>
      <c r="AM559" s="98" t="str">
        <f t="shared" si="323"/>
        <v>1+161502.730159297i</v>
      </c>
      <c r="AN559" s="98">
        <f t="shared" si="339"/>
        <v>161502.73016239295</v>
      </c>
      <c r="AO559" s="98">
        <f t="shared" si="340"/>
        <v>1.5707901349491056</v>
      </c>
      <c r="AP559" s="168" t="str">
        <f t="shared" si="341"/>
        <v>-3.81467478026094E-06+0.000616080415325454i</v>
      </c>
      <c r="AQ559" s="98">
        <f t="shared" si="342"/>
        <v>-64.207085436058804</v>
      </c>
      <c r="AR559" s="169">
        <f t="shared" si="343"/>
        <v>90.354762083926062</v>
      </c>
      <c r="AS559" s="168" t="str">
        <f t="shared" si="344"/>
        <v>-8.61601973285972E-09+2.56171406157817E-08i</v>
      </c>
      <c r="AT559" s="190">
        <f t="shared" si="345"/>
        <v>-151.36395422123999</v>
      </c>
      <c r="AU559" s="169">
        <f t="shared" si="346"/>
        <v>108.58975195926062</v>
      </c>
      <c r="AV559" s="225"/>
      <c r="AX559">
        <f t="shared" si="347"/>
        <v>0</v>
      </c>
      <c r="AY559">
        <f t="shared" si="348"/>
        <v>0</v>
      </c>
    </row>
    <row r="560" spans="14:51" ht="14.7" thickBot="1" x14ac:dyDescent="0.6">
      <c r="N560" s="170">
        <v>42</v>
      </c>
      <c r="O560" s="199">
        <f t="shared" si="314"/>
        <v>2630267.9918953842</v>
      </c>
      <c r="P560" s="189" t="str">
        <f t="shared" si="315"/>
        <v>1078.86904761905</v>
      </c>
      <c r="Q560" s="160" t="str">
        <f t="shared" si="316"/>
        <v>1+516451.912519431i</v>
      </c>
      <c r="R560" s="160">
        <f t="shared" si="324"/>
        <v>516451.91252039908</v>
      </c>
      <c r="S560" s="160">
        <f t="shared" si="325"/>
        <v>1.5707943905062012</v>
      </c>
      <c r="T560" s="160" t="str">
        <f t="shared" si="317"/>
        <v>1+0.330529224012436i</v>
      </c>
      <c r="U560" s="160">
        <f t="shared" si="326"/>
        <v>1.0532091757700666</v>
      </c>
      <c r="V560" s="160">
        <f t="shared" si="327"/>
        <v>0.31922473657390671</v>
      </c>
      <c r="W560" s="98" t="str">
        <f t="shared" si="318"/>
        <v>1-239.051955974754i</v>
      </c>
      <c r="X560" s="160">
        <f t="shared" si="328"/>
        <v>239.05404756112318</v>
      </c>
      <c r="Y560" s="160">
        <f t="shared" si="329"/>
        <v>-1.5666131601566877</v>
      </c>
      <c r="Z560" s="98" t="str">
        <f t="shared" si="319"/>
        <v>-12526.4960782062+18.9884601999396i</v>
      </c>
      <c r="AA560" s="160">
        <f t="shared" si="330"/>
        <v>12526.510470156329</v>
      </c>
      <c r="AB560" s="160">
        <f t="shared" si="331"/>
        <v>3.1400767910902365</v>
      </c>
      <c r="AC560" s="196" t="str">
        <f t="shared" si="332"/>
        <v>0.0000397904310703274+0.0000134040045518637i</v>
      </c>
      <c r="AD560" s="197">
        <f t="shared" si="333"/>
        <v>-87.53761053537319</v>
      </c>
      <c r="AE560" s="198">
        <f t="shared" si="334"/>
        <v>18.616871379946595</v>
      </c>
      <c r="AF560" s="98" t="str">
        <f t="shared" si="320"/>
        <v>-9.95024875621891E-06</v>
      </c>
      <c r="AG560" s="98" t="str">
        <f t="shared" si="321"/>
        <v>16.5429876618225i</v>
      </c>
      <c r="AH560" s="98">
        <f t="shared" si="335"/>
        <v>16.542987661822501</v>
      </c>
      <c r="AI560" s="98">
        <f t="shared" si="336"/>
        <v>1.5707963267948966</v>
      </c>
      <c r="AJ560" s="98" t="str">
        <f t="shared" si="322"/>
        <v>1+165.099512493724i</v>
      </c>
      <c r="AK560" s="98">
        <f t="shared" si="337"/>
        <v>165.1025409424862</v>
      </c>
      <c r="AL560" s="98">
        <f t="shared" si="338"/>
        <v>1.5647394477873728</v>
      </c>
      <c r="AM560" s="98" t="str">
        <f t="shared" si="323"/>
        <v>1+165264.612006218i</v>
      </c>
      <c r="AN560" s="98">
        <f t="shared" si="339"/>
        <v>165264.61200924346</v>
      </c>
      <c r="AO560" s="98">
        <f t="shared" si="340"/>
        <v>1.5707902758927232</v>
      </c>
      <c r="AP560" s="191" t="str">
        <f t="shared" si="341"/>
        <v>-3.64299243168759E-06+0.000602057752829873i</v>
      </c>
      <c r="AQ560" s="195">
        <f t="shared" si="342"/>
        <v>-64.407077927440199</v>
      </c>
      <c r="AR560" s="198">
        <f t="shared" si="343"/>
        <v>90.346686912995708</v>
      </c>
      <c r="AS560" s="191" t="str">
        <f t="shared" si="344"/>
        <v>-8.21494109865924E-09+2.39073068271965E-08i</v>
      </c>
      <c r="AT560" s="197">
        <f t="shared" si="345"/>
        <v>-151.94468846281342</v>
      </c>
      <c r="AU560" s="198">
        <f t="shared" si="346"/>
        <v>108.96355829294234</v>
      </c>
      <c r="AV560" s="225"/>
    </row>
    <row r="561" spans="14:30" x14ac:dyDescent="0.55000000000000004">
      <c r="N561" s="170"/>
      <c r="P561" s="189"/>
      <c r="Q561" s="160"/>
      <c r="R561" s="160"/>
      <c r="S561" s="160"/>
      <c r="T561" s="160"/>
      <c r="U561" s="160"/>
      <c r="V561" s="160"/>
      <c r="X561" s="160"/>
      <c r="Y561" s="160"/>
      <c r="AA561" s="160"/>
      <c r="AB561" s="160"/>
      <c r="AC561" s="160"/>
      <c r="AD561" s="190"/>
    </row>
    <row r="562" spans="14:30" x14ac:dyDescent="0.55000000000000004">
      <c r="N562" s="170"/>
      <c r="P562" s="189"/>
      <c r="Q562" s="160"/>
      <c r="R562" s="160"/>
      <c r="S562" s="160"/>
      <c r="T562" s="160"/>
      <c r="U562" s="160"/>
      <c r="V562" s="160"/>
      <c r="X562" s="160"/>
      <c r="Y562" s="160"/>
      <c r="AA562" s="160"/>
      <c r="AB562" s="160"/>
      <c r="AC562" s="160"/>
      <c r="AD562" s="190"/>
    </row>
    <row r="563" spans="14:30" x14ac:dyDescent="0.55000000000000004">
      <c r="N563" s="170"/>
      <c r="P563" s="189"/>
      <c r="Q563" s="160"/>
      <c r="R563" s="160"/>
      <c r="S563" s="160"/>
      <c r="T563" s="160"/>
      <c r="U563" s="160"/>
      <c r="V563" s="160"/>
      <c r="X563" s="160"/>
      <c r="Y563" s="160"/>
      <c r="AA563" s="160"/>
      <c r="AB563" s="160"/>
      <c r="AC563" s="160"/>
      <c r="AD563" s="190"/>
    </row>
    <row r="564" spans="14:30" x14ac:dyDescent="0.55000000000000004">
      <c r="N564" s="170"/>
      <c r="P564" s="189"/>
      <c r="Q564" s="160"/>
      <c r="R564" s="160"/>
      <c r="S564" s="160"/>
      <c r="T564" s="160"/>
      <c r="U564" s="160"/>
      <c r="V564" s="160"/>
      <c r="X564" s="160"/>
      <c r="Y564" s="160"/>
      <c r="AA564" s="160"/>
      <c r="AB564" s="160"/>
      <c r="AC564" s="160"/>
      <c r="AD564" s="190"/>
    </row>
    <row r="565" spans="14:30" x14ac:dyDescent="0.55000000000000004">
      <c r="N565" s="170"/>
      <c r="P565" s="189"/>
      <c r="Q565" s="160"/>
      <c r="R565" s="160"/>
      <c r="S565" s="160"/>
      <c r="T565" s="160"/>
      <c r="U565" s="160"/>
      <c r="V565" s="160"/>
      <c r="X565" s="160"/>
      <c r="Y565" s="160"/>
      <c r="AA565" s="160"/>
      <c r="AB565" s="160"/>
      <c r="AC565" s="160"/>
      <c r="AD565" s="190"/>
    </row>
    <row r="566" spans="14:30" x14ac:dyDescent="0.55000000000000004">
      <c r="N566" s="170"/>
      <c r="P566" s="189"/>
      <c r="Q566" s="160"/>
      <c r="R566" s="160"/>
      <c r="S566" s="160"/>
      <c r="T566" s="160"/>
      <c r="U566" s="160"/>
      <c r="V566" s="160"/>
      <c r="X566" s="160"/>
      <c r="Y566" s="160"/>
      <c r="AA566" s="160"/>
      <c r="AB566" s="160"/>
      <c r="AC566" s="160"/>
      <c r="AD566" s="190"/>
    </row>
    <row r="567" spans="14:30" x14ac:dyDescent="0.55000000000000004">
      <c r="N567" s="170"/>
      <c r="P567" s="189"/>
      <c r="Q567" s="160"/>
      <c r="R567" s="160"/>
      <c r="S567" s="160"/>
      <c r="T567" s="160"/>
      <c r="U567" s="160"/>
      <c r="V567" s="160"/>
      <c r="X567" s="160"/>
      <c r="Y567" s="160"/>
      <c r="AA567" s="160"/>
      <c r="AB567" s="160"/>
      <c r="AC567" s="160"/>
      <c r="AD567" s="190"/>
    </row>
    <row r="568" spans="14:30" x14ac:dyDescent="0.55000000000000004">
      <c r="N568" s="170"/>
      <c r="P568" s="189"/>
      <c r="Q568" s="160"/>
      <c r="R568" s="160"/>
      <c r="S568" s="160"/>
      <c r="T568" s="160"/>
      <c r="U568" s="160"/>
      <c r="V568" s="160"/>
      <c r="X568" s="160"/>
      <c r="Y568" s="160"/>
      <c r="AA568" s="160"/>
      <c r="AB568" s="160"/>
      <c r="AC568" s="160"/>
      <c r="AD568" s="190"/>
    </row>
    <row r="569" spans="14:30" x14ac:dyDescent="0.55000000000000004">
      <c r="N569" s="170"/>
      <c r="P569" s="189"/>
      <c r="Q569" s="160"/>
      <c r="R569" s="160"/>
      <c r="S569" s="160"/>
      <c r="T569" s="160"/>
      <c r="U569" s="160"/>
      <c r="V569" s="160"/>
      <c r="X569" s="160"/>
      <c r="Y569" s="160"/>
      <c r="AA569" s="160"/>
      <c r="AB569" s="160"/>
      <c r="AC569" s="160"/>
      <c r="AD569" s="190"/>
    </row>
    <row r="570" spans="14:30" x14ac:dyDescent="0.55000000000000004">
      <c r="N570" s="170"/>
      <c r="P570" s="189"/>
      <c r="Q570" s="160"/>
      <c r="R570" s="160"/>
      <c r="S570" s="160"/>
      <c r="T570" s="160"/>
      <c r="U570" s="160"/>
      <c r="V570" s="160"/>
      <c r="X570" s="160"/>
      <c r="Y570" s="160"/>
      <c r="AA570" s="160"/>
      <c r="AB570" s="160"/>
      <c r="AC570" s="160"/>
      <c r="AD570" s="190"/>
    </row>
    <row r="571" spans="14:30" x14ac:dyDescent="0.55000000000000004">
      <c r="N571" s="170"/>
      <c r="P571" s="189"/>
      <c r="Q571" s="160"/>
      <c r="R571" s="160"/>
      <c r="S571" s="160"/>
      <c r="T571" s="160"/>
      <c r="U571" s="160"/>
      <c r="V571" s="160"/>
      <c r="X571" s="160"/>
      <c r="Y571" s="160"/>
      <c r="AA571" s="160"/>
      <c r="AB571" s="160"/>
      <c r="AC571" s="160"/>
      <c r="AD571" s="190"/>
    </row>
    <row r="572" spans="14:30" x14ac:dyDescent="0.55000000000000004">
      <c r="N572" s="170"/>
      <c r="P572" s="189"/>
      <c r="Q572" s="160"/>
      <c r="R572" s="160"/>
      <c r="S572" s="160"/>
      <c r="T572" s="160"/>
      <c r="U572" s="160"/>
      <c r="V572" s="160"/>
      <c r="X572" s="160"/>
      <c r="Y572" s="160"/>
      <c r="AA572" s="160"/>
      <c r="AB572" s="160"/>
      <c r="AC572" s="160"/>
      <c r="AD572" s="190"/>
    </row>
    <row r="573" spans="14:30" x14ac:dyDescent="0.55000000000000004">
      <c r="N573" s="170"/>
      <c r="P573" s="189"/>
      <c r="Q573" s="160"/>
      <c r="R573" s="160"/>
      <c r="S573" s="160"/>
      <c r="T573" s="160"/>
      <c r="U573" s="160"/>
      <c r="V573" s="160"/>
      <c r="X573" s="160"/>
      <c r="Y573" s="160"/>
      <c r="AA573" s="160"/>
      <c r="AB573" s="160"/>
      <c r="AC573" s="160"/>
      <c r="AD573" s="190"/>
    </row>
    <row r="574" spans="14:30" x14ac:dyDescent="0.55000000000000004">
      <c r="N574" s="170"/>
      <c r="P574" s="189"/>
      <c r="Q574" s="160"/>
      <c r="R574" s="160"/>
      <c r="S574" s="160"/>
      <c r="T574" s="160"/>
      <c r="U574" s="160"/>
      <c r="V574" s="160"/>
      <c r="X574" s="160"/>
      <c r="Y574" s="160"/>
      <c r="AA574" s="160"/>
      <c r="AB574" s="160"/>
      <c r="AC574" s="160"/>
      <c r="AD574" s="190"/>
    </row>
    <row r="575" spans="14:30" x14ac:dyDescent="0.55000000000000004">
      <c r="N575" s="170"/>
      <c r="P575" s="189"/>
      <c r="Q575" s="160"/>
      <c r="R575" s="160"/>
      <c r="S575" s="160"/>
      <c r="T575" s="160"/>
      <c r="U575" s="160"/>
      <c r="V575" s="160"/>
      <c r="X575" s="160"/>
      <c r="Y575" s="160"/>
      <c r="AA575" s="160"/>
      <c r="AB575" s="160"/>
      <c r="AC575" s="160"/>
      <c r="AD575" s="190"/>
    </row>
    <row r="576" spans="14:30" x14ac:dyDescent="0.55000000000000004">
      <c r="N576" s="170"/>
      <c r="P576" s="189"/>
      <c r="Q576" s="160"/>
      <c r="R576" s="160"/>
      <c r="S576" s="160"/>
      <c r="T576" s="160"/>
      <c r="U576" s="160"/>
      <c r="V576" s="160"/>
      <c r="X576" s="160"/>
      <c r="Y576" s="160"/>
      <c r="AA576" s="160"/>
      <c r="AB576" s="160"/>
      <c r="AC576" s="160"/>
      <c r="AD576" s="190"/>
    </row>
    <row r="577" spans="14:30" x14ac:dyDescent="0.55000000000000004">
      <c r="N577" s="170"/>
      <c r="P577" s="189"/>
      <c r="Q577" s="160"/>
      <c r="R577" s="160"/>
      <c r="S577" s="160"/>
      <c r="T577" s="160"/>
      <c r="U577" s="160"/>
      <c r="V577" s="160"/>
      <c r="X577" s="160"/>
      <c r="Y577" s="160"/>
      <c r="AA577" s="160"/>
      <c r="AB577" s="160"/>
      <c r="AC577" s="160"/>
      <c r="AD577" s="190"/>
    </row>
    <row r="578" spans="14:30" x14ac:dyDescent="0.55000000000000004">
      <c r="N578" s="170"/>
      <c r="P578" s="189"/>
      <c r="Q578" s="160"/>
      <c r="R578" s="160"/>
      <c r="S578" s="160"/>
      <c r="T578" s="160"/>
      <c r="U578" s="160"/>
      <c r="V578" s="160"/>
      <c r="X578" s="160"/>
      <c r="Y578" s="160"/>
      <c r="AA578" s="160"/>
      <c r="AB578" s="160"/>
      <c r="AC578" s="160"/>
      <c r="AD578" s="190"/>
    </row>
    <row r="579" spans="14:30" x14ac:dyDescent="0.55000000000000004">
      <c r="N579" s="170"/>
      <c r="P579" s="189"/>
      <c r="Q579" s="160"/>
      <c r="R579" s="160"/>
      <c r="S579" s="160"/>
      <c r="T579" s="160"/>
      <c r="U579" s="160"/>
      <c r="V579" s="160"/>
      <c r="X579" s="160"/>
      <c r="Y579" s="160"/>
      <c r="AA579" s="160"/>
      <c r="AB579" s="160"/>
      <c r="AC579" s="160"/>
      <c r="AD579" s="190"/>
    </row>
    <row r="580" spans="14:30" x14ac:dyDescent="0.55000000000000004">
      <c r="N580" s="170"/>
      <c r="P580" s="189"/>
      <c r="Q580" s="160"/>
      <c r="R580" s="160"/>
      <c r="S580" s="160"/>
      <c r="T580" s="160"/>
      <c r="U580" s="160"/>
      <c r="V580" s="160"/>
      <c r="X580" s="160"/>
      <c r="Y580" s="160"/>
      <c r="AA580" s="160"/>
      <c r="AB580" s="160"/>
      <c r="AC580" s="160"/>
      <c r="AD580" s="190"/>
    </row>
    <row r="581" spans="14:30" x14ac:dyDescent="0.55000000000000004">
      <c r="N581" s="170"/>
      <c r="P581" s="189"/>
      <c r="Q581" s="160"/>
      <c r="R581" s="160"/>
      <c r="S581" s="160"/>
      <c r="T581" s="160"/>
      <c r="U581" s="160"/>
      <c r="V581" s="160"/>
      <c r="X581" s="160"/>
      <c r="Y581" s="160"/>
      <c r="AA581" s="160"/>
      <c r="AB581" s="160"/>
      <c r="AC581" s="160"/>
      <c r="AD581" s="190"/>
    </row>
    <row r="582" spans="14:30" x14ac:dyDescent="0.55000000000000004">
      <c r="N582" s="170"/>
      <c r="P582" s="189"/>
      <c r="Q582" s="160"/>
      <c r="R582" s="160"/>
      <c r="S582" s="160"/>
      <c r="T582" s="160"/>
      <c r="U582" s="160"/>
      <c r="V582" s="160"/>
      <c r="X582" s="160"/>
      <c r="Y582" s="160"/>
      <c r="AA582" s="160"/>
      <c r="AB582" s="160"/>
      <c r="AC582" s="160"/>
      <c r="AD582" s="190"/>
    </row>
    <row r="583" spans="14:30" x14ac:dyDescent="0.55000000000000004">
      <c r="N583" s="170"/>
      <c r="P583" s="189"/>
      <c r="Q583" s="160"/>
      <c r="R583" s="160"/>
      <c r="S583" s="160"/>
      <c r="T583" s="160"/>
      <c r="U583" s="160"/>
      <c r="V583" s="160"/>
      <c r="X583" s="160"/>
      <c r="Y583" s="160"/>
      <c r="AA583" s="160"/>
      <c r="AB583" s="160"/>
      <c r="AC583" s="160"/>
      <c r="AD583" s="190"/>
    </row>
    <row r="584" spans="14:30" x14ac:dyDescent="0.55000000000000004">
      <c r="N584" s="170"/>
      <c r="P584" s="189"/>
      <c r="Q584" s="160"/>
      <c r="R584" s="160"/>
      <c r="S584" s="160"/>
      <c r="T584" s="160"/>
      <c r="U584" s="160"/>
      <c r="V584" s="160"/>
      <c r="X584" s="160"/>
      <c r="Y584" s="160"/>
      <c r="AA584" s="160"/>
      <c r="AB584" s="160"/>
      <c r="AC584" s="160"/>
      <c r="AD584" s="190"/>
    </row>
    <row r="585" spans="14:30" x14ac:dyDescent="0.55000000000000004">
      <c r="N585" s="170"/>
      <c r="P585" s="189"/>
      <c r="Q585" s="160"/>
      <c r="R585" s="160"/>
      <c r="S585" s="160"/>
      <c r="T585" s="160"/>
      <c r="U585" s="160"/>
      <c r="V585" s="160"/>
      <c r="X585" s="160"/>
      <c r="Y585" s="160"/>
      <c r="AA585" s="160"/>
      <c r="AB585" s="160"/>
      <c r="AC585" s="160"/>
      <c r="AD585" s="190"/>
    </row>
    <row r="586" spans="14:30" x14ac:dyDescent="0.55000000000000004">
      <c r="N586" s="170"/>
      <c r="P586" s="189"/>
      <c r="Q586" s="160"/>
      <c r="R586" s="160"/>
      <c r="S586" s="160"/>
      <c r="T586" s="160"/>
      <c r="U586" s="160"/>
      <c r="V586" s="160"/>
      <c r="X586" s="160"/>
      <c r="Y586" s="160"/>
      <c r="AA586" s="160"/>
      <c r="AB586" s="160"/>
      <c r="AC586" s="160"/>
      <c r="AD586" s="190"/>
    </row>
    <row r="587" spans="14:30" x14ac:dyDescent="0.55000000000000004">
      <c r="N587" s="170"/>
      <c r="P587" s="189"/>
      <c r="Q587" s="160"/>
      <c r="R587" s="160"/>
      <c r="S587" s="160"/>
      <c r="T587" s="160"/>
      <c r="U587" s="160"/>
      <c r="V587" s="160"/>
      <c r="X587" s="160"/>
      <c r="Y587" s="160"/>
      <c r="AA587" s="160"/>
      <c r="AB587" s="160"/>
      <c r="AC587" s="160"/>
      <c r="AD587" s="190"/>
    </row>
    <row r="588" spans="14:30" x14ac:dyDescent="0.55000000000000004">
      <c r="N588" s="170"/>
      <c r="P588" s="189"/>
      <c r="Q588" s="160"/>
      <c r="R588" s="160"/>
      <c r="S588" s="160"/>
      <c r="T588" s="160"/>
      <c r="U588" s="160"/>
      <c r="V588" s="160"/>
      <c r="X588" s="160"/>
      <c r="Y588" s="160"/>
      <c r="AA588" s="160"/>
      <c r="AB588" s="160"/>
      <c r="AC588" s="160"/>
      <c r="AD588" s="190"/>
    </row>
    <row r="589" spans="14:30" x14ac:dyDescent="0.55000000000000004">
      <c r="N589" s="170"/>
      <c r="P589" s="189"/>
      <c r="Q589" s="160"/>
      <c r="R589" s="160"/>
      <c r="S589" s="160"/>
      <c r="T589" s="160"/>
      <c r="U589" s="160"/>
      <c r="V589" s="160"/>
      <c r="X589" s="160"/>
      <c r="Y589" s="160"/>
      <c r="AA589" s="160"/>
      <c r="AB589" s="160"/>
      <c r="AC589" s="160"/>
      <c r="AD589" s="190"/>
    </row>
    <row r="590" spans="14:30" x14ac:dyDescent="0.55000000000000004">
      <c r="N590" s="170"/>
      <c r="P590" s="189"/>
      <c r="Q590" s="160"/>
      <c r="R590" s="160"/>
      <c r="S590" s="160"/>
      <c r="T590" s="160"/>
      <c r="U590" s="160"/>
      <c r="V590" s="160"/>
      <c r="X590" s="160"/>
      <c r="Y590" s="160"/>
      <c r="AA590" s="160"/>
      <c r="AB590" s="160"/>
      <c r="AC590" s="160"/>
      <c r="AD590" s="190"/>
    </row>
    <row r="591" spans="14:30" x14ac:dyDescent="0.55000000000000004">
      <c r="N591" s="170"/>
      <c r="P591" s="189"/>
      <c r="Q591" s="160"/>
      <c r="R591" s="160"/>
      <c r="S591" s="160"/>
      <c r="T591" s="160"/>
      <c r="U591" s="160"/>
      <c r="V591" s="160"/>
      <c r="X591" s="160"/>
      <c r="Y591" s="160"/>
      <c r="AA591" s="160"/>
      <c r="AB591" s="160"/>
      <c r="AC591" s="160"/>
      <c r="AD591" s="190"/>
    </row>
    <row r="592" spans="14:30" x14ac:dyDescent="0.55000000000000004">
      <c r="N592" s="170"/>
      <c r="P592" s="189"/>
      <c r="Q592" s="160"/>
      <c r="R592" s="160"/>
      <c r="S592" s="160"/>
      <c r="T592" s="160"/>
      <c r="U592" s="160"/>
      <c r="V592" s="160"/>
      <c r="X592" s="160"/>
      <c r="Y592" s="160"/>
      <c r="AA592" s="160"/>
      <c r="AB592" s="160"/>
      <c r="AC592" s="160"/>
      <c r="AD592" s="190"/>
    </row>
    <row r="593" spans="14:30" x14ac:dyDescent="0.55000000000000004">
      <c r="N593" s="170"/>
      <c r="P593" s="189"/>
      <c r="Q593" s="160"/>
      <c r="R593" s="160"/>
      <c r="S593" s="160"/>
      <c r="T593" s="160"/>
      <c r="U593" s="160"/>
      <c r="V593" s="160"/>
      <c r="X593" s="160"/>
      <c r="Y593" s="160"/>
      <c r="AA593" s="160"/>
      <c r="AB593" s="160"/>
      <c r="AC593" s="160"/>
      <c r="AD593" s="190"/>
    </row>
    <row r="594" spans="14:30" x14ac:dyDescent="0.55000000000000004">
      <c r="N594" s="170"/>
      <c r="P594" s="189"/>
      <c r="Q594" s="160"/>
      <c r="R594" s="160"/>
      <c r="S594" s="160"/>
      <c r="T594" s="160"/>
      <c r="U594" s="160"/>
      <c r="V594" s="160"/>
      <c r="X594" s="160"/>
      <c r="Y594" s="160"/>
      <c r="AA594" s="160"/>
      <c r="AB594" s="160"/>
      <c r="AC594" s="160"/>
      <c r="AD594" s="190"/>
    </row>
    <row r="595" spans="14:30" x14ac:dyDescent="0.55000000000000004">
      <c r="N595" s="170"/>
      <c r="P595" s="189"/>
      <c r="Q595" s="160"/>
      <c r="R595" s="160"/>
      <c r="S595" s="160"/>
      <c r="T595" s="160"/>
      <c r="U595" s="160"/>
      <c r="V595" s="160"/>
      <c r="X595" s="160"/>
      <c r="Y595" s="160"/>
      <c r="AA595" s="160"/>
      <c r="AB595" s="160"/>
      <c r="AC595" s="160"/>
      <c r="AD595" s="190"/>
    </row>
    <row r="596" spans="14:30" x14ac:dyDescent="0.55000000000000004">
      <c r="N596" s="170"/>
      <c r="P596" s="189"/>
      <c r="Q596" s="160"/>
      <c r="R596" s="160"/>
      <c r="S596" s="160"/>
      <c r="T596" s="160"/>
      <c r="U596" s="160"/>
      <c r="V596" s="160"/>
      <c r="X596" s="160"/>
      <c r="Y596" s="160"/>
      <c r="AA596" s="160"/>
      <c r="AB596" s="160"/>
      <c r="AC596" s="160"/>
      <c r="AD596" s="190"/>
    </row>
    <row r="597" spans="14:30" x14ac:dyDescent="0.55000000000000004">
      <c r="N597" s="170"/>
      <c r="P597" s="189"/>
      <c r="Q597" s="160"/>
      <c r="R597" s="160"/>
      <c r="S597" s="160"/>
      <c r="T597" s="160"/>
      <c r="U597" s="160"/>
      <c r="V597" s="160"/>
      <c r="X597" s="160"/>
      <c r="Y597" s="160"/>
      <c r="AA597" s="160"/>
      <c r="AB597" s="160"/>
      <c r="AC597" s="160"/>
      <c r="AD597" s="190"/>
    </row>
    <row r="598" spans="14:30" x14ac:dyDescent="0.55000000000000004">
      <c r="N598" s="170"/>
      <c r="P598" s="189"/>
      <c r="Q598" s="160"/>
      <c r="R598" s="160"/>
      <c r="S598" s="160"/>
      <c r="T598" s="160"/>
      <c r="U598" s="160"/>
      <c r="V598" s="160"/>
      <c r="X598" s="160"/>
      <c r="Y598" s="160"/>
      <c r="AA598" s="160"/>
      <c r="AB598" s="160"/>
      <c r="AC598" s="160"/>
      <c r="AD598" s="190"/>
    </row>
    <row r="599" spans="14:30" x14ac:dyDescent="0.55000000000000004">
      <c r="N599" s="170"/>
      <c r="P599" s="189"/>
      <c r="Q599" s="160"/>
      <c r="R599" s="160"/>
      <c r="S599" s="160"/>
      <c r="T599" s="160"/>
      <c r="U599" s="160"/>
      <c r="V599" s="160"/>
      <c r="X599" s="160"/>
      <c r="Y599" s="160"/>
      <c r="AA599" s="160"/>
      <c r="AB599" s="160"/>
      <c r="AC599" s="160"/>
      <c r="AD599" s="190"/>
    </row>
    <row r="600" spans="14:30" x14ac:dyDescent="0.55000000000000004">
      <c r="N600" s="170"/>
      <c r="P600" s="189"/>
      <c r="Q600" s="160"/>
      <c r="R600" s="160"/>
      <c r="S600" s="160"/>
      <c r="T600" s="160"/>
      <c r="U600" s="160"/>
      <c r="V600" s="160"/>
      <c r="X600" s="160"/>
      <c r="Y600" s="160"/>
      <c r="AA600" s="160"/>
      <c r="AB600" s="160"/>
      <c r="AC600" s="160"/>
      <c r="AD600" s="190"/>
    </row>
    <row r="601" spans="14:30" x14ac:dyDescent="0.55000000000000004">
      <c r="N601" s="170"/>
      <c r="P601" s="189"/>
      <c r="Q601" s="160"/>
      <c r="R601" s="160"/>
      <c r="S601" s="160"/>
      <c r="T601" s="160"/>
      <c r="U601" s="160"/>
      <c r="V601" s="160"/>
      <c r="X601" s="160"/>
      <c r="Y601" s="160"/>
      <c r="AA601" s="160"/>
      <c r="AB601" s="160"/>
      <c r="AC601" s="160"/>
      <c r="AD601" s="190"/>
    </row>
    <row r="602" spans="14:30" x14ac:dyDescent="0.55000000000000004">
      <c r="N602" s="170"/>
      <c r="P602" s="189"/>
      <c r="Q602" s="160"/>
      <c r="R602" s="160"/>
      <c r="S602" s="160"/>
      <c r="T602" s="160"/>
      <c r="U602" s="160"/>
      <c r="V602" s="160"/>
      <c r="X602" s="160"/>
      <c r="Y602" s="160"/>
      <c r="AA602" s="160"/>
      <c r="AB602" s="160"/>
      <c r="AC602" s="160"/>
      <c r="AD602" s="190"/>
    </row>
    <row r="603" spans="14:30" x14ac:dyDescent="0.55000000000000004">
      <c r="N603" s="170"/>
      <c r="P603" s="189"/>
      <c r="Q603" s="160"/>
      <c r="R603" s="160"/>
      <c r="S603" s="160"/>
      <c r="T603" s="160"/>
      <c r="U603" s="160"/>
      <c r="V603" s="160"/>
      <c r="X603" s="160"/>
      <c r="Y603" s="160"/>
      <c r="AA603" s="160"/>
      <c r="AB603" s="160"/>
      <c r="AC603" s="160"/>
      <c r="AD603" s="190"/>
    </row>
    <row r="604" spans="14:30" x14ac:dyDescent="0.55000000000000004">
      <c r="N604" s="170"/>
      <c r="P604" s="189"/>
      <c r="Q604" s="160"/>
      <c r="R604" s="160"/>
      <c r="S604" s="160"/>
      <c r="T604" s="160"/>
      <c r="U604" s="160"/>
      <c r="V604" s="160"/>
      <c r="X604" s="160"/>
      <c r="Y604" s="160"/>
      <c r="AA604" s="160"/>
      <c r="AB604" s="160"/>
      <c r="AC604" s="160"/>
      <c r="AD604" s="190"/>
    </row>
    <row r="605" spans="14:30" x14ac:dyDescent="0.55000000000000004">
      <c r="N605" s="170"/>
      <c r="P605" s="189"/>
      <c r="Q605" s="160"/>
      <c r="R605" s="160"/>
      <c r="S605" s="160"/>
      <c r="T605" s="160"/>
      <c r="U605" s="160"/>
      <c r="V605" s="160"/>
      <c r="X605" s="160"/>
      <c r="Y605" s="160"/>
      <c r="AA605" s="160"/>
      <c r="AB605" s="160"/>
      <c r="AC605" s="160"/>
      <c r="AD605" s="190"/>
    </row>
    <row r="606" spans="14:30" x14ac:dyDescent="0.55000000000000004">
      <c r="N606" s="170"/>
      <c r="P606" s="189"/>
      <c r="Q606" s="160"/>
      <c r="R606" s="160"/>
      <c r="S606" s="160"/>
      <c r="T606" s="160"/>
      <c r="U606" s="160"/>
      <c r="V606" s="160"/>
      <c r="X606" s="160"/>
      <c r="Y606" s="160"/>
      <c r="AA606" s="160"/>
      <c r="AB606" s="160"/>
      <c r="AC606" s="160"/>
      <c r="AD606" s="190"/>
    </row>
    <row r="607" spans="14:30" x14ac:dyDescent="0.55000000000000004">
      <c r="N607" s="170"/>
      <c r="P607" s="189"/>
      <c r="Q607" s="160"/>
      <c r="R607" s="160"/>
      <c r="S607" s="160"/>
      <c r="T607" s="160"/>
      <c r="U607" s="160"/>
      <c r="V607" s="160"/>
      <c r="X607" s="160"/>
      <c r="Y607" s="160"/>
      <c r="AA607" s="160"/>
      <c r="AB607" s="160"/>
      <c r="AC607" s="160"/>
      <c r="AD607" s="190"/>
    </row>
    <row r="608" spans="14:30" x14ac:dyDescent="0.55000000000000004">
      <c r="N608" s="170"/>
      <c r="P608" s="189"/>
      <c r="Q608" s="160"/>
      <c r="R608" s="160"/>
      <c r="S608" s="160"/>
      <c r="T608" s="160"/>
      <c r="U608" s="160"/>
      <c r="V608" s="160"/>
      <c r="X608" s="160"/>
      <c r="Y608" s="160"/>
      <c r="AA608" s="160"/>
      <c r="AB608" s="160"/>
      <c r="AC608" s="160"/>
      <c r="AD608" s="190"/>
    </row>
    <row r="609" spans="14:30" x14ac:dyDescent="0.55000000000000004">
      <c r="N609" s="170"/>
      <c r="P609" s="189"/>
      <c r="Q609" s="160"/>
      <c r="R609" s="160"/>
      <c r="S609" s="160"/>
      <c r="T609" s="160"/>
      <c r="U609" s="160"/>
      <c r="V609" s="160"/>
      <c r="X609" s="160"/>
      <c r="Y609" s="160"/>
      <c r="AA609" s="160"/>
      <c r="AB609" s="160"/>
      <c r="AC609" s="160"/>
      <c r="AD609" s="190"/>
    </row>
    <row r="610" spans="14:30" x14ac:dyDescent="0.55000000000000004">
      <c r="N610" s="170"/>
      <c r="P610" s="189"/>
      <c r="Q610" s="160"/>
      <c r="R610" s="160"/>
      <c r="S610" s="160"/>
      <c r="T610" s="160"/>
      <c r="U610" s="160"/>
      <c r="V610" s="160"/>
      <c r="X610" s="160"/>
      <c r="Y610" s="160"/>
      <c r="AA610" s="160"/>
      <c r="AB610" s="160"/>
      <c r="AC610" s="160"/>
      <c r="AD610" s="190"/>
    </row>
    <row r="611" spans="14:30" x14ac:dyDescent="0.55000000000000004">
      <c r="N611" s="170"/>
      <c r="P611" s="189"/>
      <c r="Q611" s="160"/>
      <c r="R611" s="160"/>
      <c r="S611" s="160"/>
      <c r="T611" s="160"/>
      <c r="U611" s="160"/>
      <c r="V611" s="160"/>
      <c r="X611" s="160"/>
      <c r="Y611" s="160"/>
      <c r="AA611" s="160"/>
      <c r="AB611" s="160"/>
      <c r="AC611" s="160"/>
      <c r="AD611" s="190"/>
    </row>
    <row r="612" spans="14:30" x14ac:dyDescent="0.55000000000000004">
      <c r="N612" s="170"/>
      <c r="P612" s="189"/>
      <c r="Q612" s="160"/>
      <c r="R612" s="160"/>
      <c r="S612" s="160"/>
      <c r="T612" s="160"/>
      <c r="U612" s="160"/>
      <c r="V612" s="160"/>
      <c r="X612" s="160"/>
      <c r="Y612" s="160"/>
      <c r="AA612" s="160"/>
      <c r="AB612" s="160"/>
      <c r="AC612" s="160"/>
      <c r="AD612" s="190"/>
    </row>
    <row r="613" spans="14:30" x14ac:dyDescent="0.55000000000000004">
      <c r="N613" s="170"/>
      <c r="P613" s="189"/>
      <c r="Q613" s="160"/>
      <c r="R613" s="160"/>
      <c r="S613" s="160"/>
      <c r="T613" s="160"/>
      <c r="U613" s="160"/>
      <c r="V613" s="160"/>
      <c r="X613" s="160"/>
      <c r="Y613" s="160"/>
      <c r="AA613" s="160"/>
      <c r="AB613" s="160"/>
      <c r="AC613" s="160"/>
      <c r="AD613" s="190"/>
    </row>
    <row r="614" spans="14:30" x14ac:dyDescent="0.55000000000000004">
      <c r="N614" s="170"/>
      <c r="P614" s="189"/>
      <c r="Q614" s="160"/>
      <c r="R614" s="160"/>
      <c r="S614" s="160"/>
      <c r="T614" s="160"/>
      <c r="U614" s="160"/>
      <c r="V614" s="160"/>
      <c r="X614" s="160"/>
      <c r="Y614" s="160"/>
      <c r="AA614" s="160"/>
      <c r="AB614" s="160"/>
      <c r="AC614" s="160"/>
      <c r="AD614" s="190"/>
    </row>
    <row r="615" spans="14:30" x14ac:dyDescent="0.55000000000000004">
      <c r="N615" s="170"/>
      <c r="P615" s="189"/>
      <c r="Q615" s="160"/>
      <c r="R615" s="160"/>
      <c r="S615" s="160"/>
      <c r="T615" s="160"/>
      <c r="U615" s="160"/>
      <c r="V615" s="160"/>
      <c r="X615" s="160"/>
      <c r="Y615" s="160"/>
      <c r="AA615" s="160"/>
      <c r="AB615" s="160"/>
      <c r="AC615" s="160"/>
      <c r="AD615" s="190"/>
    </row>
    <row r="616" spans="14:30" x14ac:dyDescent="0.55000000000000004">
      <c r="N616" s="170"/>
      <c r="P616" s="189"/>
      <c r="Q616" s="160"/>
      <c r="R616" s="160"/>
      <c r="S616" s="160"/>
      <c r="T616" s="160"/>
      <c r="U616" s="160"/>
      <c r="V616" s="160"/>
      <c r="X616" s="160"/>
      <c r="Y616" s="160"/>
      <c r="AA616" s="160"/>
      <c r="AB616" s="160"/>
      <c r="AC616" s="160"/>
      <c r="AD616" s="190"/>
    </row>
    <row r="617" spans="14:30" x14ac:dyDescent="0.55000000000000004">
      <c r="N617" s="170"/>
      <c r="P617" s="189"/>
      <c r="Q617" s="160"/>
      <c r="R617" s="160"/>
      <c r="S617" s="160"/>
      <c r="T617" s="160"/>
      <c r="U617" s="160"/>
      <c r="V617" s="160"/>
      <c r="X617" s="160"/>
      <c r="Y617" s="160"/>
      <c r="AA617" s="160"/>
      <c r="AB617" s="160"/>
      <c r="AC617" s="160"/>
      <c r="AD617" s="190"/>
    </row>
    <row r="618" spans="14:30" x14ac:dyDescent="0.55000000000000004">
      <c r="N618" s="170"/>
      <c r="P618" s="189"/>
      <c r="Q618" s="160"/>
      <c r="R618" s="160"/>
      <c r="S618" s="160"/>
      <c r="T618" s="160"/>
      <c r="U618" s="160"/>
      <c r="V618" s="160"/>
      <c r="X618" s="160"/>
      <c r="Y618" s="160"/>
      <c r="AA618" s="160"/>
      <c r="AB618" s="160"/>
      <c r="AC618" s="160"/>
      <c r="AD618" s="190"/>
    </row>
    <row r="619" spans="14:30" x14ac:dyDescent="0.55000000000000004">
      <c r="N619" s="170"/>
      <c r="P619" s="189"/>
      <c r="Q619" s="160"/>
      <c r="R619" s="160"/>
      <c r="S619" s="160"/>
      <c r="T619" s="160"/>
      <c r="U619" s="160"/>
      <c r="V619" s="160"/>
      <c r="X619" s="160"/>
      <c r="Y619" s="160"/>
      <c r="AA619" s="160"/>
      <c r="AB619" s="160"/>
      <c r="AC619" s="160"/>
      <c r="AD619" s="190"/>
    </row>
    <row r="620" spans="14:30" x14ac:dyDescent="0.55000000000000004">
      <c r="N620" s="170"/>
      <c r="P620" s="189"/>
      <c r="Q620" s="160"/>
      <c r="R620" s="160"/>
      <c r="S620" s="160"/>
      <c r="T620" s="160"/>
      <c r="U620" s="160"/>
      <c r="V620" s="160"/>
      <c r="X620" s="160"/>
      <c r="Y620" s="160"/>
      <c r="AA620" s="160"/>
      <c r="AB620" s="160"/>
      <c r="AC620" s="160"/>
      <c r="AD620" s="190"/>
    </row>
    <row r="621" spans="14:30" x14ac:dyDescent="0.55000000000000004">
      <c r="N621" s="170"/>
      <c r="P621" s="189"/>
      <c r="Q621" s="160"/>
      <c r="R621" s="160"/>
      <c r="S621" s="160"/>
      <c r="T621" s="160"/>
      <c r="U621" s="160"/>
      <c r="V621" s="160"/>
      <c r="X621" s="160"/>
      <c r="Y621" s="160"/>
      <c r="AA621" s="160"/>
      <c r="AB621" s="160"/>
      <c r="AC621" s="160"/>
      <c r="AD621" s="190"/>
    </row>
    <row r="622" spans="14:30" x14ac:dyDescent="0.55000000000000004">
      <c r="N622" s="170"/>
      <c r="P622" s="189"/>
      <c r="Q622" s="160"/>
      <c r="R622" s="160"/>
      <c r="S622" s="160"/>
      <c r="T622" s="160"/>
      <c r="U622" s="160"/>
      <c r="V622" s="160"/>
      <c r="X622" s="160"/>
      <c r="Y622" s="160"/>
      <c r="AA622" s="160"/>
      <c r="AB622" s="160"/>
      <c r="AC622" s="160"/>
      <c r="AD622" s="190"/>
    </row>
    <row r="623" spans="14:30" x14ac:dyDescent="0.55000000000000004">
      <c r="N623" s="170"/>
      <c r="P623" s="189"/>
      <c r="Q623" s="160"/>
      <c r="R623" s="160"/>
      <c r="S623" s="160"/>
      <c r="T623" s="160"/>
      <c r="U623" s="160"/>
      <c r="V623" s="160"/>
      <c r="X623" s="160"/>
      <c r="Y623" s="160"/>
      <c r="AA623" s="160"/>
      <c r="AB623" s="160"/>
      <c r="AC623" s="160"/>
      <c r="AD623" s="190"/>
    </row>
    <row r="624" spans="14:30" x14ac:dyDescent="0.55000000000000004">
      <c r="N624" s="170"/>
      <c r="P624" s="189"/>
      <c r="Q624" s="160"/>
      <c r="R624" s="160"/>
      <c r="S624" s="160"/>
      <c r="T624" s="160"/>
      <c r="U624" s="160"/>
      <c r="V624" s="160"/>
      <c r="X624" s="160"/>
      <c r="Y624" s="160"/>
      <c r="AA624" s="160"/>
      <c r="AB624" s="160"/>
      <c r="AC624" s="160"/>
      <c r="AD624" s="190"/>
    </row>
    <row r="625" spans="14:30" x14ac:dyDescent="0.55000000000000004">
      <c r="N625" s="170"/>
      <c r="P625" s="189"/>
      <c r="Q625" s="160"/>
      <c r="R625" s="160"/>
      <c r="S625" s="160"/>
      <c r="T625" s="160"/>
      <c r="U625" s="160"/>
      <c r="V625" s="160"/>
      <c r="X625" s="160"/>
      <c r="Y625" s="160"/>
      <c r="AA625" s="160"/>
      <c r="AB625" s="160"/>
      <c r="AC625" s="160"/>
      <c r="AD625" s="190"/>
    </row>
    <row r="626" spans="14:30" x14ac:dyDescent="0.55000000000000004">
      <c r="N626" s="170"/>
      <c r="P626" s="189"/>
      <c r="Q626" s="160"/>
      <c r="R626" s="160"/>
      <c r="S626" s="160"/>
      <c r="T626" s="160"/>
      <c r="U626" s="160"/>
      <c r="V626" s="160"/>
      <c r="X626" s="160"/>
      <c r="Y626" s="160"/>
      <c r="AA626" s="160"/>
      <c r="AB626" s="160"/>
      <c r="AC626" s="160"/>
      <c r="AD626" s="190"/>
    </row>
    <row r="627" spans="14:30" x14ac:dyDescent="0.55000000000000004">
      <c r="N627" s="170"/>
      <c r="P627" s="189"/>
      <c r="Q627" s="160"/>
      <c r="R627" s="160"/>
      <c r="S627" s="160"/>
      <c r="T627" s="160"/>
      <c r="U627" s="160"/>
      <c r="V627" s="160"/>
      <c r="X627" s="160"/>
      <c r="Y627" s="160"/>
      <c r="AA627" s="160"/>
      <c r="AB627" s="160"/>
      <c r="AC627" s="160"/>
      <c r="AD627" s="190"/>
    </row>
    <row r="628" spans="14:30" x14ac:dyDescent="0.55000000000000004">
      <c r="N628" s="170"/>
      <c r="P628" s="189"/>
      <c r="Q628" s="160"/>
      <c r="R628" s="160"/>
      <c r="S628" s="160"/>
      <c r="T628" s="160"/>
      <c r="U628" s="160"/>
      <c r="V628" s="160"/>
      <c r="X628" s="160"/>
      <c r="Y628" s="160"/>
      <c r="AA628" s="160"/>
      <c r="AB628" s="160"/>
      <c r="AC628" s="160"/>
      <c r="AD628" s="190"/>
    </row>
    <row r="629" spans="14:30" x14ac:dyDescent="0.55000000000000004">
      <c r="N629" s="170"/>
      <c r="P629" s="189"/>
      <c r="Q629" s="160"/>
      <c r="R629" s="160"/>
      <c r="S629" s="160"/>
      <c r="T629" s="160"/>
      <c r="U629" s="160"/>
      <c r="V629" s="160"/>
      <c r="X629" s="160"/>
      <c r="Y629" s="160"/>
      <c r="AA629" s="160"/>
      <c r="AB629" s="160"/>
      <c r="AC629" s="160"/>
      <c r="AD629" s="190"/>
    </row>
    <row r="630" spans="14:30" x14ac:dyDescent="0.55000000000000004">
      <c r="N630" s="170"/>
      <c r="P630" s="189"/>
      <c r="Q630" s="160"/>
      <c r="R630" s="160"/>
      <c r="S630" s="160"/>
      <c r="T630" s="160"/>
      <c r="U630" s="160"/>
      <c r="V630" s="160"/>
      <c r="X630" s="160"/>
      <c r="Y630" s="160"/>
      <c r="AA630" s="160"/>
      <c r="AB630" s="160"/>
      <c r="AC630" s="160"/>
      <c r="AD630" s="190"/>
    </row>
    <row r="631" spans="14:30" x14ac:dyDescent="0.55000000000000004">
      <c r="N631" s="170"/>
      <c r="P631" s="189"/>
      <c r="Q631" s="160"/>
      <c r="R631" s="160"/>
      <c r="S631" s="160"/>
      <c r="T631" s="160"/>
      <c r="U631" s="160"/>
      <c r="V631" s="160"/>
      <c r="X631" s="160"/>
      <c r="Y631" s="160"/>
      <c r="AA631" s="160"/>
      <c r="AB631" s="160"/>
      <c r="AC631" s="160"/>
      <c r="AD631" s="190"/>
    </row>
    <row r="632" spans="14:30" x14ac:dyDescent="0.55000000000000004">
      <c r="N632" s="170"/>
      <c r="P632" s="189"/>
      <c r="Q632" s="160"/>
      <c r="R632" s="160"/>
      <c r="S632" s="160"/>
      <c r="T632" s="160"/>
      <c r="U632" s="160"/>
      <c r="V632" s="160"/>
      <c r="X632" s="160"/>
      <c r="Y632" s="160"/>
      <c r="AA632" s="160"/>
      <c r="AB632" s="160"/>
      <c r="AC632" s="160"/>
      <c r="AD632" s="190"/>
    </row>
    <row r="633" spans="14:30" x14ac:dyDescent="0.55000000000000004">
      <c r="N633" s="170"/>
      <c r="P633" s="189"/>
      <c r="Q633" s="160"/>
      <c r="R633" s="160"/>
      <c r="S633" s="160"/>
      <c r="T633" s="160"/>
      <c r="U633" s="160"/>
      <c r="V633" s="160"/>
      <c r="X633" s="160"/>
      <c r="Y633" s="160"/>
      <c r="AA633" s="160"/>
      <c r="AB633" s="160"/>
      <c r="AC633" s="160"/>
      <c r="AD633" s="190"/>
    </row>
    <row r="634" spans="14:30" x14ac:dyDescent="0.55000000000000004">
      <c r="N634" s="170"/>
      <c r="P634" s="189"/>
      <c r="Q634" s="160"/>
      <c r="R634" s="160"/>
      <c r="S634" s="160"/>
      <c r="T634" s="160"/>
      <c r="U634" s="160"/>
      <c r="V634" s="160"/>
      <c r="X634" s="160"/>
      <c r="Y634" s="160"/>
      <c r="AA634" s="160"/>
      <c r="AB634" s="160"/>
      <c r="AC634" s="160"/>
      <c r="AD634" s="190"/>
    </row>
    <row r="635" spans="14:30" x14ac:dyDescent="0.55000000000000004">
      <c r="N635" s="170"/>
      <c r="P635" s="189"/>
      <c r="Q635" s="160"/>
      <c r="R635" s="160"/>
      <c r="S635" s="160"/>
      <c r="T635" s="160"/>
      <c r="U635" s="160"/>
      <c r="V635" s="160"/>
      <c r="X635" s="160"/>
      <c r="Y635" s="160"/>
      <c r="AA635" s="160"/>
      <c r="AB635" s="160"/>
      <c r="AC635" s="160"/>
      <c r="AD635" s="190"/>
    </row>
    <row r="636" spans="14:30" x14ac:dyDescent="0.55000000000000004">
      <c r="N636" s="170"/>
      <c r="P636" s="189"/>
      <c r="Q636" s="160"/>
      <c r="R636" s="160"/>
      <c r="S636" s="160"/>
      <c r="T636" s="160"/>
      <c r="U636" s="160"/>
      <c r="V636" s="160"/>
      <c r="X636" s="160"/>
      <c r="Y636" s="160"/>
      <c r="AA636" s="160"/>
      <c r="AB636" s="160"/>
      <c r="AC636" s="160"/>
      <c r="AD636" s="190"/>
    </row>
    <row r="637" spans="14:30" x14ac:dyDescent="0.55000000000000004">
      <c r="N637" s="170"/>
      <c r="P637" s="189"/>
      <c r="Q637" s="160"/>
      <c r="R637" s="160"/>
      <c r="S637" s="160"/>
      <c r="T637" s="160"/>
      <c r="U637" s="160"/>
      <c r="V637" s="160"/>
      <c r="X637" s="160"/>
      <c r="Y637" s="160"/>
      <c r="AA637" s="160"/>
      <c r="AB637" s="160"/>
      <c r="AC637" s="160"/>
      <c r="AD637" s="190"/>
    </row>
    <row r="638" spans="14:30" x14ac:dyDescent="0.55000000000000004">
      <c r="N638" s="170"/>
      <c r="P638" s="189"/>
      <c r="Q638" s="160"/>
      <c r="R638" s="160"/>
      <c r="S638" s="160"/>
      <c r="T638" s="160"/>
      <c r="U638" s="160"/>
      <c r="V638" s="160"/>
      <c r="X638" s="160"/>
      <c r="Y638" s="160"/>
      <c r="AA638" s="160"/>
      <c r="AB638" s="160"/>
      <c r="AC638" s="160"/>
      <c r="AD638" s="190"/>
    </row>
    <row r="639" spans="14:30" x14ac:dyDescent="0.55000000000000004">
      <c r="N639" s="170"/>
      <c r="P639" s="189"/>
      <c r="Q639" s="160"/>
      <c r="R639" s="160"/>
      <c r="S639" s="160"/>
      <c r="T639" s="160"/>
      <c r="U639" s="160"/>
      <c r="V639" s="160"/>
      <c r="X639" s="160"/>
      <c r="Y639" s="160"/>
      <c r="AA639" s="160"/>
      <c r="AB639" s="160"/>
      <c r="AC639" s="160"/>
      <c r="AD639" s="190"/>
    </row>
    <row r="640" spans="14:30" x14ac:dyDescent="0.55000000000000004">
      <c r="N640" s="170"/>
      <c r="P640" s="189"/>
      <c r="Q640" s="160"/>
      <c r="R640" s="160"/>
      <c r="S640" s="160"/>
      <c r="T640" s="160"/>
      <c r="U640" s="160"/>
      <c r="V640" s="160"/>
      <c r="X640" s="160"/>
      <c r="Y640" s="160"/>
      <c r="AA640" s="160"/>
      <c r="AB640" s="160"/>
      <c r="AC640" s="160"/>
      <c r="AD640" s="190"/>
    </row>
    <row r="641" spans="14:30" x14ac:dyDescent="0.55000000000000004">
      <c r="N641" s="170"/>
      <c r="P641" s="189"/>
      <c r="Q641" s="160"/>
      <c r="R641" s="160"/>
      <c r="S641" s="160"/>
      <c r="T641" s="160"/>
      <c r="U641" s="160"/>
      <c r="V641" s="160"/>
      <c r="X641" s="160"/>
      <c r="Y641" s="160"/>
      <c r="AA641" s="160"/>
      <c r="AB641" s="160"/>
      <c r="AC641" s="160"/>
      <c r="AD641" s="190"/>
    </row>
    <row r="642" spans="14:30" x14ac:dyDescent="0.55000000000000004">
      <c r="N642" s="170"/>
      <c r="P642" s="189"/>
      <c r="Q642" s="160"/>
      <c r="R642" s="160"/>
      <c r="S642" s="160"/>
      <c r="T642" s="160"/>
      <c r="U642" s="160"/>
      <c r="V642" s="160"/>
      <c r="X642" s="160"/>
      <c r="Y642" s="160"/>
      <c r="AA642" s="160"/>
      <c r="AB642" s="160"/>
      <c r="AC642" s="160"/>
      <c r="AD642" s="190"/>
    </row>
    <row r="643" spans="14:30" x14ac:dyDescent="0.55000000000000004">
      <c r="N643" s="170"/>
      <c r="P643" s="189"/>
      <c r="Q643" s="160"/>
      <c r="R643" s="160"/>
      <c r="S643" s="160"/>
      <c r="T643" s="160"/>
      <c r="U643" s="160"/>
      <c r="V643" s="160"/>
      <c r="X643" s="160"/>
      <c r="Y643" s="160"/>
      <c r="AA643" s="160"/>
      <c r="AB643" s="160"/>
      <c r="AC643" s="160"/>
      <c r="AD643" s="190"/>
    </row>
    <row r="644" spans="14:30" x14ac:dyDescent="0.55000000000000004">
      <c r="N644" s="170"/>
      <c r="P644" s="189"/>
      <c r="Q644" s="160"/>
      <c r="R644" s="160"/>
      <c r="S644" s="160"/>
      <c r="T644" s="160"/>
      <c r="U644" s="160"/>
      <c r="V644" s="160"/>
      <c r="X644" s="160"/>
      <c r="Y644" s="160"/>
      <c r="AA644" s="160"/>
      <c r="AB644" s="160"/>
      <c r="AC644" s="160"/>
      <c r="AD644" s="190"/>
    </row>
    <row r="645" spans="14:30" x14ac:dyDescent="0.55000000000000004">
      <c r="N645" s="170"/>
      <c r="P645" s="189"/>
      <c r="Q645" s="160"/>
      <c r="R645" s="160"/>
      <c r="S645" s="160"/>
      <c r="T645" s="160"/>
      <c r="U645" s="160"/>
      <c r="V645" s="160"/>
      <c r="X645" s="160"/>
      <c r="Y645" s="160"/>
      <c r="AA645" s="160"/>
      <c r="AB645" s="160"/>
      <c r="AC645" s="160"/>
      <c r="AD645" s="190"/>
    </row>
    <row r="646" spans="14:30" x14ac:dyDescent="0.55000000000000004">
      <c r="N646" s="170"/>
      <c r="P646" s="189"/>
      <c r="Q646" s="160"/>
      <c r="R646" s="160"/>
      <c r="S646" s="160"/>
      <c r="T646" s="160"/>
      <c r="U646" s="160"/>
      <c r="V646" s="160"/>
      <c r="X646" s="160"/>
      <c r="Y646" s="160"/>
      <c r="AA646" s="160"/>
      <c r="AB646" s="160"/>
      <c r="AC646" s="160"/>
      <c r="AD646" s="190"/>
    </row>
    <row r="647" spans="14:30" x14ac:dyDescent="0.55000000000000004">
      <c r="N647" s="170"/>
      <c r="P647" s="189"/>
      <c r="Q647" s="160"/>
      <c r="R647" s="160"/>
      <c r="S647" s="160"/>
      <c r="T647" s="160"/>
      <c r="U647" s="160"/>
      <c r="V647" s="160"/>
      <c r="X647" s="160"/>
      <c r="Y647" s="160"/>
      <c r="AA647" s="160"/>
      <c r="AB647" s="160"/>
      <c r="AC647" s="160"/>
      <c r="AD647" s="190"/>
    </row>
    <row r="648" spans="14:30" x14ac:dyDescent="0.55000000000000004">
      <c r="N648" s="170"/>
      <c r="P648" s="189"/>
      <c r="Q648" s="160"/>
      <c r="R648" s="160"/>
      <c r="S648" s="160"/>
      <c r="T648" s="160"/>
      <c r="U648" s="160"/>
      <c r="V648" s="160"/>
      <c r="X648" s="160"/>
      <c r="Y648" s="160"/>
      <c r="AA648" s="160"/>
      <c r="AB648" s="160"/>
      <c r="AC648" s="160"/>
      <c r="AD648" s="190"/>
    </row>
    <row r="649" spans="14:30" x14ac:dyDescent="0.55000000000000004">
      <c r="N649" s="170"/>
      <c r="P649" s="189"/>
      <c r="Q649" s="160"/>
      <c r="R649" s="160"/>
      <c r="S649" s="160"/>
      <c r="T649" s="160"/>
      <c r="U649" s="160"/>
      <c r="V649" s="160"/>
      <c r="X649" s="160"/>
      <c r="Y649" s="160"/>
      <c r="AA649" s="160"/>
      <c r="AB649" s="160"/>
      <c r="AC649" s="160"/>
      <c r="AD649" s="190"/>
    </row>
    <row r="650" spans="14:30" x14ac:dyDescent="0.55000000000000004">
      <c r="N650" s="170"/>
      <c r="P650" s="189"/>
      <c r="Q650" s="160"/>
      <c r="R650" s="160"/>
      <c r="S650" s="160"/>
      <c r="T650" s="160"/>
      <c r="U650" s="160"/>
      <c r="V650" s="160"/>
      <c r="X650" s="160"/>
      <c r="Y650" s="160"/>
      <c r="AA650" s="160"/>
      <c r="AB650" s="160"/>
      <c r="AC650" s="160"/>
      <c r="AD650" s="190"/>
    </row>
    <row r="651" spans="14:30" x14ac:dyDescent="0.55000000000000004">
      <c r="N651" s="170"/>
      <c r="P651" s="189"/>
      <c r="Q651" s="160"/>
      <c r="R651" s="160"/>
      <c r="S651" s="160"/>
      <c r="T651" s="160"/>
      <c r="U651" s="160"/>
      <c r="V651" s="160"/>
      <c r="X651" s="160"/>
      <c r="Y651" s="160"/>
      <c r="AA651" s="160"/>
      <c r="AB651" s="160"/>
      <c r="AC651" s="160"/>
      <c r="AD651" s="190"/>
    </row>
    <row r="652" spans="14:30" x14ac:dyDescent="0.55000000000000004">
      <c r="N652" s="170"/>
      <c r="P652" s="189"/>
      <c r="Q652" s="160"/>
      <c r="R652" s="160"/>
      <c r="S652" s="160"/>
      <c r="T652" s="160"/>
      <c r="U652" s="160"/>
      <c r="V652" s="160"/>
      <c r="X652" s="160"/>
      <c r="Y652" s="160"/>
      <c r="AA652" s="160"/>
      <c r="AB652" s="160"/>
      <c r="AC652" s="160"/>
      <c r="AD652" s="190"/>
    </row>
    <row r="653" spans="14:30" x14ac:dyDescent="0.55000000000000004">
      <c r="N653" s="170"/>
      <c r="P653" s="189"/>
      <c r="Q653" s="160"/>
      <c r="R653" s="160"/>
      <c r="S653" s="160"/>
      <c r="T653" s="160"/>
      <c r="U653" s="160"/>
      <c r="V653" s="160"/>
      <c r="X653" s="160"/>
      <c r="Y653" s="160"/>
      <c r="AA653" s="160"/>
      <c r="AB653" s="160"/>
      <c r="AC653" s="160"/>
      <c r="AD653" s="190"/>
    </row>
    <row r="654" spans="14:30" x14ac:dyDescent="0.55000000000000004">
      <c r="N654" s="170"/>
      <c r="P654" s="189"/>
      <c r="Q654" s="160"/>
      <c r="R654" s="160"/>
      <c r="S654" s="160"/>
      <c r="T654" s="160"/>
      <c r="U654" s="160"/>
      <c r="V654" s="160"/>
      <c r="X654" s="160"/>
      <c r="Y654" s="160"/>
      <c r="AA654" s="160"/>
      <c r="AB654" s="160"/>
      <c r="AC654" s="160"/>
      <c r="AD654" s="190"/>
    </row>
    <row r="655" spans="14:30" x14ac:dyDescent="0.55000000000000004">
      <c r="N655" s="170"/>
      <c r="P655" s="189"/>
      <c r="Q655" s="160"/>
      <c r="R655" s="160"/>
      <c r="S655" s="160"/>
      <c r="T655" s="160"/>
      <c r="U655" s="160"/>
      <c r="V655" s="160"/>
      <c r="X655" s="160"/>
      <c r="Y655" s="160"/>
      <c r="AA655" s="160"/>
      <c r="AB655" s="160"/>
      <c r="AC655" s="160"/>
      <c r="AD655" s="190"/>
    </row>
    <row r="656" spans="14:30" x14ac:dyDescent="0.55000000000000004">
      <c r="N656" s="170"/>
      <c r="P656" s="189"/>
      <c r="Q656" s="160"/>
      <c r="R656" s="160"/>
      <c r="S656" s="160"/>
      <c r="T656" s="160"/>
      <c r="U656" s="160"/>
      <c r="V656" s="160"/>
      <c r="X656" s="160"/>
      <c r="Y656" s="160"/>
      <c r="AA656" s="160"/>
      <c r="AB656" s="160"/>
      <c r="AC656" s="160"/>
      <c r="AD656" s="190"/>
    </row>
    <row r="657" spans="14:30" x14ac:dyDescent="0.55000000000000004">
      <c r="N657" s="170"/>
      <c r="P657" s="189"/>
      <c r="Q657" s="160"/>
      <c r="R657" s="160"/>
      <c r="S657" s="160"/>
      <c r="T657" s="160"/>
      <c r="U657" s="160"/>
      <c r="V657" s="160"/>
      <c r="X657" s="160"/>
      <c r="Y657" s="160"/>
      <c r="AA657" s="160"/>
      <c r="AB657" s="160"/>
      <c r="AC657" s="160"/>
      <c r="AD657" s="190"/>
    </row>
    <row r="658" spans="14:30" x14ac:dyDescent="0.55000000000000004">
      <c r="N658" s="170"/>
      <c r="P658" s="189"/>
      <c r="Q658" s="160"/>
      <c r="R658" s="160"/>
      <c r="S658" s="160"/>
      <c r="T658" s="160"/>
      <c r="U658" s="160"/>
      <c r="V658" s="160"/>
      <c r="X658" s="160"/>
      <c r="Y658" s="160"/>
      <c r="AA658" s="160"/>
      <c r="AB658" s="160"/>
      <c r="AC658" s="160"/>
      <c r="AD658" s="190"/>
    </row>
    <row r="659" spans="14:30" x14ac:dyDescent="0.55000000000000004">
      <c r="N659" s="170"/>
      <c r="P659" s="189"/>
      <c r="Q659" s="160"/>
      <c r="R659" s="160"/>
      <c r="S659" s="160"/>
      <c r="T659" s="160"/>
      <c r="U659" s="160"/>
      <c r="V659" s="160"/>
      <c r="X659" s="160"/>
      <c r="Y659" s="160"/>
      <c r="AA659" s="160"/>
      <c r="AB659" s="160"/>
      <c r="AC659" s="160"/>
      <c r="AD659" s="190"/>
    </row>
    <row r="660" spans="14:30" x14ac:dyDescent="0.55000000000000004">
      <c r="N660" s="170"/>
      <c r="P660" s="189"/>
      <c r="Q660" s="160"/>
      <c r="R660" s="160"/>
      <c r="S660" s="160"/>
      <c r="T660" s="160"/>
      <c r="U660" s="160"/>
      <c r="V660" s="160"/>
      <c r="X660" s="160"/>
      <c r="Y660" s="160"/>
      <c r="AA660" s="160"/>
      <c r="AB660" s="160"/>
      <c r="AC660" s="160"/>
      <c r="AD660" s="190"/>
    </row>
    <row r="661" spans="14:30" x14ac:dyDescent="0.55000000000000004">
      <c r="N661" s="170"/>
      <c r="P661" s="189"/>
      <c r="Q661" s="160"/>
      <c r="R661" s="160"/>
      <c r="S661" s="160"/>
      <c r="T661" s="160"/>
      <c r="U661" s="160"/>
      <c r="V661" s="160"/>
      <c r="X661" s="160"/>
      <c r="Y661" s="160"/>
      <c r="AA661" s="160"/>
      <c r="AB661" s="160"/>
      <c r="AC661" s="160"/>
      <c r="AD661" s="190"/>
    </row>
    <row r="662" spans="14:30" x14ac:dyDescent="0.55000000000000004">
      <c r="N662" s="170"/>
      <c r="P662" s="189"/>
      <c r="Q662" s="160"/>
      <c r="R662" s="160"/>
      <c r="S662" s="160"/>
      <c r="T662" s="160"/>
      <c r="U662" s="160"/>
      <c r="V662" s="160"/>
      <c r="X662" s="160"/>
      <c r="Y662" s="160"/>
      <c r="AA662" s="160"/>
      <c r="AB662" s="160"/>
      <c r="AC662" s="160"/>
      <c r="AD662" s="190"/>
    </row>
    <row r="663" spans="14:30" x14ac:dyDescent="0.55000000000000004">
      <c r="N663" s="170"/>
      <c r="P663" s="189"/>
      <c r="Q663" s="160"/>
      <c r="R663" s="160"/>
      <c r="S663" s="160"/>
      <c r="T663" s="160"/>
      <c r="U663" s="160"/>
      <c r="V663" s="160"/>
      <c r="X663" s="160"/>
      <c r="Y663" s="160"/>
      <c r="AA663" s="160"/>
      <c r="AB663" s="160"/>
      <c r="AC663" s="160"/>
      <c r="AD663" s="190"/>
    </row>
    <row r="664" spans="14:30" x14ac:dyDescent="0.55000000000000004">
      <c r="N664" s="170"/>
      <c r="P664" s="189"/>
      <c r="Q664" s="160"/>
      <c r="R664" s="160"/>
      <c r="S664" s="160"/>
      <c r="T664" s="160"/>
      <c r="U664" s="160"/>
      <c r="V664" s="160"/>
      <c r="X664" s="160"/>
      <c r="Y664" s="160"/>
      <c r="AA664" s="160"/>
      <c r="AB664" s="160"/>
      <c r="AC664" s="160"/>
      <c r="AD664" s="190"/>
    </row>
    <row r="665" spans="14:30" x14ac:dyDescent="0.55000000000000004">
      <c r="N665" s="170"/>
      <c r="P665" s="189"/>
      <c r="Q665" s="160"/>
      <c r="R665" s="160"/>
      <c r="S665" s="160"/>
      <c r="T665" s="160"/>
      <c r="U665" s="160"/>
      <c r="V665" s="160"/>
      <c r="X665" s="160"/>
      <c r="Y665" s="160"/>
      <c r="AA665" s="160"/>
      <c r="AB665" s="160"/>
      <c r="AC665" s="160"/>
      <c r="AD665" s="190"/>
    </row>
    <row r="666" spans="14:30" x14ac:dyDescent="0.55000000000000004">
      <c r="N666" s="170"/>
      <c r="P666" s="189"/>
      <c r="Q666" s="160"/>
      <c r="R666" s="160"/>
      <c r="S666" s="160"/>
      <c r="T666" s="160"/>
      <c r="U666" s="160"/>
      <c r="V666" s="160"/>
      <c r="X666" s="160"/>
      <c r="Y666" s="160"/>
      <c r="AA666" s="160"/>
      <c r="AB666" s="160"/>
      <c r="AC666" s="160"/>
      <c r="AD666" s="190"/>
    </row>
    <row r="667" spans="14:30" x14ac:dyDescent="0.55000000000000004">
      <c r="N667" s="170"/>
      <c r="P667" s="189"/>
      <c r="Q667" s="160"/>
      <c r="R667" s="160"/>
      <c r="S667" s="160"/>
      <c r="T667" s="160"/>
      <c r="U667" s="160"/>
      <c r="V667" s="160"/>
      <c r="X667" s="160"/>
      <c r="Y667" s="160"/>
      <c r="AA667" s="160"/>
      <c r="AB667" s="160"/>
      <c r="AC667" s="160"/>
      <c r="AD667" s="190"/>
    </row>
    <row r="668" spans="14:30" x14ac:dyDescent="0.55000000000000004">
      <c r="N668" s="170"/>
      <c r="P668" s="189"/>
      <c r="Q668" s="160"/>
      <c r="R668" s="160"/>
      <c r="S668" s="160"/>
      <c r="T668" s="160"/>
      <c r="U668" s="160"/>
      <c r="V668" s="160"/>
      <c r="X668" s="160"/>
      <c r="Y668" s="160"/>
      <c r="AA668" s="160"/>
      <c r="AB668" s="160"/>
      <c r="AC668" s="160"/>
      <c r="AD668" s="190"/>
    </row>
    <row r="669" spans="14:30" x14ac:dyDescent="0.55000000000000004">
      <c r="N669" s="170"/>
      <c r="P669" s="189"/>
      <c r="Q669" s="160"/>
      <c r="R669" s="160"/>
      <c r="S669" s="160"/>
      <c r="T669" s="160"/>
      <c r="U669" s="160"/>
      <c r="V669" s="160"/>
      <c r="X669" s="160"/>
      <c r="Y669" s="160"/>
      <c r="AA669" s="160"/>
      <c r="AB669" s="160"/>
      <c r="AC669" s="160"/>
      <c r="AD669" s="190"/>
    </row>
    <row r="670" spans="14:30" x14ac:dyDescent="0.55000000000000004">
      <c r="N670" s="170"/>
      <c r="P670" s="189"/>
      <c r="Q670" s="160"/>
      <c r="R670" s="160"/>
      <c r="S670" s="160"/>
      <c r="T670" s="160"/>
      <c r="U670" s="160"/>
      <c r="V670" s="160"/>
      <c r="X670" s="160"/>
      <c r="Y670" s="160"/>
      <c r="AA670" s="160"/>
      <c r="AB670" s="160"/>
      <c r="AC670" s="160"/>
      <c r="AD670" s="190"/>
    </row>
    <row r="671" spans="14:30" x14ac:dyDescent="0.55000000000000004">
      <c r="N671" s="170"/>
      <c r="P671" s="189"/>
      <c r="Q671" s="160"/>
      <c r="R671" s="160"/>
      <c r="S671" s="160"/>
      <c r="T671" s="160"/>
      <c r="U671" s="160"/>
      <c r="V671" s="160"/>
      <c r="X671" s="160"/>
      <c r="Y671" s="160"/>
      <c r="AA671" s="160"/>
      <c r="AB671" s="160"/>
      <c r="AC671" s="160"/>
      <c r="AD671" s="190"/>
    </row>
    <row r="672" spans="14:30" x14ac:dyDescent="0.55000000000000004">
      <c r="N672" s="170"/>
      <c r="P672" s="189"/>
      <c r="Q672" s="160"/>
      <c r="R672" s="160"/>
      <c r="S672" s="160"/>
      <c r="T672" s="160"/>
      <c r="U672" s="160"/>
      <c r="V672" s="160"/>
      <c r="X672" s="160"/>
      <c r="Y672" s="160"/>
      <c r="AA672" s="160"/>
      <c r="AB672" s="160"/>
      <c r="AC672" s="160"/>
      <c r="AD672" s="190"/>
    </row>
    <row r="673" spans="14:30" x14ac:dyDescent="0.55000000000000004">
      <c r="N673" s="170"/>
      <c r="P673" s="189"/>
      <c r="Q673" s="160"/>
      <c r="R673" s="160"/>
      <c r="S673" s="160"/>
      <c r="T673" s="160"/>
      <c r="U673" s="160"/>
      <c r="V673" s="160"/>
      <c r="X673" s="160"/>
      <c r="Y673" s="160"/>
      <c r="AA673" s="160"/>
      <c r="AB673" s="160"/>
      <c r="AC673" s="160"/>
      <c r="AD673" s="190"/>
    </row>
    <row r="674" spans="14:30" x14ac:dyDescent="0.55000000000000004">
      <c r="N674" s="170"/>
      <c r="P674" s="189"/>
      <c r="Q674" s="160"/>
      <c r="R674" s="160"/>
      <c r="S674" s="160"/>
      <c r="T674" s="160"/>
      <c r="U674" s="160"/>
      <c r="V674" s="160"/>
      <c r="X674" s="160"/>
      <c r="Y674" s="160"/>
      <c r="AA674" s="160"/>
      <c r="AB674" s="160"/>
      <c r="AC674" s="160"/>
      <c r="AD674" s="190"/>
    </row>
    <row r="675" spans="14:30" x14ac:dyDescent="0.55000000000000004">
      <c r="N675" s="170"/>
      <c r="P675" s="189"/>
      <c r="Q675" s="160"/>
      <c r="R675" s="160"/>
      <c r="S675" s="160"/>
      <c r="T675" s="160"/>
      <c r="U675" s="160"/>
      <c r="V675" s="160"/>
      <c r="X675" s="160"/>
      <c r="Y675" s="160"/>
      <c r="AA675" s="160"/>
      <c r="AB675" s="160"/>
      <c r="AC675" s="160"/>
      <c r="AD675" s="190"/>
    </row>
    <row r="676" spans="14:30" x14ac:dyDescent="0.55000000000000004">
      <c r="N676" s="170"/>
      <c r="P676" s="189"/>
      <c r="Q676" s="160"/>
      <c r="R676" s="160"/>
      <c r="S676" s="160"/>
      <c r="T676" s="160"/>
      <c r="U676" s="160"/>
      <c r="V676" s="160"/>
      <c r="X676" s="160"/>
      <c r="Y676" s="160"/>
      <c r="AA676" s="160"/>
      <c r="AB676" s="160"/>
      <c r="AC676" s="160"/>
      <c r="AD676" s="190"/>
    </row>
    <row r="677" spans="14:30" x14ac:dyDescent="0.55000000000000004">
      <c r="N677" s="170"/>
      <c r="P677" s="189"/>
      <c r="Q677" s="160"/>
      <c r="R677" s="160"/>
      <c r="S677" s="160"/>
      <c r="T677" s="160"/>
      <c r="U677" s="160"/>
      <c r="V677" s="160"/>
      <c r="X677" s="160"/>
      <c r="Y677" s="160"/>
      <c r="AA677" s="160"/>
      <c r="AB677" s="160"/>
      <c r="AC677" s="160"/>
      <c r="AD677" s="190"/>
    </row>
    <row r="678" spans="14:30" x14ac:dyDescent="0.55000000000000004">
      <c r="N678" s="170"/>
      <c r="P678" s="189"/>
      <c r="Q678" s="160"/>
      <c r="R678" s="160"/>
      <c r="S678" s="160"/>
      <c r="T678" s="160"/>
      <c r="U678" s="160"/>
      <c r="V678" s="160"/>
      <c r="X678" s="160"/>
      <c r="Y678" s="160"/>
      <c r="AA678" s="160"/>
      <c r="AB678" s="160"/>
      <c r="AC678" s="160"/>
      <c r="AD678" s="190"/>
    </row>
    <row r="679" spans="14:30" x14ac:dyDescent="0.55000000000000004">
      <c r="N679" s="170"/>
      <c r="P679" s="189"/>
      <c r="Q679" s="160"/>
      <c r="R679" s="160"/>
      <c r="S679" s="160"/>
      <c r="T679" s="160"/>
      <c r="U679" s="160"/>
      <c r="V679" s="160"/>
      <c r="X679" s="160"/>
      <c r="Y679" s="160"/>
      <c r="AA679" s="160"/>
      <c r="AB679" s="160"/>
      <c r="AC679" s="160"/>
      <c r="AD679" s="190"/>
    </row>
    <row r="680" spans="14:30" x14ac:dyDescent="0.55000000000000004">
      <c r="N680" s="170"/>
      <c r="P680" s="189"/>
      <c r="Q680" s="160"/>
      <c r="R680" s="160"/>
      <c r="S680" s="160"/>
      <c r="T680" s="160"/>
      <c r="U680" s="160"/>
      <c r="V680" s="160"/>
      <c r="X680" s="160"/>
      <c r="Y680" s="160"/>
      <c r="AA680" s="160"/>
      <c r="AB680" s="160"/>
      <c r="AC680" s="160"/>
      <c r="AD680" s="190"/>
    </row>
    <row r="681" spans="14:30" x14ac:dyDescent="0.55000000000000004">
      <c r="N681" s="170"/>
      <c r="P681" s="189"/>
      <c r="Q681" s="160"/>
      <c r="R681" s="160"/>
      <c r="S681" s="160"/>
      <c r="T681" s="160"/>
      <c r="U681" s="160"/>
      <c r="V681" s="160"/>
      <c r="X681" s="160"/>
      <c r="Y681" s="160"/>
      <c r="AA681" s="160"/>
      <c r="AB681" s="160"/>
      <c r="AC681" s="160"/>
      <c r="AD681" s="190"/>
    </row>
    <row r="682" spans="14:30" x14ac:dyDescent="0.55000000000000004">
      <c r="N682" s="170"/>
      <c r="P682" s="189"/>
      <c r="Q682" s="160"/>
      <c r="R682" s="160"/>
      <c r="S682" s="160"/>
      <c r="T682" s="160"/>
      <c r="U682" s="160"/>
      <c r="V682" s="160"/>
      <c r="X682" s="160"/>
      <c r="Y682" s="160"/>
      <c r="AA682" s="160"/>
      <c r="AB682" s="160"/>
      <c r="AC682" s="160"/>
      <c r="AD682" s="190"/>
    </row>
    <row r="683" spans="14:30" x14ac:dyDescent="0.55000000000000004">
      <c r="N683" s="170"/>
      <c r="P683" s="189"/>
      <c r="Q683" s="160"/>
      <c r="R683" s="160"/>
      <c r="S683" s="160"/>
      <c r="T683" s="160"/>
      <c r="U683" s="160"/>
      <c r="V683" s="160"/>
      <c r="X683" s="160"/>
      <c r="Y683" s="160"/>
      <c r="AA683" s="160"/>
      <c r="AB683" s="160"/>
      <c r="AC683" s="160"/>
      <c r="AD683" s="190"/>
    </row>
    <row r="684" spans="14:30" x14ac:dyDescent="0.55000000000000004">
      <c r="N684" s="170"/>
      <c r="P684" s="189"/>
      <c r="Q684" s="160"/>
      <c r="R684" s="160"/>
      <c r="S684" s="160"/>
      <c r="T684" s="160"/>
      <c r="U684" s="160"/>
      <c r="V684" s="160"/>
      <c r="X684" s="160"/>
      <c r="Y684" s="160"/>
      <c r="AA684" s="160"/>
      <c r="AB684" s="160"/>
      <c r="AC684" s="160"/>
      <c r="AD684" s="190"/>
    </row>
    <row r="685" spans="14:30" x14ac:dyDescent="0.55000000000000004">
      <c r="N685" s="170"/>
      <c r="P685" s="189"/>
      <c r="Q685" s="160"/>
      <c r="R685" s="160"/>
      <c r="S685" s="160"/>
      <c r="T685" s="160"/>
      <c r="U685" s="160"/>
      <c r="V685" s="160"/>
      <c r="X685" s="160"/>
      <c r="Y685" s="160"/>
      <c r="AA685" s="160"/>
      <c r="AB685" s="160"/>
      <c r="AC685" s="160"/>
      <c r="AD685" s="190"/>
    </row>
    <row r="686" spans="14:30" x14ac:dyDescent="0.55000000000000004">
      <c r="N686" s="170"/>
      <c r="P686" s="189"/>
      <c r="Q686" s="160"/>
      <c r="R686" s="160"/>
      <c r="S686" s="160"/>
      <c r="T686" s="160"/>
      <c r="U686" s="160"/>
      <c r="V686" s="160"/>
      <c r="X686" s="160"/>
      <c r="Y686" s="160"/>
      <c r="AA686" s="160"/>
      <c r="AB686" s="160"/>
      <c r="AC686" s="160"/>
      <c r="AD686" s="190"/>
    </row>
    <row r="687" spans="14:30" x14ac:dyDescent="0.55000000000000004">
      <c r="N687" s="170"/>
      <c r="P687" s="189"/>
      <c r="Q687" s="160"/>
      <c r="R687" s="160"/>
      <c r="S687" s="160"/>
      <c r="T687" s="160"/>
      <c r="U687" s="160"/>
      <c r="V687" s="160"/>
      <c r="X687" s="160"/>
      <c r="Y687" s="160"/>
      <c r="AA687" s="160"/>
      <c r="AB687" s="160"/>
      <c r="AC687" s="160"/>
      <c r="AD687" s="190"/>
    </row>
    <row r="688" spans="14:30" x14ac:dyDescent="0.55000000000000004">
      <c r="N688" s="170"/>
      <c r="P688" s="189"/>
      <c r="Q688" s="160"/>
      <c r="R688" s="160"/>
      <c r="S688" s="160"/>
      <c r="T688" s="160"/>
      <c r="U688" s="160"/>
      <c r="V688" s="160"/>
      <c r="X688" s="160"/>
      <c r="Y688" s="160"/>
      <c r="AA688" s="160"/>
      <c r="AB688" s="160"/>
      <c r="AC688" s="160"/>
      <c r="AD688" s="190"/>
    </row>
    <row r="689" spans="14:30" x14ac:dyDescent="0.55000000000000004">
      <c r="N689" s="170"/>
      <c r="P689" s="189"/>
      <c r="Q689" s="160"/>
      <c r="R689" s="160"/>
      <c r="S689" s="160"/>
      <c r="T689" s="160"/>
      <c r="U689" s="160"/>
      <c r="V689" s="160"/>
      <c r="X689" s="160"/>
      <c r="Y689" s="160"/>
      <c r="AA689" s="160"/>
      <c r="AB689" s="160"/>
      <c r="AC689" s="160"/>
      <c r="AD689" s="190"/>
    </row>
    <row r="690" spans="14:30" x14ac:dyDescent="0.55000000000000004">
      <c r="N690" s="170"/>
      <c r="P690" s="189"/>
      <c r="Q690" s="160"/>
      <c r="R690" s="160"/>
      <c r="S690" s="160"/>
      <c r="T690" s="160"/>
      <c r="U690" s="160"/>
      <c r="V690" s="160"/>
      <c r="X690" s="160"/>
      <c r="Y690" s="160"/>
      <c r="AA690" s="160"/>
      <c r="AB690" s="160"/>
      <c r="AC690" s="160"/>
      <c r="AD690" s="190"/>
    </row>
    <row r="691" spans="14:30" x14ac:dyDescent="0.55000000000000004">
      <c r="N691" s="170"/>
      <c r="P691" s="189"/>
      <c r="Q691" s="160"/>
      <c r="R691" s="160"/>
      <c r="S691" s="160"/>
      <c r="T691" s="160"/>
      <c r="U691" s="160"/>
      <c r="V691" s="160"/>
      <c r="X691" s="160"/>
      <c r="Y691" s="160"/>
      <c r="AA691" s="160"/>
      <c r="AB691" s="160"/>
      <c r="AC691" s="160"/>
      <c r="AD691" s="190"/>
    </row>
    <row r="692" spans="14:30" x14ac:dyDescent="0.55000000000000004">
      <c r="N692" s="170"/>
      <c r="P692" s="189"/>
      <c r="Q692" s="160"/>
      <c r="R692" s="160"/>
      <c r="S692" s="160"/>
      <c r="T692" s="160"/>
      <c r="U692" s="160"/>
      <c r="V692" s="160"/>
      <c r="X692" s="160"/>
      <c r="Y692" s="160"/>
      <c r="AA692" s="160"/>
      <c r="AB692" s="160"/>
      <c r="AC692" s="160"/>
      <c r="AD692" s="190"/>
    </row>
    <row r="693" spans="14:30" x14ac:dyDescent="0.55000000000000004">
      <c r="N693" s="170"/>
      <c r="P693" s="189"/>
      <c r="Q693" s="160"/>
      <c r="R693" s="160"/>
      <c r="S693" s="160"/>
      <c r="T693" s="160"/>
      <c r="U693" s="160"/>
      <c r="V693" s="160"/>
      <c r="X693" s="160"/>
      <c r="Y693" s="160"/>
      <c r="AA693" s="160"/>
      <c r="AB693" s="160"/>
      <c r="AC693" s="160"/>
      <c r="AD693" s="190"/>
    </row>
    <row r="694" spans="14:30" x14ac:dyDescent="0.55000000000000004">
      <c r="N694" s="170"/>
      <c r="P694" s="189"/>
      <c r="Q694" s="160"/>
      <c r="R694" s="160"/>
      <c r="S694" s="160"/>
      <c r="T694" s="160"/>
      <c r="U694" s="160"/>
      <c r="V694" s="160"/>
      <c r="X694" s="160"/>
      <c r="Y694" s="160"/>
      <c r="AA694" s="160"/>
      <c r="AB694" s="160"/>
      <c r="AC694" s="160"/>
      <c r="AD694" s="190"/>
    </row>
    <row r="695" spans="14:30" x14ac:dyDescent="0.55000000000000004">
      <c r="N695" s="170"/>
      <c r="P695" s="189"/>
      <c r="Q695" s="160"/>
      <c r="R695" s="160"/>
      <c r="S695" s="160"/>
      <c r="T695" s="160"/>
      <c r="U695" s="160"/>
      <c r="V695" s="160"/>
      <c r="X695" s="160"/>
      <c r="Y695" s="160"/>
      <c r="AA695" s="160"/>
      <c r="AB695" s="160"/>
      <c r="AC695" s="160"/>
      <c r="AD695" s="190"/>
    </row>
    <row r="696" spans="14:30" x14ac:dyDescent="0.55000000000000004">
      <c r="N696" s="170"/>
      <c r="P696" s="189"/>
      <c r="Q696" s="160"/>
      <c r="R696" s="160"/>
      <c r="S696" s="160"/>
      <c r="T696" s="160"/>
      <c r="U696" s="160"/>
      <c r="V696" s="160"/>
      <c r="X696" s="160"/>
      <c r="Y696" s="160"/>
      <c r="AA696" s="160"/>
      <c r="AB696" s="160"/>
      <c r="AC696" s="160"/>
      <c r="AD696" s="190"/>
    </row>
    <row r="697" spans="14:30" x14ac:dyDescent="0.55000000000000004">
      <c r="N697" s="170"/>
      <c r="P697" s="189"/>
      <c r="Q697" s="160"/>
      <c r="R697" s="160"/>
      <c r="S697" s="160"/>
      <c r="T697" s="160"/>
      <c r="U697" s="160"/>
      <c r="V697" s="160"/>
      <c r="X697" s="160"/>
      <c r="Y697" s="160"/>
      <c r="AA697" s="160"/>
      <c r="AB697" s="160"/>
      <c r="AC697" s="160"/>
      <c r="AD697" s="190"/>
    </row>
    <row r="698" spans="14:30" x14ac:dyDescent="0.55000000000000004">
      <c r="N698" s="170"/>
      <c r="P698" s="189"/>
      <c r="Q698" s="160"/>
      <c r="R698" s="160"/>
      <c r="S698" s="160"/>
      <c r="T698" s="160"/>
      <c r="U698" s="160"/>
      <c r="V698" s="160"/>
      <c r="X698" s="160"/>
      <c r="Y698" s="160"/>
      <c r="AA698" s="160"/>
      <c r="AB698" s="160"/>
      <c r="AC698" s="160"/>
      <c r="AD698" s="190"/>
    </row>
    <row r="699" spans="14:30" x14ac:dyDescent="0.55000000000000004">
      <c r="N699" s="170"/>
      <c r="P699" s="189"/>
      <c r="Q699" s="160"/>
      <c r="R699" s="160"/>
      <c r="S699" s="160"/>
      <c r="T699" s="160"/>
      <c r="U699" s="160"/>
      <c r="V699" s="160"/>
      <c r="X699" s="160"/>
      <c r="Y699" s="160"/>
      <c r="AA699" s="160"/>
      <c r="AB699" s="160"/>
      <c r="AC699" s="160"/>
      <c r="AD699" s="190"/>
    </row>
    <row r="700" spans="14:30" x14ac:dyDescent="0.55000000000000004">
      <c r="N700" s="170"/>
      <c r="P700" s="189"/>
      <c r="Q700" s="160"/>
      <c r="R700" s="160"/>
      <c r="S700" s="160"/>
      <c r="T700" s="160"/>
      <c r="U700" s="160"/>
      <c r="V700" s="160"/>
      <c r="X700" s="160"/>
      <c r="Y700" s="160"/>
      <c r="AA700" s="160"/>
      <c r="AB700" s="160"/>
      <c r="AC700" s="160"/>
      <c r="AD700" s="190"/>
    </row>
    <row r="701" spans="14:30" x14ac:dyDescent="0.55000000000000004">
      <c r="N701" s="170"/>
      <c r="P701" s="189"/>
      <c r="Q701" s="160"/>
      <c r="R701" s="160"/>
      <c r="S701" s="160"/>
      <c r="T701" s="160"/>
      <c r="U701" s="160"/>
      <c r="V701" s="160"/>
      <c r="X701" s="160"/>
      <c r="Y701" s="160"/>
      <c r="AA701" s="160"/>
      <c r="AB701" s="160"/>
      <c r="AC701" s="160"/>
      <c r="AD701" s="190"/>
    </row>
    <row r="702" spans="14:30" x14ac:dyDescent="0.55000000000000004">
      <c r="N702" s="170"/>
      <c r="P702" s="189"/>
      <c r="Q702" s="160"/>
      <c r="R702" s="160"/>
      <c r="S702" s="160"/>
      <c r="T702" s="160"/>
      <c r="U702" s="160"/>
      <c r="V702" s="160"/>
      <c r="X702" s="160"/>
      <c r="Y702" s="160"/>
      <c r="AA702" s="160"/>
      <c r="AB702" s="160"/>
      <c r="AC702" s="160"/>
      <c r="AD702" s="190"/>
    </row>
    <row r="703" spans="14:30" x14ac:dyDescent="0.55000000000000004">
      <c r="N703" s="170"/>
      <c r="P703" s="189"/>
      <c r="Q703" s="160"/>
      <c r="R703" s="160"/>
      <c r="S703" s="160"/>
      <c r="T703" s="160"/>
      <c r="U703" s="160"/>
      <c r="V703" s="160"/>
      <c r="X703" s="160"/>
      <c r="Y703" s="160"/>
      <c r="AA703" s="160"/>
      <c r="AB703" s="160"/>
      <c r="AC703" s="160"/>
      <c r="AD703" s="190"/>
    </row>
    <row r="704" spans="14:30" x14ac:dyDescent="0.55000000000000004">
      <c r="N704" s="170"/>
      <c r="P704" s="189"/>
      <c r="Q704" s="160"/>
      <c r="R704" s="160"/>
      <c r="S704" s="160"/>
      <c r="T704" s="160"/>
      <c r="U704" s="160"/>
      <c r="V704" s="160"/>
      <c r="X704" s="160"/>
      <c r="Y704" s="160"/>
      <c r="AA704" s="160"/>
      <c r="AB704" s="160"/>
      <c r="AC704" s="160"/>
      <c r="AD704" s="190"/>
    </row>
    <row r="705" spans="14:30" x14ac:dyDescent="0.55000000000000004">
      <c r="N705" s="170"/>
      <c r="P705" s="189"/>
      <c r="Q705" s="160"/>
      <c r="R705" s="160"/>
      <c r="S705" s="160"/>
      <c r="T705" s="160"/>
      <c r="U705" s="160"/>
      <c r="V705" s="160"/>
      <c r="X705" s="160"/>
      <c r="Y705" s="160"/>
      <c r="AA705" s="160"/>
      <c r="AB705" s="160"/>
      <c r="AC705" s="160"/>
      <c r="AD705" s="190"/>
    </row>
    <row r="706" spans="14:30" x14ac:dyDescent="0.55000000000000004">
      <c r="N706" s="170"/>
      <c r="P706" s="189"/>
      <c r="Q706" s="160"/>
      <c r="R706" s="160"/>
      <c r="S706" s="160"/>
      <c r="T706" s="160"/>
      <c r="U706" s="160"/>
      <c r="V706" s="160"/>
      <c r="X706" s="160"/>
      <c r="Y706" s="160"/>
      <c r="AA706" s="160"/>
      <c r="AB706" s="160"/>
      <c r="AC706" s="160"/>
      <c r="AD706" s="190"/>
    </row>
    <row r="707" spans="14:30" x14ac:dyDescent="0.55000000000000004">
      <c r="N707" s="170"/>
      <c r="P707" s="189"/>
      <c r="Q707" s="160"/>
      <c r="R707" s="160"/>
      <c r="S707" s="160"/>
      <c r="T707" s="160"/>
      <c r="U707" s="160"/>
      <c r="V707" s="160"/>
      <c r="X707" s="160"/>
      <c r="Y707" s="160"/>
      <c r="AA707" s="160"/>
      <c r="AB707" s="160"/>
      <c r="AC707" s="160"/>
      <c r="AD707" s="190"/>
    </row>
    <row r="708" spans="14:30" x14ac:dyDescent="0.55000000000000004">
      <c r="N708" s="170"/>
      <c r="P708" s="189"/>
      <c r="Q708" s="160"/>
      <c r="R708" s="160"/>
      <c r="S708" s="160"/>
      <c r="T708" s="160"/>
      <c r="U708" s="160"/>
      <c r="V708" s="160"/>
      <c r="X708" s="160"/>
      <c r="Y708" s="160"/>
      <c r="AA708" s="160"/>
      <c r="AB708" s="160"/>
      <c r="AC708" s="160"/>
      <c r="AD708" s="190"/>
    </row>
  </sheetData>
  <mergeCells count="29">
    <mergeCell ref="A1:M1"/>
    <mergeCell ref="E6:K6"/>
    <mergeCell ref="Q17:S17"/>
    <mergeCell ref="T17:V17"/>
    <mergeCell ref="W17:Y17"/>
    <mergeCell ref="P16:AE16"/>
    <mergeCell ref="Z17:AB17"/>
    <mergeCell ref="N1:X1"/>
    <mergeCell ref="P4:AE4"/>
    <mergeCell ref="AF4:AR4"/>
    <mergeCell ref="AS4:AU4"/>
    <mergeCell ref="Q5:S5"/>
    <mergeCell ref="T5:V5"/>
    <mergeCell ref="W5:Y5"/>
    <mergeCell ref="Z5:AB5"/>
    <mergeCell ref="AC5:AE5"/>
    <mergeCell ref="AG5:AI5"/>
    <mergeCell ref="AJ5:AL5"/>
    <mergeCell ref="AM5:AO5"/>
    <mergeCell ref="AP5:AR5"/>
    <mergeCell ref="AS5:AU5"/>
    <mergeCell ref="AP17:AR17"/>
    <mergeCell ref="AC17:AE17"/>
    <mergeCell ref="AS16:AU16"/>
    <mergeCell ref="AS17:AU17"/>
    <mergeCell ref="AG17:AI17"/>
    <mergeCell ref="AJ17:AL17"/>
    <mergeCell ref="AM17:AO17"/>
    <mergeCell ref="AF16:AR16"/>
  </mergeCell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I53"/>
  <sheetViews>
    <sheetView zoomScale="70" zoomScaleNormal="70" workbookViewId="0">
      <selection activeCell="B51" sqref="B51"/>
    </sheetView>
  </sheetViews>
  <sheetFormatPr defaultRowHeight="14.4" x14ac:dyDescent="0.55000000000000004"/>
  <cols>
    <col min="1" max="1" width="26.68359375" customWidth="1"/>
    <col min="2" max="2" width="25.5234375" customWidth="1"/>
    <col min="3" max="3" width="10.1015625" customWidth="1"/>
  </cols>
  <sheetData>
    <row r="1" spans="1:9" ht="27.6" x14ac:dyDescent="0.95">
      <c r="A1" s="229" t="s">
        <v>80</v>
      </c>
      <c r="B1" s="229"/>
      <c r="C1" s="229"/>
      <c r="D1" s="229"/>
      <c r="E1" s="229"/>
      <c r="F1" s="229"/>
      <c r="G1" s="229"/>
      <c r="H1" s="229"/>
      <c r="I1" s="229"/>
    </row>
    <row r="2" spans="1:9" x14ac:dyDescent="0.55000000000000004">
      <c r="A2" s="5"/>
      <c r="B2" s="5" t="s">
        <v>16</v>
      </c>
      <c r="C2" s="6"/>
      <c r="D2" s="4"/>
      <c r="E2" s="5"/>
      <c r="F2" s="5"/>
      <c r="G2" s="5"/>
      <c r="H2" s="5"/>
      <c r="I2" s="5"/>
    </row>
    <row r="3" spans="1:9" x14ac:dyDescent="0.55000000000000004">
      <c r="A3" s="5"/>
      <c r="B3" s="5" t="s">
        <v>17</v>
      </c>
      <c r="C3" s="7"/>
      <c r="D3" s="4"/>
      <c r="E3" s="5"/>
      <c r="F3" s="5"/>
      <c r="G3" s="5"/>
      <c r="H3" s="5"/>
      <c r="I3" s="5"/>
    </row>
    <row r="4" spans="1:9" x14ac:dyDescent="0.55000000000000004">
      <c r="A4" s="5"/>
      <c r="B4" s="5" t="s">
        <v>18</v>
      </c>
      <c r="C4" s="8"/>
      <c r="D4" s="4"/>
      <c r="E4" s="5"/>
      <c r="F4" s="5"/>
      <c r="G4" s="5"/>
      <c r="H4" s="5"/>
      <c r="I4" s="5"/>
    </row>
    <row r="5" spans="1:9" x14ac:dyDescent="0.55000000000000004">
      <c r="A5" s="9" t="s">
        <v>19</v>
      </c>
      <c r="B5" s="9" t="s">
        <v>20</v>
      </c>
      <c r="C5" s="9" t="s">
        <v>21</v>
      </c>
      <c r="D5" s="4"/>
      <c r="E5" s="230" t="s">
        <v>22</v>
      </c>
      <c r="F5" s="230"/>
      <c r="G5" s="230"/>
      <c r="H5" s="230"/>
      <c r="I5" s="9"/>
    </row>
    <row r="6" spans="1:9" x14ac:dyDescent="0.55000000000000004">
      <c r="A6" s="9"/>
      <c r="B6" s="9"/>
      <c r="C6" s="9"/>
      <c r="D6" s="4"/>
      <c r="E6" s="5"/>
      <c r="F6" s="5"/>
      <c r="G6" s="5"/>
      <c r="H6" s="5"/>
      <c r="I6" s="9"/>
    </row>
    <row r="7" spans="1:9" x14ac:dyDescent="0.55000000000000004">
      <c r="A7" s="9" t="s">
        <v>58</v>
      </c>
      <c r="B7" s="9"/>
      <c r="C7" s="9"/>
      <c r="D7" s="4"/>
      <c r="E7" s="5"/>
      <c r="F7" s="5"/>
      <c r="G7" s="5"/>
      <c r="H7" s="5"/>
      <c r="I7" s="9"/>
    </row>
    <row r="8" spans="1:9" x14ac:dyDescent="0.55000000000000004">
      <c r="A8" s="9"/>
      <c r="B8" s="9"/>
      <c r="C8" s="9"/>
      <c r="D8" s="4"/>
      <c r="E8" s="5"/>
      <c r="F8" s="5"/>
      <c r="G8" s="5"/>
      <c r="H8" s="5"/>
      <c r="I8" s="9"/>
    </row>
    <row r="9" spans="1:9" x14ac:dyDescent="0.55000000000000004">
      <c r="A9" t="s">
        <v>47</v>
      </c>
      <c r="B9" s="12">
        <v>0.8</v>
      </c>
      <c r="D9" t="s">
        <v>50</v>
      </c>
    </row>
    <row r="10" spans="1:9" x14ac:dyDescent="0.55000000000000004">
      <c r="A10" t="s">
        <v>51</v>
      </c>
      <c r="B10" s="13">
        <f>(1-B9)/(2.2*10^6)</f>
        <v>9.0909090909090888E-8</v>
      </c>
      <c r="C10" t="s">
        <v>54</v>
      </c>
      <c r="D10" t="s">
        <v>57</v>
      </c>
    </row>
    <row r="11" spans="1:9" x14ac:dyDescent="0.55000000000000004">
      <c r="A11" t="s">
        <v>48</v>
      </c>
      <c r="B11" s="12">
        <v>0.85</v>
      </c>
      <c r="D11" t="s">
        <v>50</v>
      </c>
    </row>
    <row r="12" spans="1:9" x14ac:dyDescent="0.55000000000000004">
      <c r="A12" t="s">
        <v>52</v>
      </c>
      <c r="B12" s="13">
        <f>(1-B11)/(2.2*10^6)</f>
        <v>6.8181818181818186E-8</v>
      </c>
      <c r="C12" t="s">
        <v>54</v>
      </c>
      <c r="D12" t="s">
        <v>56</v>
      </c>
    </row>
    <row r="13" spans="1:9" x14ac:dyDescent="0.55000000000000004">
      <c r="A13" t="s">
        <v>49</v>
      </c>
      <c r="B13" s="12">
        <v>0.9</v>
      </c>
      <c r="D13" t="s">
        <v>50</v>
      </c>
    </row>
    <row r="14" spans="1:9" x14ac:dyDescent="0.55000000000000004">
      <c r="A14" t="s">
        <v>53</v>
      </c>
      <c r="B14" s="13">
        <f>(1-B13)/(2.2*10^6)</f>
        <v>4.5454545454545444E-8</v>
      </c>
      <c r="C14" t="s">
        <v>54</v>
      </c>
      <c r="D14" t="s">
        <v>55</v>
      </c>
    </row>
    <row r="16" spans="1:9" x14ac:dyDescent="0.55000000000000004">
      <c r="A16" t="s">
        <v>59</v>
      </c>
      <c r="B16" s="12">
        <v>0.9</v>
      </c>
      <c r="D16" t="s">
        <v>65</v>
      </c>
    </row>
    <row r="17" spans="1:4" x14ac:dyDescent="0.55000000000000004">
      <c r="A17" t="s">
        <v>60</v>
      </c>
      <c r="B17" s="12">
        <v>0.93</v>
      </c>
      <c r="D17" t="s">
        <v>62</v>
      </c>
    </row>
    <row r="18" spans="1:4" x14ac:dyDescent="0.55000000000000004">
      <c r="A18" t="s">
        <v>61</v>
      </c>
      <c r="B18" s="12">
        <v>0.96</v>
      </c>
      <c r="D18" t="s">
        <v>66</v>
      </c>
    </row>
    <row r="19" spans="1:4" x14ac:dyDescent="0.55000000000000004">
      <c r="B19">
        <f>IF(((1-D_limit_nom)/Constants!B12)&lt;Fsw,2,1)</f>
        <v>1</v>
      </c>
      <c r="D19" t="s">
        <v>72</v>
      </c>
    </row>
    <row r="20" spans="1:4" x14ac:dyDescent="0.55000000000000004">
      <c r="A20" t="s">
        <v>78</v>
      </c>
      <c r="B20" s="1">
        <f>CHOOSE(B19,D_limit_nom,(1-Constants!B12*Fsw))</f>
        <v>0.93</v>
      </c>
      <c r="D20" t="s">
        <v>79</v>
      </c>
    </row>
    <row r="22" spans="1:4" x14ac:dyDescent="0.55000000000000004">
      <c r="A22" t="s">
        <v>88</v>
      </c>
      <c r="B22" s="12">
        <f>50*10^-9</f>
        <v>5.0000000000000004E-8</v>
      </c>
      <c r="C22" t="s">
        <v>54</v>
      </c>
      <c r="D22" t="s">
        <v>89</v>
      </c>
    </row>
    <row r="23" spans="1:4" x14ac:dyDescent="0.55000000000000004">
      <c r="B23" s="12"/>
    </row>
    <row r="24" spans="1:4" ht="15.6" x14ac:dyDescent="0.6">
      <c r="A24" s="29" t="s">
        <v>171</v>
      </c>
    </row>
    <row r="25" spans="1:4" x14ac:dyDescent="0.55000000000000004">
      <c r="A25" t="s">
        <v>144</v>
      </c>
      <c r="B25" s="12">
        <f>30*10^-6</f>
        <v>2.9999999999999997E-5</v>
      </c>
      <c r="C25" t="s">
        <v>11</v>
      </c>
      <c r="D25" t="s">
        <v>145</v>
      </c>
    </row>
    <row r="26" spans="1:4" x14ac:dyDescent="0.55000000000000004">
      <c r="A26" t="s">
        <v>146</v>
      </c>
      <c r="B26" s="12">
        <v>1333</v>
      </c>
      <c r="C26" s="2" t="s">
        <v>36</v>
      </c>
      <c r="D26" t="s">
        <v>147</v>
      </c>
    </row>
    <row r="27" spans="1:4" x14ac:dyDescent="0.55000000000000004">
      <c r="A27" t="s">
        <v>150</v>
      </c>
      <c r="B27" s="12">
        <f>0.1</f>
        <v>0.1</v>
      </c>
      <c r="C27" s="2" t="s">
        <v>10</v>
      </c>
      <c r="D27" t="s">
        <v>151</v>
      </c>
    </row>
    <row r="28" spans="1:4" x14ac:dyDescent="0.55000000000000004">
      <c r="A28" t="s">
        <v>520</v>
      </c>
      <c r="B28" s="12">
        <v>2000</v>
      </c>
      <c r="C28" s="2" t="s">
        <v>36</v>
      </c>
      <c r="D28" t="s">
        <v>521</v>
      </c>
    </row>
    <row r="29" spans="1:4" x14ac:dyDescent="0.55000000000000004">
      <c r="A29" t="s">
        <v>236</v>
      </c>
      <c r="B29" s="12">
        <f>0.145</f>
        <v>0.14499999999999999</v>
      </c>
      <c r="C29" t="s">
        <v>180</v>
      </c>
      <c r="D29" t="s">
        <v>238</v>
      </c>
    </row>
    <row r="30" spans="1:4" x14ac:dyDescent="0.55000000000000004">
      <c r="A30" t="s">
        <v>240</v>
      </c>
      <c r="B30" s="12">
        <v>1</v>
      </c>
      <c r="C30" t="s">
        <v>180</v>
      </c>
      <c r="D30" t="s">
        <v>241</v>
      </c>
    </row>
    <row r="32" spans="1:4" x14ac:dyDescent="0.55000000000000004">
      <c r="A32" s="33" t="s">
        <v>261</v>
      </c>
    </row>
    <row r="33" spans="1:4" x14ac:dyDescent="0.55000000000000004">
      <c r="A33" t="s">
        <v>282</v>
      </c>
      <c r="B33">
        <v>1</v>
      </c>
      <c r="C33" t="s">
        <v>10</v>
      </c>
      <c r="D33" t="s">
        <v>283</v>
      </c>
    </row>
    <row r="34" spans="1:4" x14ac:dyDescent="0.55000000000000004">
      <c r="A34" t="s">
        <v>265</v>
      </c>
      <c r="B34">
        <f>(2*10^-3)/1</f>
        <v>2E-3</v>
      </c>
      <c r="C34" t="s">
        <v>267</v>
      </c>
      <c r="D34" t="s">
        <v>266</v>
      </c>
    </row>
    <row r="36" spans="1:4" x14ac:dyDescent="0.55000000000000004">
      <c r="A36" s="33" t="s">
        <v>334</v>
      </c>
    </row>
    <row r="37" spans="1:4" x14ac:dyDescent="0.55000000000000004">
      <c r="A37" t="s">
        <v>335</v>
      </c>
      <c r="B37">
        <f>10*10^-6</f>
        <v>9.9999999999999991E-6</v>
      </c>
      <c r="C37" t="s">
        <v>11</v>
      </c>
      <c r="D37" t="s">
        <v>336</v>
      </c>
    </row>
    <row r="39" spans="1:4" x14ac:dyDescent="0.55000000000000004">
      <c r="A39" s="33" t="s">
        <v>355</v>
      </c>
    </row>
    <row r="40" spans="1:4" x14ac:dyDescent="0.55000000000000004">
      <c r="A40" t="s">
        <v>356</v>
      </c>
      <c r="B40">
        <v>1.5</v>
      </c>
      <c r="C40" t="s">
        <v>10</v>
      </c>
      <c r="D40" t="s">
        <v>359</v>
      </c>
    </row>
    <row r="41" spans="1:4" x14ac:dyDescent="0.55000000000000004">
      <c r="A41" t="s">
        <v>357</v>
      </c>
      <c r="B41">
        <v>1.45</v>
      </c>
      <c r="C41" t="s">
        <v>10</v>
      </c>
      <c r="D41" t="s">
        <v>358</v>
      </c>
    </row>
    <row r="42" spans="1:4" x14ac:dyDescent="0.55000000000000004">
      <c r="A42" t="s">
        <v>362</v>
      </c>
      <c r="B42">
        <f>5*10^-6</f>
        <v>4.9999999999999996E-6</v>
      </c>
      <c r="C42" t="s">
        <v>11</v>
      </c>
      <c r="D42" t="s">
        <v>363</v>
      </c>
    </row>
    <row r="44" spans="1:4" x14ac:dyDescent="0.55000000000000004">
      <c r="A44" s="33" t="s">
        <v>420</v>
      </c>
    </row>
    <row r="45" spans="1:4" x14ac:dyDescent="0.55000000000000004">
      <c r="A45" t="s">
        <v>421</v>
      </c>
      <c r="B45">
        <v>6.75</v>
      </c>
      <c r="C45" t="s">
        <v>10</v>
      </c>
      <c r="D45" t="s">
        <v>422</v>
      </c>
    </row>
    <row r="47" spans="1:4" x14ac:dyDescent="0.55000000000000004">
      <c r="A47" s="33" t="s">
        <v>439</v>
      </c>
    </row>
    <row r="48" spans="1:4" x14ac:dyDescent="0.55000000000000004">
      <c r="A48" t="s">
        <v>440</v>
      </c>
      <c r="B48">
        <f>450*(10^-6)</f>
        <v>4.4999999999999999E-4</v>
      </c>
      <c r="C48" t="s">
        <v>11</v>
      </c>
      <c r="D48" t="s">
        <v>441</v>
      </c>
    </row>
    <row r="50" spans="1:4" x14ac:dyDescent="0.55000000000000004">
      <c r="A50" t="s">
        <v>481</v>
      </c>
    </row>
    <row r="51" spans="1:4" x14ac:dyDescent="0.55000000000000004">
      <c r="A51" t="s">
        <v>482</v>
      </c>
      <c r="B51">
        <v>1.5</v>
      </c>
      <c r="C51" t="s">
        <v>10</v>
      </c>
      <c r="D51" t="s">
        <v>483</v>
      </c>
    </row>
    <row r="52" spans="1:4" x14ac:dyDescent="0.55000000000000004">
      <c r="A52" t="s">
        <v>485</v>
      </c>
      <c r="B52">
        <v>45</v>
      </c>
      <c r="C52" t="s">
        <v>10</v>
      </c>
      <c r="D52" t="s">
        <v>484</v>
      </c>
    </row>
    <row r="53" spans="1:4" x14ac:dyDescent="0.55000000000000004">
      <c r="A53" t="s">
        <v>580</v>
      </c>
      <c r="B53">
        <v>60</v>
      </c>
      <c r="C53" t="s">
        <v>10</v>
      </c>
      <c r="D53" t="s">
        <v>581</v>
      </c>
    </row>
  </sheetData>
  <mergeCells count="2">
    <mergeCell ref="A1:I1"/>
    <mergeCell ref="E5:H5"/>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2:B3"/>
  <sheetViews>
    <sheetView topLeftCell="B1" zoomScale="70" zoomScaleNormal="70" workbookViewId="0">
      <selection activeCell="E3" sqref="E3"/>
    </sheetView>
  </sheetViews>
  <sheetFormatPr defaultRowHeight="14.4" x14ac:dyDescent="0.55000000000000004"/>
  <cols>
    <col min="3" max="3" width="144.68359375" customWidth="1"/>
  </cols>
  <sheetData>
    <row r="2" spans="2:2" x14ac:dyDescent="0.55000000000000004">
      <c r="B2" t="str">
        <f>"Eff_vs_IOUT"</f>
        <v>Eff_vs_IOUT</v>
      </c>
    </row>
    <row r="3" spans="2:2" ht="379.95" customHeight="1" x14ac:dyDescent="0.55000000000000004"/>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4"/>
  <sheetViews>
    <sheetView workbookViewId="0">
      <selection activeCell="A2" sqref="A2"/>
    </sheetView>
  </sheetViews>
  <sheetFormatPr defaultRowHeight="14.4" x14ac:dyDescent="0.55000000000000004"/>
  <cols>
    <col min="2" max="2" width="76.1015625" customWidth="1"/>
  </cols>
  <sheetData>
    <row r="1" spans="1:1" x14ac:dyDescent="0.55000000000000004">
      <c r="A1" t="str">
        <f>IF('Design Converter'!H7&gt;=3,"SCH_1","SCH_2")</f>
        <v>SCH_1</v>
      </c>
    </row>
    <row r="2" spans="1:1" ht="267.60000000000002" customHeight="1" x14ac:dyDescent="0.55000000000000004"/>
    <row r="4" spans="1:1" ht="267.60000000000002" customHeight="1" x14ac:dyDescent="0.55000000000000004"/>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2:D11"/>
  <sheetViews>
    <sheetView workbookViewId="0">
      <selection activeCell="D20" sqref="D20"/>
    </sheetView>
  </sheetViews>
  <sheetFormatPr defaultRowHeight="14.4" x14ac:dyDescent="0.55000000000000004"/>
  <sheetData>
    <row r="2" spans="1:4" x14ac:dyDescent="0.55000000000000004">
      <c r="A2" t="s">
        <v>458</v>
      </c>
    </row>
    <row r="3" spans="1:4" x14ac:dyDescent="0.55000000000000004">
      <c r="B3" s="47">
        <f>VIN_min</f>
        <v>19.7</v>
      </c>
    </row>
    <row r="4" spans="1:4" x14ac:dyDescent="0.55000000000000004">
      <c r="B4" s="221">
        <f>VIN_nom</f>
        <v>20</v>
      </c>
      <c r="D4">
        <v>2.5</v>
      </c>
    </row>
    <row r="5" spans="1:4" x14ac:dyDescent="0.55000000000000004">
      <c r="B5" s="222">
        <f>VIN_max</f>
        <v>20.3</v>
      </c>
    </row>
    <row r="8" spans="1:4" x14ac:dyDescent="0.55000000000000004">
      <c r="A8" t="s">
        <v>552</v>
      </c>
    </row>
    <row r="9" spans="1:4" x14ac:dyDescent="0.55000000000000004">
      <c r="B9" s="47" t="s">
        <v>495</v>
      </c>
    </row>
    <row r="10" spans="1:4" x14ac:dyDescent="0.55000000000000004">
      <c r="B10" s="221" t="s">
        <v>496</v>
      </c>
    </row>
    <row r="11" spans="1:4" x14ac:dyDescent="0.55000000000000004">
      <c r="B11" s="222"/>
    </row>
  </sheetData>
  <dataValidations count="3">
    <dataValidation type="list" allowBlank="1" showInputMessage="1" showErrorMessage="1" sqref="D4" xr:uid="{00000000-0002-0000-0700-000000000000}">
      <formula1>$B$3:$B$5</formula1>
    </dataValidation>
    <dataValidation type="decimal" allowBlank="1" showInputMessage="1" showErrorMessage="1" sqref="F4" xr:uid="{00000000-0002-0000-0700-000001000000}">
      <formula1>B3</formula1>
      <formula2>B5</formula2>
    </dataValidation>
    <dataValidation type="list" showDropDown="1" showInputMessage="1" showErrorMessage="1" sqref="I15" xr:uid="{00000000-0002-0000-0700-000002000000}">
      <formula1>$B$3:$B$5</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5DCCB-1154-4E1B-AC0A-91A88D9D073F}">
  <sheetPr codeName="Sheet9"/>
  <dimension ref="A1:AM47"/>
  <sheetViews>
    <sheetView showGridLines="0" showRowColHeaders="0" zoomScaleNormal="100" workbookViewId="0">
      <selection activeCell="B5" sqref="B5"/>
    </sheetView>
  </sheetViews>
  <sheetFormatPr defaultColWidth="9.1015625" defaultRowHeight="13.8" x14ac:dyDescent="0.45"/>
  <cols>
    <col min="1" max="1" width="25.68359375" style="150" bestFit="1" customWidth="1"/>
    <col min="2" max="2" width="56.5234375" style="151" customWidth="1"/>
    <col min="3" max="11" width="9.1015625" style="144"/>
    <col min="12" max="12" width="20.41796875" style="144" customWidth="1"/>
    <col min="13" max="16384" width="9.1015625" style="144"/>
  </cols>
  <sheetData>
    <row r="1" spans="1:12" x14ac:dyDescent="0.45">
      <c r="A1" s="246"/>
      <c r="B1" s="246"/>
      <c r="C1" s="246"/>
      <c r="D1" s="246"/>
      <c r="E1" s="246"/>
      <c r="F1" s="246"/>
      <c r="G1" s="246"/>
      <c r="H1" s="246"/>
      <c r="I1" s="246"/>
      <c r="J1" s="246"/>
      <c r="K1" s="246"/>
      <c r="L1" s="246"/>
    </row>
    <row r="2" spans="1:12" x14ac:dyDescent="0.45">
      <c r="A2" s="246"/>
      <c r="B2" s="246"/>
      <c r="C2" s="246"/>
      <c r="D2" s="246"/>
      <c r="E2" s="246"/>
      <c r="F2" s="246"/>
      <c r="G2" s="246"/>
      <c r="H2" s="246"/>
      <c r="I2" s="246"/>
      <c r="J2" s="246"/>
      <c r="K2" s="246"/>
      <c r="L2" s="246"/>
    </row>
    <row r="3" spans="1:12" x14ac:dyDescent="0.45">
      <c r="A3" s="246"/>
      <c r="B3" s="246"/>
      <c r="C3" s="246"/>
      <c r="D3" s="246"/>
      <c r="E3" s="246"/>
      <c r="F3" s="246"/>
      <c r="G3" s="246"/>
      <c r="H3" s="246"/>
      <c r="I3" s="246"/>
      <c r="J3" s="246"/>
      <c r="K3" s="246"/>
      <c r="L3" s="246"/>
    </row>
    <row r="4" spans="1:12" ht="12.75" customHeight="1" x14ac:dyDescent="0.45">
      <c r="A4" s="247"/>
      <c r="B4" s="247"/>
      <c r="C4" s="247"/>
      <c r="D4" s="247"/>
      <c r="E4" s="247"/>
      <c r="F4" s="247"/>
      <c r="G4" s="247"/>
      <c r="H4" s="247"/>
      <c r="I4" s="247"/>
      <c r="J4" s="247"/>
      <c r="K4" s="247"/>
      <c r="L4" s="247"/>
    </row>
    <row r="5" spans="1:12" x14ac:dyDescent="0.45">
      <c r="A5" s="145" t="s">
        <v>523</v>
      </c>
      <c r="B5" s="157" t="s">
        <v>575</v>
      </c>
      <c r="C5" s="147"/>
      <c r="D5" s="147"/>
      <c r="E5" s="147"/>
      <c r="F5" s="147"/>
      <c r="G5" s="147"/>
      <c r="H5" s="147"/>
      <c r="I5" s="147"/>
      <c r="J5" s="147"/>
      <c r="K5" s="148"/>
      <c r="L5" s="149"/>
    </row>
    <row r="6" spans="1:12" x14ac:dyDescent="0.45">
      <c r="A6" s="145"/>
      <c r="B6" s="146"/>
      <c r="C6" s="147"/>
      <c r="D6" s="147"/>
      <c r="E6" s="147"/>
      <c r="F6" s="147"/>
      <c r="G6" s="147"/>
      <c r="H6" s="147"/>
      <c r="I6" s="147"/>
      <c r="J6" s="149"/>
      <c r="K6" s="149"/>
      <c r="L6" s="149"/>
    </row>
    <row r="35" spans="1:39" x14ac:dyDescent="0.45">
      <c r="A35" s="152" t="s">
        <v>525</v>
      </c>
      <c r="B35" s="153"/>
      <c r="C35" s="147"/>
      <c r="D35" s="147"/>
      <c r="E35" s="147"/>
      <c r="F35" s="147"/>
      <c r="G35" s="147"/>
      <c r="H35" s="147"/>
      <c r="I35" s="147"/>
      <c r="J35" s="147"/>
      <c r="K35" s="147"/>
    </row>
    <row r="36" spans="1:39" x14ac:dyDescent="0.45">
      <c r="A36" s="154" t="s">
        <v>526</v>
      </c>
      <c r="B36" s="248" t="s">
        <v>527</v>
      </c>
      <c r="C36" s="248"/>
      <c r="D36" s="248"/>
      <c r="E36" s="248"/>
      <c r="F36" s="248"/>
      <c r="G36" s="248"/>
      <c r="H36" s="248"/>
      <c r="I36" s="248"/>
      <c r="J36" s="248"/>
      <c r="K36" s="248"/>
    </row>
    <row r="37" spans="1:39" x14ac:dyDescent="0.45">
      <c r="A37" s="152" t="s">
        <v>524</v>
      </c>
      <c r="B37" s="249" t="s">
        <v>528</v>
      </c>
      <c r="C37" s="249"/>
      <c r="D37" s="249"/>
      <c r="E37" s="249"/>
      <c r="F37" s="249"/>
      <c r="G37" s="249"/>
      <c r="H37" s="249"/>
      <c r="I37" s="249"/>
      <c r="J37" s="249"/>
      <c r="K37" s="249"/>
    </row>
    <row r="38" spans="1:39" ht="14.25" customHeight="1" x14ac:dyDescent="0.45">
      <c r="A38" s="156" t="s">
        <v>531</v>
      </c>
      <c r="B38" s="250" t="s">
        <v>532</v>
      </c>
      <c r="C38" s="250"/>
      <c r="D38" s="250"/>
      <c r="E38" s="250"/>
      <c r="F38" s="250"/>
      <c r="G38" s="250"/>
      <c r="H38" s="250"/>
      <c r="I38" s="250"/>
      <c r="J38" s="250"/>
      <c r="K38" s="250"/>
    </row>
    <row r="39" spans="1:39" ht="14.25" customHeight="1" x14ac:dyDescent="0.45">
      <c r="A39" s="156" t="s">
        <v>575</v>
      </c>
      <c r="B39" s="226" t="s">
        <v>576</v>
      </c>
      <c r="C39" s="226"/>
      <c r="D39" s="226"/>
      <c r="E39" s="226"/>
      <c r="F39" s="226"/>
      <c r="G39" s="226"/>
      <c r="H39" s="226"/>
      <c r="I39" s="226"/>
      <c r="J39" s="226"/>
      <c r="K39" s="226"/>
    </row>
    <row r="40" spans="1:39" ht="14.25" customHeight="1" x14ac:dyDescent="0.45">
      <c r="A40" s="156"/>
      <c r="B40" s="226"/>
      <c r="C40" s="226"/>
      <c r="D40" s="226"/>
      <c r="E40" s="226"/>
      <c r="F40" s="226"/>
      <c r="G40" s="226"/>
      <c r="H40" s="226"/>
      <c r="I40" s="226"/>
      <c r="J40" s="226"/>
      <c r="K40" s="226"/>
    </row>
    <row r="41" spans="1:39" ht="14.25" customHeight="1" x14ac:dyDescent="0.45">
      <c r="A41" s="156"/>
      <c r="B41" s="226"/>
      <c r="C41" s="226"/>
      <c r="D41" s="226"/>
      <c r="E41" s="226"/>
      <c r="F41" s="226"/>
      <c r="G41" s="226"/>
      <c r="H41" s="226"/>
      <c r="I41" s="226"/>
      <c r="J41" s="226"/>
      <c r="K41" s="226"/>
    </row>
    <row r="42" spans="1:39" x14ac:dyDescent="0.45">
      <c r="A42" s="156"/>
      <c r="B42" s="226"/>
      <c r="C42" s="226"/>
      <c r="D42" s="226"/>
      <c r="E42" s="226"/>
      <c r="F42" s="226"/>
      <c r="G42" s="226"/>
      <c r="H42" s="226"/>
      <c r="I42" s="226"/>
      <c r="J42" s="226"/>
      <c r="K42" s="226"/>
    </row>
    <row r="43" spans="1:39" x14ac:dyDescent="0.45">
      <c r="A43" s="156"/>
      <c r="B43" s="226"/>
      <c r="C43" s="226"/>
      <c r="D43" s="226"/>
      <c r="E43" s="226"/>
      <c r="F43" s="226"/>
      <c r="G43" s="226"/>
      <c r="H43" s="226"/>
      <c r="I43" s="226"/>
      <c r="J43" s="226"/>
      <c r="K43" s="226"/>
    </row>
    <row r="44" spans="1:39" ht="14.1" x14ac:dyDescent="0.45">
      <c r="A44" s="156"/>
      <c r="B44" s="226"/>
      <c r="C44" s="226"/>
      <c r="D44" s="226"/>
      <c r="E44" s="226"/>
      <c r="F44" s="226"/>
      <c r="G44" s="226"/>
      <c r="H44" s="226"/>
      <c r="I44" s="226"/>
      <c r="J44" s="226"/>
      <c r="K44" s="226"/>
      <c r="L44" s="155"/>
      <c r="M44" s="155"/>
      <c r="N44" s="155"/>
      <c r="O44" s="155"/>
      <c r="P44" s="155"/>
      <c r="Q44" s="155"/>
      <c r="R44" s="155"/>
      <c r="S44" s="155"/>
      <c r="T44" s="155"/>
      <c r="U44" s="155"/>
      <c r="V44" s="155"/>
      <c r="W44" s="155"/>
      <c r="X44" s="155"/>
      <c r="Y44" s="155"/>
      <c r="Z44" s="155"/>
      <c r="AA44" s="155"/>
      <c r="AB44" s="155"/>
      <c r="AC44" s="155"/>
      <c r="AD44" s="155"/>
      <c r="AE44" s="155"/>
      <c r="AF44" s="155"/>
      <c r="AG44" s="155"/>
      <c r="AH44" s="155"/>
      <c r="AI44" s="155"/>
      <c r="AJ44" s="155"/>
      <c r="AK44" s="155"/>
      <c r="AL44" s="155"/>
      <c r="AM44" s="155"/>
    </row>
    <row r="45" spans="1:39" x14ac:dyDescent="0.45">
      <c r="A45" s="156"/>
      <c r="B45" s="226"/>
      <c r="C45" s="226"/>
      <c r="D45" s="226"/>
      <c r="E45" s="226"/>
      <c r="F45" s="226"/>
      <c r="G45" s="226"/>
      <c r="H45" s="226"/>
      <c r="I45" s="226"/>
      <c r="J45" s="226"/>
      <c r="K45" s="226"/>
    </row>
    <row r="46" spans="1:39" x14ac:dyDescent="0.45">
      <c r="A46" s="156"/>
      <c r="B46" s="226"/>
      <c r="C46" s="226"/>
      <c r="D46" s="226"/>
      <c r="E46" s="226"/>
      <c r="F46" s="226"/>
      <c r="G46" s="226"/>
      <c r="H46" s="226"/>
      <c r="I46" s="226"/>
      <c r="J46" s="226"/>
      <c r="K46" s="226"/>
    </row>
    <row r="47" spans="1:39" x14ac:dyDescent="0.45">
      <c r="A47" s="156"/>
      <c r="B47" s="226"/>
    </row>
  </sheetData>
  <sheetProtection algorithmName="SHA-512" hashValue="w01gbvbP5UAcO48uUSPEcM42DLQN7csQvCqJuiQNlT2ekF2fq5jE6wMXzUF2sGQQxMvVP9g7SkV1wWRVLYe5KQ==" saltValue="LTIZtgTeeFd21Qi1VHycQA==" spinCount="100000" sheet="1" objects="1" scenarios="1" selectLockedCells="1" selectUnlockedCells="1"/>
  <mergeCells count="5">
    <mergeCell ref="A1:L3"/>
    <mergeCell ref="A4:L4"/>
    <mergeCell ref="B36:K36"/>
    <mergeCell ref="B37:K37"/>
    <mergeCell ref="B38:K3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131</vt:i4>
      </vt:variant>
    </vt:vector>
  </HeadingPairs>
  <TitlesOfParts>
    <vt:vector size="141" baseType="lpstr">
      <vt:lpstr>Design Converter</vt:lpstr>
      <vt:lpstr>Variable_Management</vt:lpstr>
      <vt:lpstr>Eff_vs_IOUT</vt:lpstr>
      <vt:lpstr>Loop_Modeling</vt:lpstr>
      <vt:lpstr>Constants</vt:lpstr>
      <vt:lpstr>Plot_Management_Eff</vt:lpstr>
      <vt:lpstr>Plot_Management_Sch</vt:lpstr>
      <vt:lpstr>Lists</vt:lpstr>
      <vt:lpstr>Licenses</vt:lpstr>
      <vt:lpstr>Sheet1</vt:lpstr>
      <vt:lpstr>Acs</vt:lpstr>
      <vt:lpstr>Adc</vt:lpstr>
      <vt:lpstr>Adc_ea</vt:lpstr>
      <vt:lpstr>ADC_VINmin</vt:lpstr>
      <vt:lpstr>CCOMP</vt:lpstr>
      <vt:lpstr>CComp_calc</vt:lpstr>
      <vt:lpstr>CHF</vt:lpstr>
      <vt:lpstr>Comp_calc</vt:lpstr>
      <vt:lpstr>Cout</vt:lpstr>
      <vt:lpstr>Cout_min</vt:lpstr>
      <vt:lpstr>D_limit_max</vt:lpstr>
      <vt:lpstr>D_limit_min</vt:lpstr>
      <vt:lpstr>D_limit_nom</vt:lpstr>
      <vt:lpstr>Dc_CCM_VIN_max</vt:lpstr>
      <vt:lpstr>Dc_CCM_VIN_min</vt:lpstr>
      <vt:lpstr>Dc_CCM_VIN_nom</vt:lpstr>
      <vt:lpstr>Dc_DCM_VIN_nom</vt:lpstr>
      <vt:lpstr>Dc_max_IC</vt:lpstr>
      <vt:lpstr>Dc_max_ideal</vt:lpstr>
      <vt:lpstr>Dc_Mode</vt:lpstr>
      <vt:lpstr>Dc_Mode_Loop</vt:lpstr>
      <vt:lpstr>Dc_rip_max</vt:lpstr>
      <vt:lpstr>Dc_VIN_max</vt:lpstr>
      <vt:lpstr>Dc_VIN_min</vt:lpstr>
      <vt:lpstr>Dc_VIN_nom</vt:lpstr>
      <vt:lpstr>EFF_est</vt:lpstr>
      <vt:lpstr>Eff_vs_IOUT</vt:lpstr>
      <vt:lpstr>fcross</vt:lpstr>
      <vt:lpstr>fcross_est</vt:lpstr>
      <vt:lpstr>fp_ea_est</vt:lpstr>
      <vt:lpstr>Fsw</vt:lpstr>
      <vt:lpstr>fz_ea_est</vt:lpstr>
      <vt:lpstr>fz_rhp</vt:lpstr>
      <vt:lpstr>Gcomp</vt:lpstr>
      <vt:lpstr>Gea_mid_calc</vt:lpstr>
      <vt:lpstr>gfs</vt:lpstr>
      <vt:lpstr>gm_ea</vt:lpstr>
      <vt:lpstr>Gplant_fc_dB</vt:lpstr>
      <vt:lpstr>IIN_33</vt:lpstr>
      <vt:lpstr>IL_avg_VIN_max</vt:lpstr>
      <vt:lpstr>IL_avg_VIN_min</vt:lpstr>
      <vt:lpstr>IL_avg_VIN_nom</vt:lpstr>
      <vt:lpstr>IL_pk</vt:lpstr>
      <vt:lpstr>IL_pk_max</vt:lpstr>
      <vt:lpstr>ILp_VINmax</vt:lpstr>
      <vt:lpstr>ILp_VINmin</vt:lpstr>
      <vt:lpstr>ILp_VINnom</vt:lpstr>
      <vt:lpstr>ILrip</vt:lpstr>
      <vt:lpstr>ILrip_VINmax</vt:lpstr>
      <vt:lpstr>ILrip_VINmin</vt:lpstr>
      <vt:lpstr>ILrip_VINnom</vt:lpstr>
      <vt:lpstr>IOUT</vt:lpstr>
      <vt:lpstr>Ipk_margin</vt:lpstr>
      <vt:lpstr>Ipk_selected</vt:lpstr>
      <vt:lpstr>IQ</vt:lpstr>
      <vt:lpstr>IRMS_COUT</vt:lpstr>
      <vt:lpstr>Isl</vt:lpstr>
      <vt:lpstr>Iss</vt:lpstr>
      <vt:lpstr>Kslope</vt:lpstr>
      <vt:lpstr>L_DCM</vt:lpstr>
      <vt:lpstr>Lm</vt:lpstr>
      <vt:lpstr>Lopt</vt:lpstr>
      <vt:lpstr>Lopt_2</vt:lpstr>
      <vt:lpstr>POUT</vt:lpstr>
      <vt:lpstr>'Design Converter'!Print_Area</vt:lpstr>
      <vt:lpstr>Q</vt:lpstr>
      <vt:lpstr>Q_VINmin</vt:lpstr>
      <vt:lpstr>Qg_tot</vt:lpstr>
      <vt:lpstr>Qgd</vt:lpstr>
      <vt:lpstr>Qgs</vt:lpstr>
      <vt:lpstr>Qrr</vt:lpstr>
      <vt:lpstr>R_cs</vt:lpstr>
      <vt:lpstr>R_sl</vt:lpstr>
      <vt:lpstr>RCOMP</vt:lpstr>
      <vt:lpstr>Rcomp_calc</vt:lpstr>
      <vt:lpstr>Rcs_max</vt:lpstr>
      <vt:lpstr>Rcs_w_sl</vt:lpstr>
      <vt:lpstr>Rcs_wo_sl</vt:lpstr>
      <vt:lpstr>Rdcr</vt:lpstr>
      <vt:lpstr>RDS_on</vt:lpstr>
      <vt:lpstr>Resr</vt:lpstr>
      <vt:lpstr>RFBB</vt:lpstr>
      <vt:lpstr>RFBB_calc</vt:lpstr>
      <vt:lpstr>RFBT</vt:lpstr>
      <vt:lpstr>Rgate</vt:lpstr>
      <vt:lpstr>ROUT</vt:lpstr>
      <vt:lpstr>Rsl_int</vt:lpstr>
      <vt:lpstr>Rsl_max</vt:lpstr>
      <vt:lpstr>RT</vt:lpstr>
      <vt:lpstr>Ruvlo_bottom_calc</vt:lpstr>
      <vt:lpstr>Ruvlo_top</vt:lpstr>
      <vt:lpstr>Ruvlo_top_calc</vt:lpstr>
      <vt:lpstr>SCH_1</vt:lpstr>
      <vt:lpstr>SCH_2</vt:lpstr>
      <vt:lpstr>Se_VINmin</vt:lpstr>
      <vt:lpstr>Sn_VINmin</vt:lpstr>
      <vt:lpstr>tf_sw</vt:lpstr>
      <vt:lpstr>tr_sw</vt:lpstr>
      <vt:lpstr>tss</vt:lpstr>
      <vt:lpstr>UV_fall</vt:lpstr>
      <vt:lpstr>UV_I_hyst</vt:lpstr>
      <vt:lpstr>UV_rise</vt:lpstr>
      <vt:lpstr>Vcc</vt:lpstr>
      <vt:lpstr>Vcl</vt:lpstr>
      <vt:lpstr>Vd_rect</vt:lpstr>
      <vt:lpstr>VIN_33</vt:lpstr>
      <vt:lpstr>VIN_max</vt:lpstr>
      <vt:lpstr>VIN_min</vt:lpstr>
      <vt:lpstr>VIN_nom</vt:lpstr>
      <vt:lpstr>VIN_op_max</vt:lpstr>
      <vt:lpstr>VIN_op_max_56</vt:lpstr>
      <vt:lpstr>VIN_op_min</vt:lpstr>
      <vt:lpstr>VIN_var</vt:lpstr>
      <vt:lpstr>VOUT</vt:lpstr>
      <vt:lpstr>Vout_rip_sel</vt:lpstr>
      <vt:lpstr>Vref</vt:lpstr>
      <vt:lpstr>Vth</vt:lpstr>
      <vt:lpstr>Vuvlo_off</vt:lpstr>
      <vt:lpstr>Vuvlo_on</vt:lpstr>
      <vt:lpstr>wp_hf</vt:lpstr>
      <vt:lpstr>wp_lf</vt:lpstr>
      <vt:lpstr>wp_lf_VINmin</vt:lpstr>
      <vt:lpstr>wp0_ea</vt:lpstr>
      <vt:lpstr>wp1_ea</vt:lpstr>
      <vt:lpstr>wsl</vt:lpstr>
      <vt:lpstr>wsl_VINmin</vt:lpstr>
      <vt:lpstr>wz_ea</vt:lpstr>
      <vt:lpstr>wz_esr</vt:lpstr>
      <vt:lpstr>wz_esr_VINmin</vt:lpstr>
      <vt:lpstr>wz_rhp</vt:lpstr>
      <vt:lpstr>wz_RHP_VINmin</vt:lpstr>
    </vt:vector>
  </TitlesOfParts>
  <Company>Texas Instruments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BMC-BCS</dc:creator>
  <cp:lastModifiedBy>Paul Willis</cp:lastModifiedBy>
  <cp:lastPrinted>2018-08-09T07:13:51Z</cp:lastPrinted>
  <dcterms:created xsi:type="dcterms:W3CDTF">2018-06-26T09:13:29Z</dcterms:created>
  <dcterms:modified xsi:type="dcterms:W3CDTF">2024-01-03T02:28:56Z</dcterms:modified>
</cp:coreProperties>
</file>