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Paul\Nextcloud\Documents\Projects\nixieclock\nixie-clock-ice\KiCad\nixieAccurateClock\"/>
    </mc:Choice>
  </mc:AlternateContent>
  <xr:revisionPtr revIDLastSave="0" documentId="13_ncr:1_{E4DA0822-9779-42CC-B078-194842BB62BA}" xr6:coauthVersionLast="47" xr6:coauthVersionMax="47" xr10:uidLastSave="{00000000-0000-0000-0000-000000000000}"/>
  <workbookProtection workbookAlgorithmName="SHA-512" workbookHashValue="gc34FGggw3Ir8zQVSgaZChUqrVvVKYZwhSXpduqtPUD6nQuIaEe42JJKFmE/OmtpkzYp1ZfCj82eR88ZFlGbkQ==" workbookSaltValue="MvI2n84VClkXRpVOZBZk3g==" workbookSpinCount="100000" lockStructure="1"/>
  <bookViews>
    <workbookView xWindow="7596" yWindow="5688" windowWidth="25740" windowHeight="15588"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Licenses" sheetId="10" r:id="rId9"/>
    <sheet name="Sheet1" sheetId="9" state="hidden" r:id="rId10"/>
  </sheets>
  <externalReferences>
    <externalReference r:id="rId11"/>
  </externalReferences>
  <definedNames>
    <definedName name="Acs">Constants!$B$30</definedName>
    <definedName name="Adc">Loop_Modeling!$B$35</definedName>
    <definedName name="Adc_ea">Loop_Modeling!$B$61</definedName>
    <definedName name="ADC_VINmin">Variable_Management!$B$189</definedName>
    <definedName name="CCOMP">Variable_Management!$B$230</definedName>
    <definedName name="CComp_calc">Variable_Management!$B$229</definedName>
    <definedName name="CHF">Variable_Management!$B$232</definedName>
    <definedName name="Comp_calc">Variable_Management!$B$229</definedName>
    <definedName name="CondMode">OFFSET(Lists!$B$9,0,0,COUNTIF(Lists!$B$9:$B$11,"?CM*"),1)</definedName>
    <definedName name="Cout">Variable_Management!$B$155</definedName>
    <definedName name="Cout_min">Variable_Management!$B$153</definedName>
    <definedName name="D_limit_max">Constants!$B$18</definedName>
    <definedName name="D_limit_min">Constants!$B$16</definedName>
    <definedName name="D_limit_nom">Constants!$B$17</definedName>
    <definedName name="Dc_CCM_VIN_max">Variable_Management!$B$50</definedName>
    <definedName name="Dc_CCM_VIN_min">Variable_Management!$B$42</definedName>
    <definedName name="Dc_CCM_VIN_nom">Variable_Management!$B$46</definedName>
    <definedName name="Dc_DCM_VIN_nom">Variable_Management!$B$62</definedName>
    <definedName name="Dc_max_IC">Variable_Management!$B$21</definedName>
    <definedName name="Dc_max_ideal">Variable_Management!$A$20</definedName>
    <definedName name="Dc_Mode">Variable_Management!$B$36</definedName>
    <definedName name="Dc_Mode_Loop">Loop_Modeling!$B$14</definedName>
    <definedName name="Dc_rip_max">Variable_Management!$B$79</definedName>
    <definedName name="Dc_VIN_max">Variable_Management!$B$31</definedName>
    <definedName name="Dc_VIN_min">Variable_Management!$B$23</definedName>
    <definedName name="Dc_VIN_nom">Variable_Management!$B$27</definedName>
    <definedName name="display_SCH">INDIRECT(Plot_Management_Sch!$A$1)</definedName>
    <definedName name="EFF_est">Variable_Management!$B$17</definedName>
    <definedName name="Eff_vs_IOUT">Plot_Management_Eff!$C$3</definedName>
    <definedName name="fcross">Variable_Management!$B$213</definedName>
    <definedName name="fcross_est">Variable_Management!$B$212</definedName>
    <definedName name="FIR_BYPASSED">'[1]Digital Filter'!$T$84</definedName>
    <definedName name="fp_ea_est">Variable_Management!$B$223</definedName>
    <definedName name="Fsw">Variable_Management!$B$10</definedName>
    <definedName name="fz_ea_est">Variable_Management!$B$221</definedName>
    <definedName name="fz_rhp">Variable_Management!$B$198</definedName>
    <definedName name="Gcomp">Constants!$B$29</definedName>
    <definedName name="Gea_mid_calc">Variable_Management!$B$217</definedName>
    <definedName name="gfs">Variable_Management!$B$249</definedName>
    <definedName name="gm_ea">Constants!$B$34</definedName>
    <definedName name="Gplant_fc_dB">Loop_Modeling!$AD$7</definedName>
    <definedName name="IIN_33">Variable_Management!$B$81</definedName>
    <definedName name="IL_avg_VIN_max">Variable_Management!$B$33</definedName>
    <definedName name="IL_avg_VIN_min">Variable_Management!$B$25</definedName>
    <definedName name="IL_avg_VIN_nom">Variable_Management!$B$29</definedName>
    <definedName name="IL_pk">Variable_Management!$B$142</definedName>
    <definedName name="IL_pk_max">Variable_Management!$B$143</definedName>
    <definedName name="ILp_VINmax">Variable_Management!$B$119</definedName>
    <definedName name="ILp_VINmin">Variable_Management!$B$113</definedName>
    <definedName name="ILp_VINnom">Variable_Management!$B$116</definedName>
    <definedName name="ILrip">Variable_Management!$B$71</definedName>
    <definedName name="ILrip_VINmax">Variable_Management!$B$118</definedName>
    <definedName name="ILrip_VINmin">Variable_Management!$B$112</definedName>
    <definedName name="ILrip_VINnom">Variable_Management!$B$115</definedName>
    <definedName name="IOUT">Variable_Management!$B$14</definedName>
    <definedName name="Ipk_margin">Variable_Management!$B$122</definedName>
    <definedName name="Ipk_selected">Variable_Management!$B$123</definedName>
    <definedName name="IQ">Constants!$B$48</definedName>
    <definedName name="IRMS_COUT">Variable_Management!$B$154</definedName>
    <definedName name="Isl">Constants!$B$25</definedName>
    <definedName name="Iss">Constants!$B$37</definedName>
    <definedName name="Kslope">Variable_Management!$B$130</definedName>
    <definedName name="L_DCM">Variable_Management!$B$89</definedName>
    <definedName name="Lm">Variable_Management!$B$84</definedName>
    <definedName name="Lopt">Variable_Management!$B$76</definedName>
    <definedName name="Lopt_2">Variable_Management!$B$82</definedName>
    <definedName name="POUT">Variable_Management!$B$16</definedName>
    <definedName name="_xlnm.Print_Area" localSheetId="0">'Design Converter'!$A$1:$Z$100</definedName>
    <definedName name="Q">Loop_Modeling!$B$49</definedName>
    <definedName name="Q_VINmin">Variable_Management!$B$206</definedName>
    <definedName name="Qg_tot">Variable_Management!$B$244</definedName>
    <definedName name="Qgd">Variable_Management!$B$245</definedName>
    <definedName name="Qgs">Variable_Management!$B$246</definedName>
    <definedName name="Qrr">Variable_Management!$B$239</definedName>
    <definedName name="R_cs">Variable_Management!$B$138</definedName>
    <definedName name="R_sl">Variable_Management!$B$139</definedName>
    <definedName name="RCOMP">Variable_Management!$B$228</definedName>
    <definedName name="Rcomp_calc">Variable_Management!$B$227</definedName>
    <definedName name="Rcs_max">Variable_Management!$B$127</definedName>
    <definedName name="Rcs_w_sl">Variable_Management!$B$131</definedName>
    <definedName name="Rcs_wo_sl">Variable_Management!$B$128</definedName>
    <definedName name="Rdcr">Variable_Management!$B$85</definedName>
    <definedName name="RDS_on">Variable_Management!$B$243</definedName>
    <definedName name="Resr">Variable_Management!$B$156</definedName>
    <definedName name="RFBB">Variable_Management!$B$184</definedName>
    <definedName name="RFBB_calc">Variable_Management!$B$183</definedName>
    <definedName name="RFBT">Variable_Management!$B$182</definedName>
    <definedName name="Rgate">Variable_Management!$B$247</definedName>
    <definedName name="ROUT">Variable_Management!$B$15</definedName>
    <definedName name="Rsl_int">Constants!$B$26</definedName>
    <definedName name="Rsl_max">Constants!$B$28</definedName>
    <definedName name="RT">Variable_Management!$B$11</definedName>
    <definedName name="Ruvlo_bottom_calc">Variable_Management!$B$173</definedName>
    <definedName name="Ruvlo_top">Variable_Management!$B$172</definedName>
    <definedName name="Ruvlo_top_calc">Variable_Management!$B$171</definedName>
    <definedName name="SCH_1">Plot_Management_Sch!$B$2</definedName>
    <definedName name="SCH_2">Plot_Management_Sch!$B$4</definedName>
    <definedName name="Se_VINmin">Variable_Management!$B$202</definedName>
    <definedName name="Sn_VINmin">Variable_Management!$B$203</definedName>
    <definedName name="tf_sw">Variable_Management!$B$256</definedName>
    <definedName name="tr_sw">Variable_Management!$B$255</definedName>
    <definedName name="tss">Variable_Management!$B$162</definedName>
    <definedName name="UV_fall">Constants!$B$41</definedName>
    <definedName name="UV_I_hyst">Constants!$B$42</definedName>
    <definedName name="UV_rise">Constants!$B$40</definedName>
    <definedName name="Vcc">Constants!$B$45</definedName>
    <definedName name="Vcl">Constants!$B$27</definedName>
    <definedName name="Vd_rect">Variable_Management!$B$238</definedName>
    <definedName name="VIN_33">Variable_Management!$B$80</definedName>
    <definedName name="VIN_max">Variable_Management!$B$9</definedName>
    <definedName name="VIN_min">Variable_Management!$B$7</definedName>
    <definedName name="VIN_nom">Variable_Management!$B$8</definedName>
    <definedName name="VIN_op_max">Constants!$B$52</definedName>
    <definedName name="VIN_op_max_56">Constants!$B$53</definedName>
    <definedName name="VIN_op_min">Constants!$B$51</definedName>
    <definedName name="VIN_var">Variable_Management!$B$8</definedName>
    <definedName name="VOUT">Variable_Management!$B$13</definedName>
    <definedName name="Vout_rip_sel">Variable_Management!$B$152</definedName>
    <definedName name="Vref">Constants!$B$33</definedName>
    <definedName name="Vth">Variable_Management!$B$250</definedName>
    <definedName name="Vuvlo_off">Variable_Management!$B$167</definedName>
    <definedName name="Vuvlo_on">Variable_Management!$B$166</definedName>
    <definedName name="wp_hf">Loop_Modeling!$B$50</definedName>
    <definedName name="wp_lf">Loop_Modeling!$B$36</definedName>
    <definedName name="wp_lf_VINmin">Variable_Management!$B$191</definedName>
    <definedName name="wp0_ea">Loop_Modeling!$B$63</definedName>
    <definedName name="wp1_ea">Loop_Modeling!$B$64</definedName>
    <definedName name="wsl">Loop_Modeling!$B$48</definedName>
    <definedName name="wsl_VINmin">Variable_Management!$B$205</definedName>
    <definedName name="wz_ea">Loop_Modeling!$B$62</definedName>
    <definedName name="wz_esr">Loop_Modeling!$B$42</definedName>
    <definedName name="wz_esr_VINmin">Variable_Management!$B$194</definedName>
    <definedName name="wz_rhp">Loop_Modeling!$B$39</definedName>
    <definedName name="wz_RHP_VINmin">Variable_Management!$B$197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l="1"/>
  <c r="A1" i="7" l="1"/>
  <c r="B36" i="2" l="1"/>
  <c r="M126" i="2"/>
  <c r="B2" i="6"/>
  <c r="B48" i="3"/>
  <c r="B251" i="2"/>
  <c r="B250" i="2"/>
  <c r="B249" i="2"/>
  <c r="B247" i="2"/>
  <c r="B246" i="2"/>
  <c r="B245" i="2"/>
  <c r="B244" i="2"/>
  <c r="B243" i="2"/>
  <c r="B239" i="2"/>
  <c r="B238" i="2"/>
  <c r="B172" i="2"/>
  <c r="B42" i="3"/>
  <c r="B170" i="2" s="1"/>
  <c r="B169" i="2"/>
  <c r="B168" i="2"/>
  <c r="B167" i="2"/>
  <c r="B166" i="2"/>
  <c r="B162" i="2"/>
  <c r="B37" i="3"/>
  <c r="B160" i="2"/>
  <c r="B213" i="2"/>
  <c r="O8" i="5" s="1"/>
  <c r="B34"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29" i="3"/>
  <c r="B31" i="5" s="1"/>
  <c r="B182" i="2"/>
  <c r="B55" i="5" s="1"/>
  <c r="B184" i="2"/>
  <c r="B56" i="5" s="1"/>
  <c r="B230" i="2"/>
  <c r="B232" i="2"/>
  <c r="B59" i="5" s="1"/>
  <c r="B228" i="2"/>
  <c r="B28" i="5"/>
  <c r="B156" i="2"/>
  <c r="B155" i="2"/>
  <c r="B152" i="2"/>
  <c r="B144" i="2"/>
  <c r="B139" i="2"/>
  <c r="B27" i="5" s="1"/>
  <c r="B138" i="2"/>
  <c r="B26" i="5" s="1"/>
  <c r="B27" i="3"/>
  <c r="B25" i="3"/>
  <c r="B122" i="2"/>
  <c r="B85" i="2"/>
  <c r="B84" i="2"/>
  <c r="B22" i="3"/>
  <c r="B71" i="2"/>
  <c r="B10" i="2"/>
  <c r="AP87" i="4" s="1"/>
  <c r="B14" i="3"/>
  <c r="B12" i="3"/>
  <c r="B10" i="3"/>
  <c r="B17" i="2"/>
  <c r="B14" i="2"/>
  <c r="H85" i="1" s="1"/>
  <c r="B13" i="2"/>
  <c r="B9" i="2"/>
  <c r="B5" i="8" s="1"/>
  <c r="B8" i="2"/>
  <c r="T121" i="4" s="1"/>
  <c r="B7" i="2"/>
  <c r="B21" i="5" l="1"/>
  <c r="B10" i="5"/>
  <c r="B89" i="2"/>
  <c r="B194" i="2"/>
  <c r="B195" i="2" s="1"/>
  <c r="B63" i="5"/>
  <c r="AG85" i="5" s="1"/>
  <c r="T130" i="4"/>
  <c r="AQ130" i="4" s="1"/>
  <c r="T118" i="4"/>
  <c r="AQ118" i="4" s="1"/>
  <c r="T29" i="4"/>
  <c r="AQ29" i="4" s="1"/>
  <c r="T31" i="4"/>
  <c r="AQ31" i="4" s="1"/>
  <c r="T63" i="4"/>
  <c r="AQ63" i="4" s="1"/>
  <c r="T138" i="4"/>
  <c r="AQ138" i="4" s="1"/>
  <c r="T126" i="4"/>
  <c r="AQ126" i="4" s="1"/>
  <c r="T49" i="4"/>
  <c r="AQ49" i="4" s="1"/>
  <c r="T19" i="4"/>
  <c r="AQ19" i="4" s="1"/>
  <c r="T74" i="4"/>
  <c r="AQ74" i="4" s="1"/>
  <c r="T54" i="4"/>
  <c r="AQ54" i="4" s="1"/>
  <c r="T28" i="4"/>
  <c r="AQ28" i="4" s="1"/>
  <c r="T132" i="4"/>
  <c r="AQ132" i="4" s="1"/>
  <c r="T13" i="4"/>
  <c r="AQ13" i="4" s="1"/>
  <c r="T144" i="4"/>
  <c r="AQ144" i="4" s="1"/>
  <c r="T124" i="4"/>
  <c r="AQ124" i="4" s="1"/>
  <c r="T151" i="4"/>
  <c r="AQ151" i="4" s="1"/>
  <c r="T88" i="4"/>
  <c r="AQ88" i="4" s="1"/>
  <c r="T76" i="4"/>
  <c r="AQ76" i="4" s="1"/>
  <c r="R84" i="4"/>
  <c r="B36" i="5"/>
  <c r="Q96" i="5" s="1"/>
  <c r="T33" i="4"/>
  <c r="AQ33" i="4" s="1"/>
  <c r="B35" i="5"/>
  <c r="T79" i="4"/>
  <c r="AQ79" i="4" s="1"/>
  <c r="B58" i="5"/>
  <c r="R62" i="4"/>
  <c r="B15" i="2"/>
  <c r="R143" i="4"/>
  <c r="B16" i="2"/>
  <c r="H15" i="1" s="1"/>
  <c r="B20" i="5"/>
  <c r="R79" i="4"/>
  <c r="R105" i="4"/>
  <c r="R34" i="4"/>
  <c r="B45" i="5"/>
  <c r="B11" i="2"/>
  <c r="H13" i="1" s="1"/>
  <c r="B19" i="3"/>
  <c r="B20" i="3" s="1"/>
  <c r="B21" i="2" s="1"/>
  <c r="H16" i="1" s="1"/>
  <c r="B13" i="5"/>
  <c r="AP56" i="4"/>
  <c r="K21" i="2"/>
  <c r="AP30" i="4"/>
  <c r="AP116" i="4"/>
  <c r="AP115" i="4"/>
  <c r="AP66" i="4"/>
  <c r="AP49" i="4"/>
  <c r="O12" i="4"/>
  <c r="T30" i="4"/>
  <c r="AQ30" i="4" s="1"/>
  <c r="T152" i="4"/>
  <c r="AQ152" i="4" s="1"/>
  <c r="T82" i="4"/>
  <c r="AQ82" i="4" s="1"/>
  <c r="T27" i="4"/>
  <c r="AQ27" i="4" s="1"/>
  <c r="T137" i="4"/>
  <c r="AQ137" i="4" s="1"/>
  <c r="T105" i="4"/>
  <c r="AQ105" i="4" s="1"/>
  <c r="T80" i="4"/>
  <c r="AQ80" i="4" s="1"/>
  <c r="T24" i="4"/>
  <c r="AQ24" i="4" s="1"/>
  <c r="T62" i="4"/>
  <c r="AQ62" i="4" s="1"/>
  <c r="T93" i="4"/>
  <c r="AQ93" i="4" s="1"/>
  <c r="R141" i="4"/>
  <c r="R133" i="4"/>
  <c r="R98" i="4"/>
  <c r="R155" i="4"/>
  <c r="R76" i="4"/>
  <c r="T136" i="4"/>
  <c r="AQ136" i="4" s="1"/>
  <c r="T21" i="4"/>
  <c r="AQ21" i="4" s="1"/>
  <c r="T110" i="4"/>
  <c r="AQ110" i="4" s="1"/>
  <c r="T133" i="4"/>
  <c r="AQ133" i="4" s="1"/>
  <c r="T59" i="4"/>
  <c r="AQ59" i="4" s="1"/>
  <c r="B39" i="5"/>
  <c r="W161" i="5" s="1"/>
  <c r="Y161" i="5" s="1"/>
  <c r="T128" i="4"/>
  <c r="AQ128" i="4" s="1"/>
  <c r="T64" i="4"/>
  <c r="AQ64" i="4" s="1"/>
  <c r="T15" i="4"/>
  <c r="AQ15" i="4" s="1"/>
  <c r="T122" i="4"/>
  <c r="AQ122" i="4" s="1"/>
  <c r="T58" i="4"/>
  <c r="AQ58" i="4" s="1"/>
  <c r="T108" i="4"/>
  <c r="AQ108" i="4" s="1"/>
  <c r="T60" i="4"/>
  <c r="AQ60" i="4" s="1"/>
  <c r="T16" i="4"/>
  <c r="AQ16" i="4" s="1"/>
  <c r="T102" i="4"/>
  <c r="AQ102" i="4" s="1"/>
  <c r="T40" i="4"/>
  <c r="AQ40" i="4" s="1"/>
  <c r="T9" i="4"/>
  <c r="AQ9" i="4" s="1"/>
  <c r="T147" i="4"/>
  <c r="AQ147" i="4" s="1"/>
  <c r="T131" i="4"/>
  <c r="AQ131" i="4" s="1"/>
  <c r="T115" i="4"/>
  <c r="AQ115" i="4" s="1"/>
  <c r="T101" i="4"/>
  <c r="AQ101" i="4" s="1"/>
  <c r="T87" i="4"/>
  <c r="AQ87" i="4" s="1"/>
  <c r="T73" i="4"/>
  <c r="T57" i="4"/>
  <c r="AQ57" i="4" s="1"/>
  <c r="T43" i="4"/>
  <c r="AQ43" i="4" s="1"/>
  <c r="T103" i="4"/>
  <c r="AQ103" i="4" s="1"/>
  <c r="T77" i="4"/>
  <c r="AQ77" i="4" s="1"/>
  <c r="T25" i="4"/>
  <c r="AQ25" i="4" s="1"/>
  <c r="T72" i="4"/>
  <c r="AQ72" i="4" s="1"/>
  <c r="T66" i="4"/>
  <c r="AQ66" i="4" s="1"/>
  <c r="T20" i="4"/>
  <c r="AQ20" i="4" s="1"/>
  <c r="T149" i="4"/>
  <c r="AQ149" i="4" s="1"/>
  <c r="T75" i="4"/>
  <c r="AQ75" i="4" s="1"/>
  <c r="T120" i="4"/>
  <c r="AQ120" i="4" s="1"/>
  <c r="T56" i="4"/>
  <c r="AQ56" i="4" s="1"/>
  <c r="T12" i="4"/>
  <c r="AQ12" i="4" s="1"/>
  <c r="T114" i="4"/>
  <c r="AQ114" i="4" s="1"/>
  <c r="T50" i="4"/>
  <c r="AQ50" i="4" s="1"/>
  <c r="T14" i="4"/>
  <c r="AQ14" i="4" s="1"/>
  <c r="T52" i="4"/>
  <c r="AQ52" i="4" s="1"/>
  <c r="T8" i="4"/>
  <c r="AQ8" i="4" s="1"/>
  <c r="T94" i="4"/>
  <c r="AQ94" i="4" s="1"/>
  <c r="T37" i="4"/>
  <c r="AQ37" i="4" s="1"/>
  <c r="T145" i="4"/>
  <c r="AQ145" i="4" s="1"/>
  <c r="T129" i="4"/>
  <c r="AQ129" i="4" s="1"/>
  <c r="T113" i="4"/>
  <c r="AQ113" i="4" s="1"/>
  <c r="T99" i="4"/>
  <c r="AQ99" i="4" s="1"/>
  <c r="T71" i="4"/>
  <c r="AQ71" i="4" s="1"/>
  <c r="T55" i="4"/>
  <c r="AQ55" i="4" s="1"/>
  <c r="T41" i="4"/>
  <c r="AQ41" i="4" s="1"/>
  <c r="T17" i="4"/>
  <c r="AQ17" i="4" s="1"/>
  <c r="T89" i="4"/>
  <c r="AQ89" i="4" s="1"/>
  <c r="O9" i="4"/>
  <c r="T112" i="4"/>
  <c r="AQ112" i="4" s="1"/>
  <c r="T48" i="4"/>
  <c r="AQ48" i="4" s="1"/>
  <c r="T106" i="4"/>
  <c r="AQ106" i="4" s="1"/>
  <c r="T42" i="4"/>
  <c r="AQ42" i="4" s="1"/>
  <c r="T156" i="4"/>
  <c r="AQ156" i="4" s="1"/>
  <c r="T100" i="4"/>
  <c r="AQ100" i="4" s="1"/>
  <c r="T44" i="4"/>
  <c r="AQ44" i="4" s="1"/>
  <c r="T150" i="4"/>
  <c r="AQ150" i="4" s="1"/>
  <c r="T86" i="4"/>
  <c r="AQ86" i="4" s="1"/>
  <c r="T26" i="4"/>
  <c r="AQ26" i="4" s="1"/>
  <c r="T157" i="4"/>
  <c r="AQ157" i="4" s="1"/>
  <c r="T143" i="4"/>
  <c r="AQ143" i="4" s="1"/>
  <c r="T127" i="4"/>
  <c r="AQ127" i="4" s="1"/>
  <c r="T111" i="4"/>
  <c r="AQ111" i="4" s="1"/>
  <c r="T97" i="4"/>
  <c r="AQ97" i="4" s="1"/>
  <c r="T85" i="4"/>
  <c r="AQ85" i="4" s="1"/>
  <c r="T69" i="4"/>
  <c r="AQ69" i="4" s="1"/>
  <c r="T38" i="4"/>
  <c r="AQ38" i="4" s="1"/>
  <c r="T135" i="4"/>
  <c r="AQ135" i="4" s="1"/>
  <c r="T91" i="4"/>
  <c r="AQ91" i="4" s="1"/>
  <c r="T47" i="4"/>
  <c r="AQ47" i="4" s="1"/>
  <c r="B46" i="5"/>
  <c r="T68" i="4"/>
  <c r="AQ68" i="4" s="1"/>
  <c r="T11" i="4"/>
  <c r="AQ11" i="4" s="1"/>
  <c r="T45" i="4"/>
  <c r="AQ45" i="4" s="1"/>
  <c r="T7" i="4"/>
  <c r="AQ7" i="4" s="1"/>
  <c r="T10" i="4"/>
  <c r="AQ10" i="4" s="1"/>
  <c r="T104" i="4"/>
  <c r="AQ104" i="4" s="1"/>
  <c r="T36" i="4"/>
  <c r="AQ36" i="4" s="1"/>
  <c r="T154" i="4"/>
  <c r="AQ154" i="4" s="1"/>
  <c r="T98" i="4"/>
  <c r="AQ98" i="4" s="1"/>
  <c r="T39" i="4"/>
  <c r="AQ39" i="4" s="1"/>
  <c r="T148" i="4"/>
  <c r="AQ148" i="4" s="1"/>
  <c r="T92" i="4"/>
  <c r="AQ92" i="4" s="1"/>
  <c r="T142" i="4"/>
  <c r="AQ142" i="4" s="1"/>
  <c r="T78" i="4"/>
  <c r="AQ78" i="4" s="1"/>
  <c r="T23" i="4"/>
  <c r="AQ23" i="4" s="1"/>
  <c r="T155" i="4"/>
  <c r="AQ155" i="4" s="1"/>
  <c r="T141" i="4"/>
  <c r="T125" i="4"/>
  <c r="AQ125" i="4" s="1"/>
  <c r="T109" i="4"/>
  <c r="AQ109" i="4" s="1"/>
  <c r="T95" i="4"/>
  <c r="AQ95" i="4" s="1"/>
  <c r="T83" i="4"/>
  <c r="AQ83" i="4" s="1"/>
  <c r="T67" i="4"/>
  <c r="AQ67" i="4" s="1"/>
  <c r="T53" i="4"/>
  <c r="AQ53" i="4" s="1"/>
  <c r="B11" i="5"/>
  <c r="T119" i="4"/>
  <c r="AQ119" i="4" s="1"/>
  <c r="T61" i="4"/>
  <c r="AQ61" i="4" s="1"/>
  <c r="T18" i="4"/>
  <c r="AQ18" i="4" s="1"/>
  <c r="T116" i="4"/>
  <c r="AQ116" i="4" s="1"/>
  <c r="T46" i="4"/>
  <c r="AQ46" i="4" s="1"/>
  <c r="T117" i="4"/>
  <c r="AQ117" i="4" s="1"/>
  <c r="T22" i="4"/>
  <c r="AQ22" i="4" s="1"/>
  <c r="B17" i="5"/>
  <c r="P15" i="5" s="1"/>
  <c r="T96" i="4"/>
  <c r="AQ96" i="4" s="1"/>
  <c r="T32" i="4"/>
  <c r="AQ32" i="4" s="1"/>
  <c r="T146" i="4"/>
  <c r="AQ146" i="4" s="1"/>
  <c r="T90" i="4"/>
  <c r="AQ90" i="4" s="1"/>
  <c r="T35" i="4"/>
  <c r="AQ35" i="4" s="1"/>
  <c r="T140" i="4"/>
  <c r="AQ140" i="4" s="1"/>
  <c r="T84" i="4"/>
  <c r="AQ84" i="4" s="1"/>
  <c r="T34" i="4"/>
  <c r="AQ34" i="4" s="1"/>
  <c r="T134" i="4"/>
  <c r="T70" i="4"/>
  <c r="AQ70" i="4" s="1"/>
  <c r="T153" i="4"/>
  <c r="AQ153" i="4" s="1"/>
  <c r="T139" i="4"/>
  <c r="AQ139" i="4" s="1"/>
  <c r="T123" i="4"/>
  <c r="AQ123" i="4" s="1"/>
  <c r="T107" i="4"/>
  <c r="AQ107" i="4" s="1"/>
  <c r="T81" i="4"/>
  <c r="AQ81" i="4" s="1"/>
  <c r="T65" i="4"/>
  <c r="AQ65" i="4" s="1"/>
  <c r="T51" i="4"/>
  <c r="AQ51" i="4" s="1"/>
  <c r="L126" i="2"/>
  <c r="K38" i="5"/>
  <c r="B24" i="5"/>
  <c r="R134" i="4"/>
  <c r="R96" i="4"/>
  <c r="R71" i="4"/>
  <c r="R20" i="4"/>
  <c r="AP109" i="4"/>
  <c r="AP59" i="4"/>
  <c r="AP25" i="4"/>
  <c r="B57" i="5"/>
  <c r="B62" i="5"/>
  <c r="AM272" i="5" s="1"/>
  <c r="R126" i="4"/>
  <c r="R77" i="4"/>
  <c r="R24" i="4"/>
  <c r="R39" i="4"/>
  <c r="AP45" i="4"/>
  <c r="AP104" i="4"/>
  <c r="R91" i="4"/>
  <c r="R69" i="4"/>
  <c r="R148" i="4"/>
  <c r="R21" i="4"/>
  <c r="AP37" i="4"/>
  <c r="AP111" i="4"/>
  <c r="R70" i="4"/>
  <c r="R12" i="4"/>
  <c r="R140" i="4"/>
  <c r="AP128" i="4"/>
  <c r="AP156" i="4"/>
  <c r="B42" i="2"/>
  <c r="B3" i="8"/>
  <c r="AP33" i="4"/>
  <c r="AP58" i="4"/>
  <c r="AP127" i="4"/>
  <c r="AP123" i="4"/>
  <c r="AP148" i="4"/>
  <c r="AP53" i="4"/>
  <c r="AP94" i="4"/>
  <c r="B199" i="2"/>
  <c r="AP81" i="4"/>
  <c r="AP74" i="4"/>
  <c r="AP120" i="4"/>
  <c r="AP20" i="4"/>
  <c r="AP15" i="4"/>
  <c r="AP117" i="4"/>
  <c r="AP142" i="4"/>
  <c r="AP89" i="4"/>
  <c r="AP130" i="4"/>
  <c r="AP11" i="4"/>
  <c r="AP28" i="4"/>
  <c r="AP64" i="4"/>
  <c r="AP133" i="4"/>
  <c r="AP150" i="4"/>
  <c r="AP97" i="4"/>
  <c r="AP138" i="4"/>
  <c r="AP43" i="4"/>
  <c r="AP36" i="4"/>
  <c r="AP88" i="4"/>
  <c r="AP14" i="4"/>
  <c r="AP7" i="4"/>
  <c r="AP153" i="4"/>
  <c r="AP154" i="4"/>
  <c r="AP51" i="4"/>
  <c r="AP92" i="4"/>
  <c r="AP144" i="4"/>
  <c r="AP22" i="4"/>
  <c r="AP32" i="4"/>
  <c r="R10" i="4"/>
  <c r="R135" i="4"/>
  <c r="AP110" i="4"/>
  <c r="AP100" i="4"/>
  <c r="AP26" i="4"/>
  <c r="AP86" i="4"/>
  <c r="AP139" i="4"/>
  <c r="AP10" i="4"/>
  <c r="R19" i="4"/>
  <c r="R30" i="4"/>
  <c r="R100" i="4"/>
  <c r="R14" i="4"/>
  <c r="R95" i="4"/>
  <c r="R9" i="4"/>
  <c r="R93" i="4"/>
  <c r="R157" i="4"/>
  <c r="R86" i="4"/>
  <c r="R150" i="4"/>
  <c r="B191" i="2"/>
  <c r="B192" i="2" s="1"/>
  <c r="B220" i="2" s="1"/>
  <c r="B221" i="2" s="1"/>
  <c r="R23" i="4"/>
  <c r="R44" i="4"/>
  <c r="R108" i="4"/>
  <c r="R38" i="4"/>
  <c r="R103" i="4"/>
  <c r="R18" i="4"/>
  <c r="R101" i="4"/>
  <c r="R22" i="4"/>
  <c r="R94" i="4"/>
  <c r="R8" i="4"/>
  <c r="R27" i="4"/>
  <c r="R52" i="4"/>
  <c r="R116" i="4"/>
  <c r="R47" i="4"/>
  <c r="R111" i="4"/>
  <c r="R45" i="4"/>
  <c r="R109" i="4"/>
  <c r="R40" i="4"/>
  <c r="R102" i="4"/>
  <c r="R35" i="4"/>
  <c r="R68" i="4"/>
  <c r="R132" i="4"/>
  <c r="R63" i="4"/>
  <c r="R127" i="4"/>
  <c r="R61" i="4"/>
  <c r="R125" i="4"/>
  <c r="R54" i="4"/>
  <c r="R118" i="4"/>
  <c r="R7" i="4"/>
  <c r="R37" i="4"/>
  <c r="R73" i="4"/>
  <c r="R137" i="4"/>
  <c r="R66" i="4"/>
  <c r="R130" i="4"/>
  <c r="R64" i="4"/>
  <c r="R128" i="4"/>
  <c r="R59" i="4"/>
  <c r="R123" i="4"/>
  <c r="B42" i="5"/>
  <c r="T64" i="5" s="1"/>
  <c r="B183" i="2"/>
  <c r="H61" i="1" s="1"/>
  <c r="B62" i="2"/>
  <c r="B66" i="2"/>
  <c r="Q51" i="1"/>
  <c r="B127" i="2"/>
  <c r="B141" i="2"/>
  <c r="K141" i="2" s="1"/>
  <c r="B254" i="2"/>
  <c r="B256" i="2" s="1"/>
  <c r="B163" i="2"/>
  <c r="H47" i="1" s="1"/>
  <c r="K8" i="2"/>
  <c r="B60" i="2"/>
  <c r="B58" i="2"/>
  <c r="B203" i="2"/>
  <c r="H57" i="1"/>
  <c r="B179" i="2" s="1"/>
  <c r="AG144" i="5"/>
  <c r="O7" i="5"/>
  <c r="B219" i="2"/>
  <c r="AQ121" i="4"/>
  <c r="B48" i="2"/>
  <c r="B50" i="2"/>
  <c r="B31" i="2" s="1"/>
  <c r="B12" i="5"/>
  <c r="AP41" i="4"/>
  <c r="AP105" i="4"/>
  <c r="AP18" i="4"/>
  <c r="AP82" i="4"/>
  <c r="AP146" i="4"/>
  <c r="AP143" i="4"/>
  <c r="AP136" i="4"/>
  <c r="AP67" i="4"/>
  <c r="AP131" i="4"/>
  <c r="AP44" i="4"/>
  <c r="AP108" i="4"/>
  <c r="AP47" i="4"/>
  <c r="AP112" i="4"/>
  <c r="AP61" i="4"/>
  <c r="AP125" i="4"/>
  <c r="AP38" i="4"/>
  <c r="AP102" i="4"/>
  <c r="AP23" i="4"/>
  <c r="AP96" i="4"/>
  <c r="B48" i="5"/>
  <c r="B205" i="2"/>
  <c r="AP57" i="4"/>
  <c r="AP121" i="4"/>
  <c r="AP34" i="4"/>
  <c r="AP98" i="4"/>
  <c r="AP31" i="4"/>
  <c r="AP24" i="4"/>
  <c r="AP19" i="4"/>
  <c r="AP83" i="4"/>
  <c r="AP147" i="4"/>
  <c r="AP60" i="4"/>
  <c r="AP124" i="4"/>
  <c r="AP103" i="4"/>
  <c r="AP13" i="4"/>
  <c r="AP77" i="4"/>
  <c r="AP141" i="4"/>
  <c r="AP54" i="4"/>
  <c r="AP118" i="4"/>
  <c r="AP63" i="4"/>
  <c r="AP152" i="4"/>
  <c r="O15" i="4"/>
  <c r="K126" i="2"/>
  <c r="M8" i="4"/>
  <c r="AP65" i="4"/>
  <c r="AP129" i="4"/>
  <c r="AP42" i="4"/>
  <c r="AP106" i="4"/>
  <c r="AP55" i="4"/>
  <c r="AP48" i="4"/>
  <c r="AP27" i="4"/>
  <c r="AP91" i="4"/>
  <c r="AP155" i="4"/>
  <c r="AP68" i="4"/>
  <c r="AP132" i="4"/>
  <c r="AP135" i="4"/>
  <c r="AP21" i="4"/>
  <c r="AP85" i="4"/>
  <c r="AP149" i="4"/>
  <c r="AP62" i="4"/>
  <c r="AP126" i="4"/>
  <c r="AP95" i="4"/>
  <c r="J125" i="2"/>
  <c r="AP9" i="4"/>
  <c r="AP73" i="4"/>
  <c r="AP137" i="4"/>
  <c r="AP50" i="4"/>
  <c r="AP114" i="4"/>
  <c r="AP71" i="4"/>
  <c r="AP72" i="4"/>
  <c r="AP35" i="4"/>
  <c r="AP99" i="4"/>
  <c r="AP12" i="4"/>
  <c r="AP76" i="4"/>
  <c r="AP140" i="4"/>
  <c r="AP8" i="4"/>
  <c r="AP29" i="4"/>
  <c r="AP93" i="4"/>
  <c r="AP157" i="4"/>
  <c r="AP70" i="4"/>
  <c r="AP134" i="4"/>
  <c r="AP119" i="4"/>
  <c r="AP151" i="4"/>
  <c r="AP78" i="4"/>
  <c r="AP101" i="4"/>
  <c r="AP40" i="4"/>
  <c r="AP84" i="4"/>
  <c r="AP107" i="4"/>
  <c r="AP80" i="4"/>
  <c r="AP122" i="4"/>
  <c r="AP145" i="4"/>
  <c r="AP17" i="4"/>
  <c r="B39" i="2"/>
  <c r="H17" i="1" s="1"/>
  <c r="B189" i="2"/>
  <c r="P7" i="5" s="1"/>
  <c r="B197" i="2"/>
  <c r="B198" i="2" s="1"/>
  <c r="R25" i="4"/>
  <c r="R41" i="4"/>
  <c r="R49" i="4"/>
  <c r="R81" i="4"/>
  <c r="R113" i="4"/>
  <c r="R145" i="4"/>
  <c r="R42" i="4"/>
  <c r="R74" i="4"/>
  <c r="R106" i="4"/>
  <c r="R138" i="4"/>
  <c r="R32" i="4"/>
  <c r="R72" i="4"/>
  <c r="R104" i="4"/>
  <c r="R136" i="4"/>
  <c r="R26" i="4"/>
  <c r="R67" i="4"/>
  <c r="R99" i="4"/>
  <c r="R131" i="4"/>
  <c r="R13" i="4"/>
  <c r="B44" i="2"/>
  <c r="R29" i="4"/>
  <c r="R28" i="4"/>
  <c r="R57" i="4"/>
  <c r="R89" i="4"/>
  <c r="R121" i="4"/>
  <c r="R153" i="4"/>
  <c r="R50" i="4"/>
  <c r="R82" i="4"/>
  <c r="R114" i="4"/>
  <c r="R146" i="4"/>
  <c r="R48" i="4"/>
  <c r="R80" i="4"/>
  <c r="R112" i="4"/>
  <c r="R144" i="4"/>
  <c r="R43" i="4"/>
  <c r="R75" i="4"/>
  <c r="R107" i="4"/>
  <c r="R139" i="4"/>
  <c r="B52" i="2"/>
  <c r="B33" i="2" s="1"/>
  <c r="R15" i="4"/>
  <c r="R31" i="4"/>
  <c r="R36" i="4"/>
  <c r="R60" i="4"/>
  <c r="R92" i="4"/>
  <c r="R124" i="4"/>
  <c r="R156" i="4"/>
  <c r="R55" i="4"/>
  <c r="R87" i="4"/>
  <c r="R119" i="4"/>
  <c r="R151" i="4"/>
  <c r="R53" i="4"/>
  <c r="R85" i="4"/>
  <c r="R117" i="4"/>
  <c r="R149" i="4"/>
  <c r="R46" i="4"/>
  <c r="R78" i="4"/>
  <c r="R110" i="4"/>
  <c r="R142" i="4"/>
  <c r="B161" i="2"/>
  <c r="H45" i="1" s="1"/>
  <c r="B55" i="2"/>
  <c r="B68" i="2"/>
  <c r="R17" i="4"/>
  <c r="R33" i="4"/>
  <c r="R16" i="4"/>
  <c r="R65" i="4"/>
  <c r="R97" i="4"/>
  <c r="R129" i="4"/>
  <c r="R11" i="4"/>
  <c r="R58" i="4"/>
  <c r="R90" i="4"/>
  <c r="R122" i="4"/>
  <c r="R154" i="4"/>
  <c r="R56" i="4"/>
  <c r="R88" i="4"/>
  <c r="R120" i="4"/>
  <c r="R152" i="4"/>
  <c r="R51" i="4"/>
  <c r="R83" i="4"/>
  <c r="R115" i="4"/>
  <c r="R147" i="4"/>
  <c r="B185" i="2"/>
  <c r="J126" i="2"/>
  <c r="B29" i="5"/>
  <c r="B202" i="2"/>
  <c r="AP39" i="4"/>
  <c r="AP46" i="4"/>
  <c r="AP69" i="4"/>
  <c r="AP79" i="4"/>
  <c r="AP52" i="4"/>
  <c r="AP75" i="4"/>
  <c r="AP16" i="4"/>
  <c r="AP90" i="4"/>
  <c r="AP113" i="4"/>
  <c r="AG154" i="5"/>
  <c r="AG460" i="5"/>
  <c r="B4" i="8"/>
  <c r="B64" i="2"/>
  <c r="B46" i="2"/>
  <c r="B61" i="5"/>
  <c r="B171" i="2"/>
  <c r="H52" i="1" s="1"/>
  <c r="B173" i="2"/>
  <c r="B64" i="5"/>
  <c r="AJ64" i="5" s="1"/>
  <c r="AG51" i="5"/>
  <c r="T65" i="5" l="1"/>
  <c r="T308" i="5"/>
  <c r="T31" i="5"/>
  <c r="T51" i="5"/>
  <c r="T75" i="5"/>
  <c r="T73" i="5"/>
  <c r="AG255" i="5"/>
  <c r="AG299" i="5"/>
  <c r="AG461" i="5"/>
  <c r="AG389" i="5"/>
  <c r="AG117" i="5"/>
  <c r="AG162" i="5"/>
  <c r="AG530" i="5"/>
  <c r="AI530" i="5" s="1"/>
  <c r="AG494" i="5"/>
  <c r="AI494" i="5" s="1"/>
  <c r="AG412" i="5"/>
  <c r="AH412" i="5" s="1"/>
  <c r="AG361" i="5"/>
  <c r="AI361" i="5" s="1"/>
  <c r="AG261" i="5"/>
  <c r="AI261" i="5" s="1"/>
  <c r="AG210" i="5"/>
  <c r="AH210" i="5" s="1"/>
  <c r="AG118" i="5"/>
  <c r="AG91" i="5"/>
  <c r="AI91" i="5" s="1"/>
  <c r="AG142" i="5"/>
  <c r="AI142" i="5" s="1"/>
  <c r="AG99" i="5"/>
  <c r="AI99" i="5" s="1"/>
  <c r="AG141" i="5"/>
  <c r="AH141" i="5" s="1"/>
  <c r="AG283" i="5"/>
  <c r="AI283" i="5" s="1"/>
  <c r="AG69" i="5"/>
  <c r="AH69" i="5" s="1"/>
  <c r="AG75" i="5"/>
  <c r="AH75" i="5" s="1"/>
  <c r="AG405" i="5"/>
  <c r="AH405" i="5" s="1"/>
  <c r="AG119" i="5"/>
  <c r="AH119" i="5" s="1"/>
  <c r="AG326" i="5"/>
  <c r="AI326" i="5" s="1"/>
  <c r="AG497" i="5"/>
  <c r="AH497" i="5" s="1"/>
  <c r="AG318" i="5"/>
  <c r="AG523" i="5"/>
  <c r="AI523" i="5" s="1"/>
  <c r="AG189" i="5"/>
  <c r="AH189" i="5" s="1"/>
  <c r="AG418" i="5"/>
  <c r="AI418" i="5" s="1"/>
  <c r="AG536" i="5"/>
  <c r="AI536" i="5" s="1"/>
  <c r="AG378" i="5"/>
  <c r="AG153" i="5"/>
  <c r="AI153" i="5" s="1"/>
  <c r="AG484" i="5"/>
  <c r="AH484" i="5" s="1"/>
  <c r="AG121" i="5"/>
  <c r="AH121" i="5" s="1"/>
  <c r="AG531" i="5"/>
  <c r="AH531" i="5" s="1"/>
  <c r="AG300" i="5"/>
  <c r="AH300" i="5" s="1"/>
  <c r="AG66" i="5"/>
  <c r="AH66" i="5" s="1"/>
  <c r="AG424" i="5"/>
  <c r="AH424" i="5" s="1"/>
  <c r="AG74" i="5"/>
  <c r="AH74" i="5" s="1"/>
  <c r="AG200" i="5"/>
  <c r="AI200" i="5" s="1"/>
  <c r="AG482" i="5"/>
  <c r="AH482" i="5" s="1"/>
  <c r="AG440" i="5"/>
  <c r="AI440" i="5" s="1"/>
  <c r="AG83" i="5"/>
  <c r="AH83" i="5" s="1"/>
  <c r="AG456" i="5"/>
  <c r="AI456" i="5" s="1"/>
  <c r="AG518" i="5"/>
  <c r="AH518" i="5" s="1"/>
  <c r="AG62" i="5"/>
  <c r="AH62" i="5" s="1"/>
  <c r="AG239" i="5"/>
  <c r="AI239" i="5" s="1"/>
  <c r="AG50" i="5"/>
  <c r="AH50" i="5" s="1"/>
  <c r="AG34" i="5"/>
  <c r="AH34" i="5" s="1"/>
  <c r="AG32" i="5"/>
  <c r="AI32" i="5" s="1"/>
  <c r="AG560" i="5"/>
  <c r="AI560" i="5" s="1"/>
  <c r="AG493" i="5"/>
  <c r="AI493" i="5" s="1"/>
  <c r="AG80" i="5"/>
  <c r="AH80" i="5" s="1"/>
  <c r="AG311" i="5"/>
  <c r="AI311" i="5" s="1"/>
  <c r="AG265" i="5"/>
  <c r="AH265" i="5" s="1"/>
  <c r="AG552" i="5"/>
  <c r="AI552" i="5" s="1"/>
  <c r="AG517" i="5"/>
  <c r="AI517" i="5" s="1"/>
  <c r="AG246" i="5"/>
  <c r="AI246" i="5" s="1"/>
  <c r="AG476" i="5"/>
  <c r="AH476" i="5" s="1"/>
  <c r="AG350" i="5"/>
  <c r="AI350" i="5" s="1"/>
  <c r="AG225" i="5"/>
  <c r="AI225" i="5" s="1"/>
  <c r="AG379" i="5"/>
  <c r="AI379" i="5" s="1"/>
  <c r="AG454" i="5"/>
  <c r="AI454" i="5" s="1"/>
  <c r="AG285" i="5"/>
  <c r="AH285" i="5" s="1"/>
  <c r="AG491" i="5"/>
  <c r="AH491" i="5" s="1"/>
  <c r="AG444" i="5"/>
  <c r="AI444" i="5" s="1"/>
  <c r="AG244" i="5"/>
  <c r="AI244" i="5" s="1"/>
  <c r="AG457" i="5"/>
  <c r="AH457" i="5" s="1"/>
  <c r="AG528" i="5"/>
  <c r="AH528" i="5" s="1"/>
  <c r="AG332" i="5"/>
  <c r="AH332" i="5" s="1"/>
  <c r="AG486" i="5"/>
  <c r="AI486" i="5" s="1"/>
  <c r="AG158" i="5"/>
  <c r="AH158" i="5" s="1"/>
  <c r="AG306" i="5"/>
  <c r="AI306" i="5" s="1"/>
  <c r="AG511" i="5"/>
  <c r="AH511" i="5" s="1"/>
  <c r="AG338" i="5"/>
  <c r="AH338" i="5" s="1"/>
  <c r="AG78" i="5"/>
  <c r="AH78" i="5" s="1"/>
  <c r="AG449" i="5"/>
  <c r="AI449" i="5" s="1"/>
  <c r="AG335" i="5"/>
  <c r="AH335" i="5" s="1"/>
  <c r="AG353" i="5"/>
  <c r="AI353" i="5" s="1"/>
  <c r="AG39" i="5"/>
  <c r="AH39" i="5" s="1"/>
  <c r="AG451" i="5"/>
  <c r="AI451" i="5" s="1"/>
  <c r="AG278" i="5"/>
  <c r="AH278" i="5" s="1"/>
  <c r="AG29" i="5"/>
  <c r="AI29" i="5" s="1"/>
  <c r="AG492" i="5"/>
  <c r="AI492" i="5" s="1"/>
  <c r="AG287" i="5"/>
  <c r="AH287" i="5" s="1"/>
  <c r="AG409" i="5"/>
  <c r="AI409" i="5" s="1"/>
  <c r="AG433" i="5"/>
  <c r="AH433" i="5" s="1"/>
  <c r="AG260" i="5"/>
  <c r="AI260" i="5" s="1"/>
  <c r="AG380" i="5"/>
  <c r="AI380" i="5" s="1"/>
  <c r="AG219" i="5"/>
  <c r="AI219" i="5" s="1"/>
  <c r="AG549" i="5"/>
  <c r="AI549" i="5" s="1"/>
  <c r="AG414" i="5"/>
  <c r="AI414" i="5" s="1"/>
  <c r="AG377" i="5"/>
  <c r="AI377" i="5" s="1"/>
  <c r="AG236" i="5"/>
  <c r="AI236" i="5" s="1"/>
  <c r="AG337" i="5"/>
  <c r="AH337" i="5" s="1"/>
  <c r="AG365" i="5"/>
  <c r="AH365" i="5" s="1"/>
  <c r="AG194" i="5"/>
  <c r="AI194" i="5" s="1"/>
  <c r="AG302" i="5"/>
  <c r="AH302" i="5" s="1"/>
  <c r="AG474" i="5"/>
  <c r="AI474" i="5" s="1"/>
  <c r="AG127" i="5"/>
  <c r="AI127" i="5" s="1"/>
  <c r="AG432" i="5"/>
  <c r="AI432" i="5" s="1"/>
  <c r="AG529" i="5"/>
  <c r="AI529" i="5" s="1"/>
  <c r="AG489" i="5"/>
  <c r="AH489" i="5" s="1"/>
  <c r="AG267" i="5"/>
  <c r="AH267" i="5" s="1"/>
  <c r="AG149" i="5"/>
  <c r="AI149" i="5" s="1"/>
  <c r="AG450" i="5"/>
  <c r="AH450" i="5" s="1"/>
  <c r="AG316" i="5"/>
  <c r="AH316" i="5" s="1"/>
  <c r="AG360" i="5"/>
  <c r="AI360" i="5" s="1"/>
  <c r="AG31" i="5"/>
  <c r="AH31" i="5" s="1"/>
  <c r="AG519" i="5"/>
  <c r="AI519" i="5" s="1"/>
  <c r="AG355" i="5"/>
  <c r="AI355" i="5" s="1"/>
  <c r="AG178" i="5"/>
  <c r="AI178" i="5" s="1"/>
  <c r="AG420" i="5"/>
  <c r="AI420" i="5" s="1"/>
  <c r="AG229" i="5"/>
  <c r="AH229" i="5" s="1"/>
  <c r="AG55" i="5"/>
  <c r="AH55" i="5" s="1"/>
  <c r="AG368" i="5"/>
  <c r="AH368" i="5" s="1"/>
  <c r="AG387" i="5"/>
  <c r="AH387" i="5" s="1"/>
  <c r="AG146" i="5"/>
  <c r="AH146" i="5" s="1"/>
  <c r="AG330" i="5"/>
  <c r="AH330" i="5" s="1"/>
  <c r="AG164" i="5"/>
  <c r="AH164" i="5" s="1"/>
  <c r="AG79" i="5"/>
  <c r="AH79" i="5" s="1"/>
  <c r="AG384" i="5"/>
  <c r="AI384" i="5" s="1"/>
  <c r="AG503" i="5"/>
  <c r="AH503" i="5" s="1"/>
  <c r="AG512" i="5"/>
  <c r="AI512" i="5" s="1"/>
  <c r="AG305" i="5"/>
  <c r="AI305" i="5" s="1"/>
  <c r="AG148" i="5"/>
  <c r="AH148" i="5" s="1"/>
  <c r="AG234" i="5"/>
  <c r="AI234" i="5" s="1"/>
  <c r="AG165" i="5"/>
  <c r="AH165" i="5" s="1"/>
  <c r="AG103" i="5"/>
  <c r="AI103" i="5" s="1"/>
  <c r="AG312" i="5"/>
  <c r="AH312" i="5" s="1"/>
  <c r="AG64" i="5"/>
  <c r="AI64" i="5" s="1"/>
  <c r="AG554" i="5"/>
  <c r="AH554" i="5" s="1"/>
  <c r="AG161" i="5"/>
  <c r="AH161" i="5" s="1"/>
  <c r="AG186" i="5"/>
  <c r="AH186" i="5" s="1"/>
  <c r="AG309" i="5"/>
  <c r="AI309" i="5" s="1"/>
  <c r="AG490" i="5"/>
  <c r="AI490" i="5" s="1"/>
  <c r="AG90" i="5"/>
  <c r="AH90" i="5" s="1"/>
  <c r="AM251" i="5"/>
  <c r="AO251" i="5" s="1"/>
  <c r="AG152" i="5"/>
  <c r="AH152" i="5" s="1"/>
  <c r="AG228" i="5"/>
  <c r="AI228" i="5" s="1"/>
  <c r="AG282" i="5"/>
  <c r="AI282" i="5" s="1"/>
  <c r="AG307" i="5"/>
  <c r="AH307" i="5" s="1"/>
  <c r="AG366" i="5"/>
  <c r="AI366" i="5" s="1"/>
  <c r="AG27" i="5"/>
  <c r="AI27" i="5" s="1"/>
  <c r="AG35" i="5"/>
  <c r="AH35" i="5" s="1"/>
  <c r="AG208" i="5"/>
  <c r="AI208" i="5" s="1"/>
  <c r="AG220" i="5"/>
  <c r="AI220" i="5" s="1"/>
  <c r="AG155" i="5"/>
  <c r="AH155" i="5" s="1"/>
  <c r="AM348" i="5"/>
  <c r="AN348" i="5" s="1"/>
  <c r="AG115" i="5"/>
  <c r="AI115" i="5" s="1"/>
  <c r="AG429" i="5"/>
  <c r="AI429" i="5" s="1"/>
  <c r="AM445" i="5"/>
  <c r="AO445" i="5" s="1"/>
  <c r="AM519" i="5"/>
  <c r="AO519" i="5" s="1"/>
  <c r="AM449" i="5"/>
  <c r="AO449" i="5" s="1"/>
  <c r="AM436" i="5"/>
  <c r="AN436" i="5" s="1"/>
  <c r="AG232" i="5"/>
  <c r="AI232" i="5" s="1"/>
  <c r="AG319" i="5"/>
  <c r="AI319" i="5" s="1"/>
  <c r="AG371" i="5"/>
  <c r="AI371" i="5" s="1"/>
  <c r="AG391" i="5"/>
  <c r="AI391" i="5" s="1"/>
  <c r="AG291" i="5"/>
  <c r="AI291" i="5" s="1"/>
  <c r="AG70" i="5"/>
  <c r="AI70" i="5" s="1"/>
  <c r="AG458" i="5"/>
  <c r="AI458" i="5" s="1"/>
  <c r="AG134" i="5"/>
  <c r="AH134" i="5" s="1"/>
  <c r="AG304" i="5"/>
  <c r="AH304" i="5" s="1"/>
  <c r="AG505" i="5"/>
  <c r="AI505" i="5" s="1"/>
  <c r="AG481" i="5"/>
  <c r="AI481" i="5" s="1"/>
  <c r="AG473" i="5"/>
  <c r="AH473" i="5" s="1"/>
  <c r="AG462" i="5"/>
  <c r="AI462" i="5" s="1"/>
  <c r="AG262" i="5"/>
  <c r="AH262" i="5" s="1"/>
  <c r="AG173" i="5"/>
  <c r="AH173" i="5" s="1"/>
  <c r="AG345" i="5"/>
  <c r="AI345" i="5" s="1"/>
  <c r="AG545" i="5"/>
  <c r="AI545" i="5" s="1"/>
  <c r="AG480" i="5"/>
  <c r="AH480" i="5" s="1"/>
  <c r="AG539" i="5"/>
  <c r="AI539" i="5" s="1"/>
  <c r="AG521" i="5"/>
  <c r="AH521" i="5" s="1"/>
  <c r="AG202" i="5"/>
  <c r="AI202" i="5" s="1"/>
  <c r="AG421" i="5"/>
  <c r="AI421" i="5" s="1"/>
  <c r="AG138" i="5"/>
  <c r="AI138" i="5" s="1"/>
  <c r="AG313" i="5"/>
  <c r="AH313" i="5" s="1"/>
  <c r="AG533" i="5"/>
  <c r="AI533" i="5" s="1"/>
  <c r="AG504" i="5"/>
  <c r="AI504" i="5" s="1"/>
  <c r="AG413" i="5"/>
  <c r="AH413" i="5" s="1"/>
  <c r="AG157" i="5"/>
  <c r="AI157" i="5" s="1"/>
  <c r="AG514" i="5"/>
  <c r="AI514" i="5" s="1"/>
  <c r="AG398" i="5"/>
  <c r="AH398" i="5" s="1"/>
  <c r="AG341" i="5"/>
  <c r="AI341" i="5" s="1"/>
  <c r="AG109" i="5"/>
  <c r="AH109" i="5" s="1"/>
  <c r="AG281" i="5"/>
  <c r="AH281" i="5" s="1"/>
  <c r="AG439" i="5"/>
  <c r="AH439" i="5" s="1"/>
  <c r="AG336" i="5"/>
  <c r="AH336" i="5" s="1"/>
  <c r="AG156" i="5"/>
  <c r="AH156" i="5" s="1"/>
  <c r="AG284" i="5"/>
  <c r="AI284" i="5" s="1"/>
  <c r="AG553" i="5"/>
  <c r="AH553" i="5" s="1"/>
  <c r="AG472" i="5"/>
  <c r="AI472" i="5" s="1"/>
  <c r="AG113" i="5"/>
  <c r="AH113" i="5" s="1"/>
  <c r="AG364" i="5"/>
  <c r="AI364" i="5" s="1"/>
  <c r="AG356" i="5"/>
  <c r="AI356" i="5" s="1"/>
  <c r="AG452" i="5"/>
  <c r="AH452" i="5" s="1"/>
  <c r="AG237" i="5"/>
  <c r="AH237" i="5" s="1"/>
  <c r="AG463" i="5"/>
  <c r="AI463" i="5" s="1"/>
  <c r="AG136" i="5"/>
  <c r="AH136" i="5" s="1"/>
  <c r="AG145" i="5"/>
  <c r="AI145" i="5" s="1"/>
  <c r="AG111" i="5"/>
  <c r="AI111" i="5" s="1"/>
  <c r="AM540" i="5"/>
  <c r="AN540" i="5" s="1"/>
  <c r="AM482" i="5"/>
  <c r="AO482" i="5" s="1"/>
  <c r="AM93" i="5"/>
  <c r="AN93" i="5" s="1"/>
  <c r="AM253" i="5"/>
  <c r="AN253" i="5" s="1"/>
  <c r="AJ307" i="5"/>
  <c r="AL307" i="5" s="1"/>
  <c r="AM508" i="5"/>
  <c r="AN508" i="5" s="1"/>
  <c r="AG289" i="5"/>
  <c r="AH289" i="5" s="1"/>
  <c r="AG323" i="5"/>
  <c r="AI323" i="5" s="1"/>
  <c r="AG442" i="5"/>
  <c r="AI442" i="5" s="1"/>
  <c r="AM234" i="5"/>
  <c r="AO234" i="5" s="1"/>
  <c r="AM530" i="5"/>
  <c r="AO530" i="5" s="1"/>
  <c r="AM135" i="5"/>
  <c r="AN135" i="5" s="1"/>
  <c r="AG84" i="5"/>
  <c r="AH84" i="5" s="1"/>
  <c r="AG515" i="5"/>
  <c r="AI515" i="5" s="1"/>
  <c r="AG68" i="5"/>
  <c r="AH68" i="5" s="1"/>
  <c r="AM332" i="5"/>
  <c r="AN332" i="5" s="1"/>
  <c r="AM105" i="5"/>
  <c r="AN105" i="5" s="1"/>
  <c r="AG343" i="5"/>
  <c r="AH343" i="5" s="1"/>
  <c r="AG160" i="5"/>
  <c r="AH160" i="5" s="1"/>
  <c r="AG102" i="5"/>
  <c r="AI102" i="5" s="1"/>
  <c r="AG423" i="5"/>
  <c r="AI423" i="5" s="1"/>
  <c r="AM459" i="5"/>
  <c r="AO459" i="5" s="1"/>
  <c r="AG184" i="5"/>
  <c r="AH184" i="5" s="1"/>
  <c r="AG36" i="5"/>
  <c r="AH36" i="5" s="1"/>
  <c r="AG71" i="5"/>
  <c r="AI71" i="5" s="1"/>
  <c r="AG60" i="5"/>
  <c r="AH60" i="5" s="1"/>
  <c r="AG192" i="5"/>
  <c r="AH192" i="5" s="1"/>
  <c r="AG308" i="5"/>
  <c r="AH308" i="5" s="1"/>
  <c r="AG86" i="5"/>
  <c r="AH86" i="5" s="1"/>
  <c r="AM235" i="5"/>
  <c r="AO235" i="5" s="1"/>
  <c r="AM370" i="5"/>
  <c r="AN370" i="5" s="1"/>
  <c r="AM285" i="5"/>
  <c r="AO285" i="5" s="1"/>
  <c r="AM486" i="5"/>
  <c r="AO486" i="5" s="1"/>
  <c r="AM476" i="5"/>
  <c r="AO476" i="5" s="1"/>
  <c r="AM498" i="5"/>
  <c r="AN498" i="5" s="1"/>
  <c r="AM115" i="5"/>
  <c r="AN115" i="5" s="1"/>
  <c r="AM362" i="5"/>
  <c r="AN362" i="5" s="1"/>
  <c r="AM69" i="5"/>
  <c r="AN69" i="5" s="1"/>
  <c r="AM365" i="5"/>
  <c r="AO365" i="5" s="1"/>
  <c r="AM525" i="5"/>
  <c r="AN525" i="5" s="1"/>
  <c r="AG317" i="5"/>
  <c r="AI317" i="5" s="1"/>
  <c r="AG114" i="5"/>
  <c r="AH114" i="5" s="1"/>
  <c r="AM189" i="5"/>
  <c r="AO189" i="5" s="1"/>
  <c r="AM41" i="5"/>
  <c r="AN41" i="5" s="1"/>
  <c r="AM258" i="5"/>
  <c r="AN258" i="5" s="1"/>
  <c r="AG106" i="5"/>
  <c r="AI106" i="5" s="1"/>
  <c r="AM66" i="5"/>
  <c r="AN66" i="5" s="1"/>
  <c r="AM395" i="5"/>
  <c r="AO395" i="5" s="1"/>
  <c r="AM133" i="5"/>
  <c r="AN133" i="5" s="1"/>
  <c r="AG501" i="5"/>
  <c r="AI501" i="5" s="1"/>
  <c r="AG179" i="5"/>
  <c r="AI179" i="5" s="1"/>
  <c r="AG556" i="5"/>
  <c r="AH556" i="5" s="1"/>
  <c r="AG126" i="5"/>
  <c r="AH126" i="5" s="1"/>
  <c r="AG101" i="5"/>
  <c r="AH101" i="5" s="1"/>
  <c r="AG286" i="5"/>
  <c r="AH286" i="5" s="1"/>
  <c r="AG135" i="5"/>
  <c r="AH135" i="5" s="1"/>
  <c r="AG72" i="5"/>
  <c r="AI72" i="5" s="1"/>
  <c r="AG443" i="5"/>
  <c r="AI443" i="5" s="1"/>
  <c r="AG344" i="5"/>
  <c r="AH344" i="5" s="1"/>
  <c r="AG292" i="5"/>
  <c r="AI292" i="5" s="1"/>
  <c r="AG395" i="5"/>
  <c r="AI395" i="5" s="1"/>
  <c r="AG100" i="5"/>
  <c r="AH100" i="5" s="1"/>
  <c r="AG277" i="5"/>
  <c r="AI277" i="5" s="1"/>
  <c r="AG132" i="5"/>
  <c r="AH132" i="5" s="1"/>
  <c r="AG143" i="5"/>
  <c r="AH143" i="5" s="1"/>
  <c r="AG96" i="5"/>
  <c r="AH96" i="5" s="1"/>
  <c r="AG459" i="5"/>
  <c r="AI459" i="5" s="1"/>
  <c r="AG376" i="5"/>
  <c r="AI376" i="5" s="1"/>
  <c r="AG303" i="5"/>
  <c r="AI303" i="5" s="1"/>
  <c r="AG235" i="5"/>
  <c r="AH235" i="5" s="1"/>
  <c r="AG116" i="5"/>
  <c r="AH116" i="5" s="1"/>
  <c r="AG253" i="5"/>
  <c r="AH253" i="5" s="1"/>
  <c r="AG137" i="5"/>
  <c r="AH137" i="5" s="1"/>
  <c r="AG402" i="5"/>
  <c r="AI402" i="5" s="1"/>
  <c r="AG129" i="5"/>
  <c r="AI129" i="5" s="1"/>
  <c r="AG410" i="5"/>
  <c r="AH410" i="5" s="1"/>
  <c r="AG20" i="5"/>
  <c r="AH20" i="5" s="1"/>
  <c r="AG26" i="5"/>
  <c r="AI26" i="5" s="1"/>
  <c r="AG324" i="5"/>
  <c r="AI324" i="5" s="1"/>
  <c r="AG159" i="5"/>
  <c r="AI159" i="5" s="1"/>
  <c r="AG104" i="5"/>
  <c r="AH104" i="5" s="1"/>
  <c r="AG483" i="5"/>
  <c r="AI483" i="5" s="1"/>
  <c r="AG400" i="5"/>
  <c r="AI400" i="5" s="1"/>
  <c r="AG180" i="5"/>
  <c r="AH180" i="5" s="1"/>
  <c r="AG139" i="5"/>
  <c r="AH139" i="5" s="1"/>
  <c r="AG61" i="5"/>
  <c r="AG349" i="5"/>
  <c r="AH349" i="5" s="1"/>
  <c r="AG125" i="5"/>
  <c r="AH125" i="5" s="1"/>
  <c r="AG214" i="5"/>
  <c r="AH214" i="5" s="1"/>
  <c r="AG77" i="5"/>
  <c r="AH77" i="5" s="1"/>
  <c r="AG94" i="5"/>
  <c r="AI94" i="5" s="1"/>
  <c r="AG250" i="5"/>
  <c r="AH250" i="5" s="1"/>
  <c r="AG386" i="5"/>
  <c r="AH386" i="5" s="1"/>
  <c r="AG21" i="5"/>
  <c r="AH21" i="5" s="1"/>
  <c r="AG45" i="5"/>
  <c r="AI45" i="5" s="1"/>
  <c r="AG273" i="5"/>
  <c r="AI273" i="5" s="1"/>
  <c r="AG175" i="5"/>
  <c r="AH175" i="5" s="1"/>
  <c r="AG112" i="5"/>
  <c r="AI112" i="5" s="1"/>
  <c r="AG507" i="5"/>
  <c r="AH507" i="5" s="1"/>
  <c r="AG416" i="5"/>
  <c r="AI416" i="5" s="1"/>
  <c r="AG407" i="5"/>
  <c r="AI407" i="5" s="1"/>
  <c r="AG187" i="5"/>
  <c r="AH187" i="5" s="1"/>
  <c r="AG76" i="5"/>
  <c r="AI76" i="5" s="1"/>
  <c r="AG367" i="5"/>
  <c r="AI367" i="5" s="1"/>
  <c r="AG172" i="5"/>
  <c r="AH172" i="5" s="1"/>
  <c r="AG222" i="5"/>
  <c r="AI222" i="5" s="1"/>
  <c r="AG520" i="5"/>
  <c r="AH520" i="5" s="1"/>
  <c r="AG217" i="5"/>
  <c r="AI217" i="5" s="1"/>
  <c r="AG81" i="5"/>
  <c r="AH81" i="5" s="1"/>
  <c r="AG166" i="5"/>
  <c r="AH166" i="5" s="1"/>
  <c r="AG551" i="5"/>
  <c r="AH551" i="5" s="1"/>
  <c r="AG259" i="5"/>
  <c r="AH259" i="5" s="1"/>
  <c r="AG97" i="5"/>
  <c r="AI97" i="5" s="1"/>
  <c r="AG245" i="5"/>
  <c r="AH245" i="5" s="1"/>
  <c r="AG340" i="5"/>
  <c r="AI340" i="5" s="1"/>
  <c r="AG524" i="5"/>
  <c r="AH524" i="5" s="1"/>
  <c r="AG477" i="5"/>
  <c r="AI477" i="5" s="1"/>
  <c r="AG544" i="5"/>
  <c r="AH544" i="5" s="1"/>
  <c r="AG233" i="5"/>
  <c r="AI233" i="5" s="1"/>
  <c r="AG199" i="5"/>
  <c r="AH199" i="5" s="1"/>
  <c r="AG8" i="5"/>
  <c r="AI8" i="5" s="1"/>
  <c r="AG403" i="5"/>
  <c r="AI403" i="5" s="1"/>
  <c r="AG224" i="5"/>
  <c r="AG502" i="5"/>
  <c r="AI502" i="5" s="1"/>
  <c r="AG195" i="5"/>
  <c r="AH195" i="5" s="1"/>
  <c r="AG108" i="5"/>
  <c r="AI108" i="5" s="1"/>
  <c r="AG385" i="5"/>
  <c r="AI385" i="5" s="1"/>
  <c r="AG207" i="5"/>
  <c r="AG397" i="5"/>
  <c r="AI397" i="5" s="1"/>
  <c r="AG422" i="5"/>
  <c r="AI422" i="5" s="1"/>
  <c r="AG485" i="5"/>
  <c r="AI485" i="5" s="1"/>
  <c r="AG426" i="5"/>
  <c r="AI426" i="5" s="1"/>
  <c r="AG218" i="5"/>
  <c r="AI218" i="5" s="1"/>
  <c r="AG525" i="5"/>
  <c r="AH525" i="5" s="1"/>
  <c r="AG47" i="5"/>
  <c r="AI47" i="5" s="1"/>
  <c r="AG328" i="5"/>
  <c r="AI328" i="5" s="1"/>
  <c r="AG28" i="5"/>
  <c r="AI28" i="5" s="1"/>
  <c r="AG168" i="5"/>
  <c r="AG358" i="5"/>
  <c r="AI358" i="5" s="1"/>
  <c r="AG67" i="5"/>
  <c r="AH67" i="5" s="1"/>
  <c r="AG215" i="5"/>
  <c r="AI215" i="5" s="1"/>
  <c r="AG46" i="5"/>
  <c r="AI46" i="5" s="1"/>
  <c r="AG231" i="5"/>
  <c r="AH231" i="5" s="1"/>
  <c r="AG499" i="5"/>
  <c r="AH499" i="5" s="1"/>
  <c r="AG498" i="5"/>
  <c r="AI498" i="5" s="1"/>
  <c r="AG82" i="5"/>
  <c r="AI82" i="5" s="1"/>
  <c r="AG276" i="5"/>
  <c r="AH276" i="5" s="1"/>
  <c r="AG394" i="5"/>
  <c r="AI394" i="5" s="1"/>
  <c r="AG372" i="5"/>
  <c r="AI372" i="5" s="1"/>
  <c r="AG548" i="5"/>
  <c r="AH548" i="5" s="1"/>
  <c r="AG93" i="5"/>
  <c r="AI93" i="5" s="1"/>
  <c r="AG455" i="5"/>
  <c r="AH455" i="5" s="1"/>
  <c r="AG392" i="5"/>
  <c r="AH392" i="5" s="1"/>
  <c r="AG40" i="5"/>
  <c r="AH40" i="5" s="1"/>
  <c r="AG169" i="5"/>
  <c r="AH169" i="5" s="1"/>
  <c r="AG123" i="5"/>
  <c r="AH123" i="5" s="1"/>
  <c r="AG73" i="5"/>
  <c r="AH73" i="5" s="1"/>
  <c r="AG401" i="5"/>
  <c r="AH401" i="5" s="1"/>
  <c r="AG122" i="5"/>
  <c r="AI122" i="5" s="1"/>
  <c r="AG151" i="5"/>
  <c r="AI151" i="5" s="1"/>
  <c r="AG177" i="5"/>
  <c r="AI177" i="5" s="1"/>
  <c r="AG107" i="5"/>
  <c r="AI107" i="5" s="1"/>
  <c r="AG434" i="5"/>
  <c r="AI434" i="5" s="1"/>
  <c r="AG58" i="5"/>
  <c r="AI58" i="5" s="1"/>
  <c r="AG314" i="5"/>
  <c r="AH314" i="5" s="1"/>
  <c r="AG354" i="5"/>
  <c r="AH354" i="5" s="1"/>
  <c r="AG437" i="5"/>
  <c r="AI437" i="5" s="1"/>
  <c r="AG516" i="5"/>
  <c r="AH516" i="5" s="1"/>
  <c r="AG65" i="5"/>
  <c r="AH65" i="5" s="1"/>
  <c r="AG487" i="5"/>
  <c r="AH487" i="5" s="1"/>
  <c r="AG240" i="5"/>
  <c r="AI240" i="5" s="1"/>
  <c r="AG538" i="5"/>
  <c r="AI538" i="5" s="1"/>
  <c r="AG88" i="5"/>
  <c r="AH88" i="5" s="1"/>
  <c r="AG193" i="5"/>
  <c r="AH193" i="5" s="1"/>
  <c r="AG197" i="5"/>
  <c r="AI197" i="5" s="1"/>
  <c r="AG147" i="5"/>
  <c r="AH147" i="5" s="1"/>
  <c r="AG550" i="5"/>
  <c r="AH550" i="5" s="1"/>
  <c r="AG167" i="5"/>
  <c r="AI167" i="5" s="1"/>
  <c r="AG163" i="5"/>
  <c r="AH163" i="5" s="1"/>
  <c r="AG183" i="5"/>
  <c r="AI183" i="5" s="1"/>
  <c r="AG294" i="5"/>
  <c r="AI294" i="5" s="1"/>
  <c r="AG221" i="5"/>
  <c r="AI221" i="5" s="1"/>
  <c r="AG270" i="5"/>
  <c r="AH270" i="5" s="1"/>
  <c r="AG406" i="5"/>
  <c r="AI406" i="5" s="1"/>
  <c r="AG510" i="5"/>
  <c r="AH510" i="5" s="1"/>
  <c r="AG54" i="5"/>
  <c r="AH54" i="5" s="1"/>
  <c r="AG495" i="5"/>
  <c r="AI495" i="5" s="1"/>
  <c r="AG256" i="5"/>
  <c r="AH256" i="5" s="1"/>
  <c r="AG546" i="5"/>
  <c r="AI546" i="5" s="1"/>
  <c r="AG201" i="5"/>
  <c r="AH201" i="5" s="1"/>
  <c r="AG242" i="5"/>
  <c r="AH242" i="5" s="1"/>
  <c r="AG170" i="5"/>
  <c r="AI170" i="5" s="1"/>
  <c r="AG465" i="5"/>
  <c r="AI465" i="5" s="1"/>
  <c r="AG230" i="5"/>
  <c r="AG25" i="5"/>
  <c r="AH25" i="5" s="1"/>
  <c r="AG363" i="5"/>
  <c r="AH363" i="5" s="1"/>
  <c r="AG131" i="5"/>
  <c r="AH131" i="5" s="1"/>
  <c r="AG557" i="5"/>
  <c r="AI557" i="5" s="1"/>
  <c r="AG37" i="5"/>
  <c r="AI37" i="5" s="1"/>
  <c r="AG211" i="5"/>
  <c r="AI211" i="5" s="1"/>
  <c r="AG535" i="5"/>
  <c r="AI535" i="5" s="1"/>
  <c r="AG466" i="5"/>
  <c r="AI466" i="5" s="1"/>
  <c r="AG30" i="5"/>
  <c r="AH30" i="5" s="1"/>
  <c r="AG190" i="5"/>
  <c r="AH190" i="5" s="1"/>
  <c r="AG205" i="5"/>
  <c r="AI205" i="5" s="1"/>
  <c r="AG290" i="5"/>
  <c r="AH290" i="5" s="1"/>
  <c r="AG438" i="5"/>
  <c r="AH438" i="5" s="1"/>
  <c r="AG42" i="5"/>
  <c r="AH42" i="5" s="1"/>
  <c r="AG264" i="5"/>
  <c r="AI264" i="5" s="1"/>
  <c r="AG526" i="5"/>
  <c r="AI526" i="5" s="1"/>
  <c r="AG59" i="5"/>
  <c r="AI59" i="5" s="1"/>
  <c r="AG249" i="5"/>
  <c r="AH249" i="5" s="1"/>
  <c r="AG188" i="5"/>
  <c r="AH188" i="5" s="1"/>
  <c r="AG467" i="5"/>
  <c r="AH467" i="5" s="1"/>
  <c r="AG279" i="5"/>
  <c r="AH279" i="5" s="1"/>
  <c r="AG257" i="5"/>
  <c r="AI257" i="5" s="1"/>
  <c r="AG527" i="5"/>
  <c r="AH527" i="5" s="1"/>
  <c r="AG404" i="5"/>
  <c r="AH404" i="5" s="1"/>
  <c r="AG558" i="5"/>
  <c r="AH558" i="5" s="1"/>
  <c r="AG182" i="5"/>
  <c r="AI182" i="5" s="1"/>
  <c r="AG238" i="5"/>
  <c r="AI238" i="5" s="1"/>
  <c r="AG348" i="5"/>
  <c r="AI348" i="5" s="1"/>
  <c r="AG436" i="5"/>
  <c r="AI436" i="5" s="1"/>
  <c r="AG38" i="5"/>
  <c r="AH38" i="5" s="1"/>
  <c r="AG327" i="5"/>
  <c r="AI327" i="5" s="1"/>
  <c r="AG280" i="5"/>
  <c r="AI280" i="5" s="1"/>
  <c r="AG534" i="5"/>
  <c r="AI534" i="5" s="1"/>
  <c r="AG98" i="5"/>
  <c r="AI98" i="5" s="1"/>
  <c r="AG322" i="5"/>
  <c r="AI322" i="5" s="1"/>
  <c r="AG254" i="5"/>
  <c r="AI254" i="5" s="1"/>
  <c r="AG33" i="5"/>
  <c r="AI33" i="5" s="1"/>
  <c r="AG269" i="5"/>
  <c r="AH269" i="5" s="1"/>
  <c r="AG247" i="5"/>
  <c r="AG295" i="5"/>
  <c r="AG181" i="5"/>
  <c r="AH181" i="5" s="1"/>
  <c r="AG382" i="5"/>
  <c r="AH382" i="5" s="1"/>
  <c r="AG542" i="5"/>
  <c r="AH542" i="5" s="1"/>
  <c r="AG301" i="5"/>
  <c r="AI301" i="5" s="1"/>
  <c r="AG447" i="5"/>
  <c r="AI447" i="5" s="1"/>
  <c r="AG23" i="5"/>
  <c r="AH23" i="5" s="1"/>
  <c r="AG296" i="5"/>
  <c r="AH296" i="5" s="1"/>
  <c r="AG347" i="5"/>
  <c r="AI347" i="5" s="1"/>
  <c r="AG320" i="5"/>
  <c r="AH320" i="5" s="1"/>
  <c r="AG310" i="5"/>
  <c r="AH310" i="5" s="1"/>
  <c r="AG268" i="5"/>
  <c r="AG124" i="5"/>
  <c r="AG171" i="5"/>
  <c r="AI171" i="5" s="1"/>
  <c r="AG227" i="5"/>
  <c r="AI227" i="5" s="1"/>
  <c r="AG293" i="5"/>
  <c r="AG271" i="5"/>
  <c r="AJ187" i="5"/>
  <c r="AK187" i="5" s="1"/>
  <c r="AG128" i="5"/>
  <c r="AH128" i="5" s="1"/>
  <c r="AG352" i="5"/>
  <c r="AI352" i="5" s="1"/>
  <c r="AG297" i="5"/>
  <c r="AI297" i="5" s="1"/>
  <c r="AG334" i="5"/>
  <c r="AI334" i="5" s="1"/>
  <c r="AG508" i="5"/>
  <c r="AH508" i="5" s="1"/>
  <c r="AG198" i="5"/>
  <c r="AH198" i="5" s="1"/>
  <c r="AG213" i="5"/>
  <c r="AI213" i="5" s="1"/>
  <c r="AG266" i="5"/>
  <c r="AI266" i="5" s="1"/>
  <c r="AG174" i="5"/>
  <c r="AI174" i="5" s="1"/>
  <c r="AG393" i="5"/>
  <c r="AI393" i="5" s="1"/>
  <c r="AJ283" i="5"/>
  <c r="AK283" i="5" s="1"/>
  <c r="AG522" i="5"/>
  <c r="AI522" i="5" s="1"/>
  <c r="AG22" i="5"/>
  <c r="AI22" i="5" s="1"/>
  <c r="AG258" i="5"/>
  <c r="AH258" i="5" s="1"/>
  <c r="AG370" i="5"/>
  <c r="AI370" i="5" s="1"/>
  <c r="AG133" i="5"/>
  <c r="AH133" i="5" s="1"/>
  <c r="AG419" i="5"/>
  <c r="AH419" i="5" s="1"/>
  <c r="AG87" i="5"/>
  <c r="AI87" i="5" s="1"/>
  <c r="AG176" i="5"/>
  <c r="AH176" i="5" s="1"/>
  <c r="AG44" i="5"/>
  <c r="AH44" i="5" s="1"/>
  <c r="AG408" i="5"/>
  <c r="AH408" i="5" s="1"/>
  <c r="AG185" i="5"/>
  <c r="AI185" i="5" s="1"/>
  <c r="AG478" i="5"/>
  <c r="AH478" i="5" s="1"/>
  <c r="AG509" i="5"/>
  <c r="AH509" i="5" s="1"/>
  <c r="AG203" i="5"/>
  <c r="AH203" i="5" s="1"/>
  <c r="AG196" i="5"/>
  <c r="AH196" i="5" s="1"/>
  <c r="AG415" i="5"/>
  <c r="AH415" i="5" s="1"/>
  <c r="AG411" i="5"/>
  <c r="AI411" i="5" s="1"/>
  <c r="AG475" i="5"/>
  <c r="AG390" i="5"/>
  <c r="AI390" i="5" s="1"/>
  <c r="AG470" i="5"/>
  <c r="AI470" i="5" s="1"/>
  <c r="AG274" i="5"/>
  <c r="AH274" i="5" s="1"/>
  <c r="AG346" i="5"/>
  <c r="AI346" i="5" s="1"/>
  <c r="AG110" i="5"/>
  <c r="AI110" i="5" s="1"/>
  <c r="AG351" i="5"/>
  <c r="AI351" i="5" s="1"/>
  <c r="AG448" i="5"/>
  <c r="AI448" i="5" s="1"/>
  <c r="AG216" i="5"/>
  <c r="AI216" i="5" s="1"/>
  <c r="AG547" i="5"/>
  <c r="AH547" i="5" s="1"/>
  <c r="AG375" i="5"/>
  <c r="AH375" i="5" s="1"/>
  <c r="AG248" i="5"/>
  <c r="AH248" i="5" s="1"/>
  <c r="AG209" i="5"/>
  <c r="AI209" i="5" s="1"/>
  <c r="AG500" i="5"/>
  <c r="AI500" i="5" s="1"/>
  <c r="AG243" i="5"/>
  <c r="AI243" i="5" s="1"/>
  <c r="AG374" i="5"/>
  <c r="AI374" i="5" s="1"/>
  <c r="AG362" i="5"/>
  <c r="AI362" i="5" s="1"/>
  <c r="AG469" i="5"/>
  <c r="AI469" i="5" s="1"/>
  <c r="AG468" i="5"/>
  <c r="AI468" i="5" s="1"/>
  <c r="AG381" i="5"/>
  <c r="AI381" i="5" s="1"/>
  <c r="AG428" i="5"/>
  <c r="AH428" i="5" s="1"/>
  <c r="AG252" i="5"/>
  <c r="AH252" i="5" s="1"/>
  <c r="AG417" i="5"/>
  <c r="AH417" i="5" s="1"/>
  <c r="AG130" i="5"/>
  <c r="AH130" i="5" s="1"/>
  <c r="AG359" i="5"/>
  <c r="AI359" i="5" s="1"/>
  <c r="AG464" i="5"/>
  <c r="AI464" i="5" s="1"/>
  <c r="AG24" i="5"/>
  <c r="AH24" i="5" s="1"/>
  <c r="AG425" i="5"/>
  <c r="AI425" i="5" s="1"/>
  <c r="AG19" i="5"/>
  <c r="AI19" i="5" s="1"/>
  <c r="AG272" i="5"/>
  <c r="AG41" i="5"/>
  <c r="AI41" i="5" s="1"/>
  <c r="AG251" i="5"/>
  <c r="AG298" i="5"/>
  <c r="AG373" i="5"/>
  <c r="AI373" i="5" s="1"/>
  <c r="AG435" i="5"/>
  <c r="AG204" i="5"/>
  <c r="AH204" i="5" s="1"/>
  <c r="AG333" i="5"/>
  <c r="AI333" i="5" s="1"/>
  <c r="AG540" i="5"/>
  <c r="AI540" i="5" s="1"/>
  <c r="AG212" i="5"/>
  <c r="AH212" i="5" s="1"/>
  <c r="AG396" i="5"/>
  <c r="AI396" i="5" s="1"/>
  <c r="AG92" i="5"/>
  <c r="AH92" i="5" s="1"/>
  <c r="AG383" i="5"/>
  <c r="AI383" i="5" s="1"/>
  <c r="AG488" i="5"/>
  <c r="AI488" i="5" s="1"/>
  <c r="AG48" i="5"/>
  <c r="AH48" i="5" s="1"/>
  <c r="AG441" i="5"/>
  <c r="AH441" i="5" s="1"/>
  <c r="AG288" i="5"/>
  <c r="AI288" i="5" s="1"/>
  <c r="AG57" i="5"/>
  <c r="AH57" i="5" s="1"/>
  <c r="AG49" i="5"/>
  <c r="AH49" i="5" s="1"/>
  <c r="AG275" i="5"/>
  <c r="AH275" i="5" s="1"/>
  <c r="AG339" i="5"/>
  <c r="AI339" i="5" s="1"/>
  <c r="AG445" i="5"/>
  <c r="AI445" i="5" s="1"/>
  <c r="AG453" i="5"/>
  <c r="AH453" i="5" s="1"/>
  <c r="AG555" i="5"/>
  <c r="AH555" i="5" s="1"/>
  <c r="AJ521" i="5"/>
  <c r="AK521" i="5" s="1"/>
  <c r="AG226" i="5"/>
  <c r="AH226" i="5" s="1"/>
  <c r="AG506" i="5"/>
  <c r="AH506" i="5" s="1"/>
  <c r="AG140" i="5"/>
  <c r="AI140" i="5" s="1"/>
  <c r="AG321" i="5"/>
  <c r="AH321" i="5" s="1"/>
  <c r="AG89" i="5"/>
  <c r="AI89" i="5" s="1"/>
  <c r="AG223" i="5"/>
  <c r="AI223" i="5" s="1"/>
  <c r="AG496" i="5"/>
  <c r="AI496" i="5" s="1"/>
  <c r="AG56" i="5"/>
  <c r="AI56" i="5" s="1"/>
  <c r="AG513" i="5"/>
  <c r="AI513" i="5" s="1"/>
  <c r="AG120" i="5"/>
  <c r="AI120" i="5" s="1"/>
  <c r="AG105" i="5"/>
  <c r="AH105" i="5" s="1"/>
  <c r="AG63" i="5"/>
  <c r="AH63" i="5" s="1"/>
  <c r="AG315" i="5"/>
  <c r="AI315" i="5" s="1"/>
  <c r="AG427" i="5"/>
  <c r="AH427" i="5" s="1"/>
  <c r="AG357" i="5"/>
  <c r="AH357" i="5" s="1"/>
  <c r="AG559" i="5"/>
  <c r="AI559" i="5" s="1"/>
  <c r="AG537" i="5"/>
  <c r="AH537" i="5" s="1"/>
  <c r="AI85" i="5"/>
  <c r="AH85" i="5"/>
  <c r="AG471" i="5"/>
  <c r="AG479" i="5"/>
  <c r="AG532" i="5"/>
  <c r="AH532" i="5" s="1"/>
  <c r="AG446" i="5"/>
  <c r="AI446" i="5" s="1"/>
  <c r="AG206" i="5"/>
  <c r="AM549" i="5"/>
  <c r="AN549" i="5" s="1"/>
  <c r="AM409" i="5"/>
  <c r="AO409" i="5" s="1"/>
  <c r="AM113" i="5"/>
  <c r="AO113" i="5" s="1"/>
  <c r="AM347" i="5"/>
  <c r="AN347" i="5" s="1"/>
  <c r="AM500" i="5"/>
  <c r="AO500" i="5" s="1"/>
  <c r="AM485" i="5"/>
  <c r="AN485" i="5" s="1"/>
  <c r="AM334" i="5"/>
  <c r="AN334" i="5" s="1"/>
  <c r="AM238" i="5"/>
  <c r="AN238" i="5" s="1"/>
  <c r="AM29" i="5"/>
  <c r="AN29" i="5" s="1"/>
  <c r="AM426" i="5"/>
  <c r="AN426" i="5" s="1"/>
  <c r="AM322" i="5"/>
  <c r="AN322" i="5" s="1"/>
  <c r="AM53" i="5"/>
  <c r="AO53" i="5" s="1"/>
  <c r="AM454" i="5"/>
  <c r="AO454" i="5" s="1"/>
  <c r="AM286" i="5"/>
  <c r="AN286" i="5" s="1"/>
  <c r="AM186" i="5"/>
  <c r="AN186" i="5" s="1"/>
  <c r="AM62" i="5"/>
  <c r="AO62" i="5" s="1"/>
  <c r="AM493" i="5"/>
  <c r="AN493" i="5" s="1"/>
  <c r="AM222" i="5"/>
  <c r="AN222" i="5" s="1"/>
  <c r="AM492" i="5"/>
  <c r="AN492" i="5" s="1"/>
  <c r="AM326" i="5"/>
  <c r="AN326" i="5" s="1"/>
  <c r="AM68" i="5"/>
  <c r="AN68" i="5" s="1"/>
  <c r="AM487" i="5"/>
  <c r="AN487" i="5" s="1"/>
  <c r="AM496" i="5"/>
  <c r="AO496" i="5" s="1"/>
  <c r="AM263" i="5"/>
  <c r="AO263" i="5" s="1"/>
  <c r="AM554" i="5"/>
  <c r="AN554" i="5" s="1"/>
  <c r="AM243" i="5"/>
  <c r="AO243" i="5" s="1"/>
  <c r="AM388" i="5"/>
  <c r="AN388" i="5" s="1"/>
  <c r="AM520" i="5"/>
  <c r="AO520" i="5" s="1"/>
  <c r="AM346" i="5"/>
  <c r="AN346" i="5" s="1"/>
  <c r="AM173" i="5"/>
  <c r="AN173" i="5" s="1"/>
  <c r="AM550" i="5"/>
  <c r="AN550" i="5" s="1"/>
  <c r="AM458" i="5"/>
  <c r="AN458" i="5" s="1"/>
  <c r="AM298" i="5"/>
  <c r="AO298" i="5" s="1"/>
  <c r="AM38" i="5"/>
  <c r="AN38" i="5" s="1"/>
  <c r="AM484" i="5"/>
  <c r="AO484" i="5" s="1"/>
  <c r="AM389" i="5"/>
  <c r="AN389" i="5" s="1"/>
  <c r="AM204" i="5"/>
  <c r="AN204" i="5" s="1"/>
  <c r="AM28" i="5"/>
  <c r="AO28" i="5" s="1"/>
  <c r="AM397" i="5"/>
  <c r="AO397" i="5" s="1"/>
  <c r="AM141" i="5"/>
  <c r="AN141" i="5" s="1"/>
  <c r="AM394" i="5"/>
  <c r="AO394" i="5" s="1"/>
  <c r="AM161" i="5"/>
  <c r="AO161" i="5" s="1"/>
  <c r="AM431" i="5"/>
  <c r="AN431" i="5" s="1"/>
  <c r="AM495" i="5"/>
  <c r="AN495" i="5" s="1"/>
  <c r="AM359" i="5"/>
  <c r="AO359" i="5" s="1"/>
  <c r="AM546" i="5"/>
  <c r="AO546" i="5" s="1"/>
  <c r="AM24" i="5"/>
  <c r="AN24" i="5" s="1"/>
  <c r="AM457" i="5"/>
  <c r="AO457" i="5" s="1"/>
  <c r="AM129" i="5"/>
  <c r="AO129" i="5" s="1"/>
  <c r="AM211" i="5"/>
  <c r="AN211" i="5" s="1"/>
  <c r="AM410" i="5"/>
  <c r="AN410" i="5" s="1"/>
  <c r="AM270" i="5"/>
  <c r="AO270" i="5" s="1"/>
  <c r="AM430" i="5"/>
  <c r="AN430" i="5" s="1"/>
  <c r="AM58" i="5"/>
  <c r="AN58" i="5" s="1"/>
  <c r="AM198" i="5"/>
  <c r="AN198" i="5" s="1"/>
  <c r="AM31" i="5"/>
  <c r="AN31" i="5" s="1"/>
  <c r="AM72" i="5"/>
  <c r="AO72" i="5" s="1"/>
  <c r="AM289" i="5"/>
  <c r="AN289" i="5" s="1"/>
  <c r="AM155" i="5"/>
  <c r="AN155" i="5" s="1"/>
  <c r="AM83" i="5"/>
  <c r="AN83" i="5" s="1"/>
  <c r="AM299" i="5"/>
  <c r="AN299" i="5" s="1"/>
  <c r="AM396" i="5"/>
  <c r="AO396" i="5" s="1"/>
  <c r="AM434" i="5"/>
  <c r="AN434" i="5" s="1"/>
  <c r="AM306" i="5"/>
  <c r="AN306" i="5" s="1"/>
  <c r="AM122" i="5"/>
  <c r="AN122" i="5" s="1"/>
  <c r="AM437" i="5"/>
  <c r="AO437" i="5" s="1"/>
  <c r="AM354" i="5"/>
  <c r="AO354" i="5" s="1"/>
  <c r="AM282" i="5"/>
  <c r="AN282" i="5" s="1"/>
  <c r="AM26" i="5"/>
  <c r="AO26" i="5" s="1"/>
  <c r="AM462" i="5"/>
  <c r="AO462" i="5" s="1"/>
  <c r="AM293" i="5"/>
  <c r="AO293" i="5" s="1"/>
  <c r="AM205" i="5"/>
  <c r="AN205" i="5" s="1"/>
  <c r="AM42" i="5"/>
  <c r="AO42" i="5" s="1"/>
  <c r="AM374" i="5"/>
  <c r="AO374" i="5" s="1"/>
  <c r="AM149" i="5"/>
  <c r="AN149" i="5" s="1"/>
  <c r="AM422" i="5"/>
  <c r="AN422" i="5" s="1"/>
  <c r="AM194" i="5"/>
  <c r="AO194" i="5" s="1"/>
  <c r="AM311" i="5"/>
  <c r="AO311" i="5" s="1"/>
  <c r="AM175" i="5"/>
  <c r="AN175" i="5" s="1"/>
  <c r="AM32" i="5"/>
  <c r="AN32" i="5" s="1"/>
  <c r="AM465" i="5"/>
  <c r="AN465" i="5" s="1"/>
  <c r="AM145" i="5"/>
  <c r="AN145" i="5" s="1"/>
  <c r="AM324" i="5"/>
  <c r="AO324" i="5" s="1"/>
  <c r="AM556" i="5"/>
  <c r="AN556" i="5" s="1"/>
  <c r="AM438" i="5"/>
  <c r="AO438" i="5" s="1"/>
  <c r="AM61" i="5"/>
  <c r="AO61" i="5" s="1"/>
  <c r="AM418" i="5"/>
  <c r="AO418" i="5" s="1"/>
  <c r="AM514" i="5"/>
  <c r="AN514" i="5" s="1"/>
  <c r="AM157" i="5"/>
  <c r="AN157" i="5" s="1"/>
  <c r="AM423" i="5"/>
  <c r="AO423" i="5" s="1"/>
  <c r="AM128" i="5"/>
  <c r="AO128" i="5" s="1"/>
  <c r="AM225" i="5"/>
  <c r="AN225" i="5" s="1"/>
  <c r="AM369" i="5"/>
  <c r="AO369" i="5" s="1"/>
  <c r="AM450" i="5"/>
  <c r="AN450" i="5" s="1"/>
  <c r="AM506" i="5"/>
  <c r="AO506" i="5" s="1"/>
  <c r="AM262" i="5"/>
  <c r="AO262" i="5" s="1"/>
  <c r="AM109" i="5"/>
  <c r="AO109" i="5" s="1"/>
  <c r="AM536" i="5"/>
  <c r="AN536" i="5" s="1"/>
  <c r="AM349" i="5"/>
  <c r="AO349" i="5" s="1"/>
  <c r="AM261" i="5"/>
  <c r="AO261" i="5" s="1"/>
  <c r="AM372" i="5"/>
  <c r="AN372" i="5" s="1"/>
  <c r="AM412" i="5"/>
  <c r="AO412" i="5" s="1"/>
  <c r="AM404" i="5"/>
  <c r="AN404" i="5" s="1"/>
  <c r="AM162" i="5"/>
  <c r="AO162" i="5" s="1"/>
  <c r="AM552" i="5"/>
  <c r="AO552" i="5" s="1"/>
  <c r="AM413" i="5"/>
  <c r="AN413" i="5" s="1"/>
  <c r="AM85" i="5"/>
  <c r="AN85" i="5" s="1"/>
  <c r="AM340" i="5"/>
  <c r="AO340" i="5" s="1"/>
  <c r="AM197" i="5"/>
  <c r="AN197" i="5" s="1"/>
  <c r="AM447" i="5"/>
  <c r="AN447" i="5" s="1"/>
  <c r="AM383" i="5"/>
  <c r="AN383" i="5" s="1"/>
  <c r="AM360" i="5"/>
  <c r="AO360" i="5" s="1"/>
  <c r="AM48" i="5"/>
  <c r="AN48" i="5" s="1"/>
  <c r="AM435" i="5"/>
  <c r="AO435" i="5" s="1"/>
  <c r="AM130" i="5"/>
  <c r="AO130" i="5" s="1"/>
  <c r="AM302" i="5"/>
  <c r="AO302" i="5" s="1"/>
  <c r="AM228" i="5"/>
  <c r="AN228" i="5" s="1"/>
  <c r="AM444" i="5"/>
  <c r="AO444" i="5" s="1"/>
  <c r="AM136" i="5"/>
  <c r="AO136" i="5" s="1"/>
  <c r="AM185" i="5"/>
  <c r="AN185" i="5" s="1"/>
  <c r="AM131" i="5"/>
  <c r="AO131" i="5" s="1"/>
  <c r="AM195" i="5"/>
  <c r="AO195" i="5" s="1"/>
  <c r="AM281" i="5"/>
  <c r="AN281" i="5" s="1"/>
  <c r="AM169" i="5"/>
  <c r="AO169" i="5" s="1"/>
  <c r="AJ539" i="5"/>
  <c r="AK539" i="5" s="1"/>
  <c r="AM209" i="5"/>
  <c r="AN209" i="5" s="1"/>
  <c r="AM551" i="5"/>
  <c r="AN551" i="5" s="1"/>
  <c r="AM325" i="5"/>
  <c r="AO325" i="5" s="1"/>
  <c r="AM318" i="5"/>
  <c r="AO318" i="5" s="1"/>
  <c r="AM98" i="5"/>
  <c r="AN98" i="5" s="1"/>
  <c r="AM518" i="5"/>
  <c r="AO518" i="5" s="1"/>
  <c r="AM390" i="5"/>
  <c r="AN390" i="5" s="1"/>
  <c r="AM210" i="5"/>
  <c r="AN210" i="5" s="1"/>
  <c r="AM528" i="5"/>
  <c r="AN528" i="5" s="1"/>
  <c r="AM532" i="5"/>
  <c r="AO532" i="5" s="1"/>
  <c r="AM301" i="5"/>
  <c r="AO301" i="5" s="1"/>
  <c r="AM142" i="5"/>
  <c r="AO142" i="5" s="1"/>
  <c r="AM543" i="5"/>
  <c r="AO543" i="5" s="1"/>
  <c r="AM338" i="5"/>
  <c r="AO338" i="5" s="1"/>
  <c r="AM82" i="5"/>
  <c r="AN82" i="5" s="1"/>
  <c r="AM356" i="5"/>
  <c r="AO356" i="5" s="1"/>
  <c r="AM116" i="5"/>
  <c r="AN116" i="5" s="1"/>
  <c r="AM87" i="5"/>
  <c r="AO87" i="5" s="1"/>
  <c r="AM176" i="5"/>
  <c r="AO176" i="5" s="1"/>
  <c r="AM118" i="5"/>
  <c r="AN118" i="5" s="1"/>
  <c r="AM510" i="5"/>
  <c r="AO510" i="5" s="1"/>
  <c r="AM490" i="5"/>
  <c r="AO490" i="5" s="1"/>
  <c r="AM294" i="5"/>
  <c r="AO294" i="5" s="1"/>
  <c r="AM106" i="5"/>
  <c r="AN106" i="5" s="1"/>
  <c r="AM560" i="5"/>
  <c r="AN560" i="5" s="1"/>
  <c r="AM206" i="5"/>
  <c r="AN206" i="5" s="1"/>
  <c r="AM481" i="5"/>
  <c r="AN481" i="5" s="1"/>
  <c r="AM358" i="5"/>
  <c r="AN358" i="5" s="1"/>
  <c r="AM110" i="5"/>
  <c r="AN110" i="5" s="1"/>
  <c r="AM223" i="5"/>
  <c r="AO223" i="5" s="1"/>
  <c r="AM127" i="5"/>
  <c r="AO127" i="5" s="1"/>
  <c r="AM267" i="5"/>
  <c r="AO267" i="5" s="1"/>
  <c r="AM421" i="5"/>
  <c r="AO421" i="5" s="1"/>
  <c r="AM341" i="5"/>
  <c r="AO341" i="5" s="1"/>
  <c r="AM174" i="5"/>
  <c r="AO174" i="5" s="1"/>
  <c r="AM45" i="5"/>
  <c r="AN45" i="5" s="1"/>
  <c r="AM474" i="5"/>
  <c r="AN474" i="5" s="1"/>
  <c r="AM252" i="5"/>
  <c r="AN252" i="5" s="1"/>
  <c r="AM274" i="5"/>
  <c r="AO274" i="5" s="1"/>
  <c r="AM132" i="5"/>
  <c r="AN132" i="5" s="1"/>
  <c r="AM79" i="5"/>
  <c r="AN79" i="5" s="1"/>
  <c r="AM533" i="5"/>
  <c r="AN533" i="5" s="1"/>
  <c r="AM455" i="5"/>
  <c r="AN455" i="5" s="1"/>
  <c r="AM367" i="5"/>
  <c r="AN367" i="5" s="1"/>
  <c r="AM239" i="5"/>
  <c r="AN239" i="5" s="1"/>
  <c r="AM219" i="5"/>
  <c r="AO219" i="5" s="1"/>
  <c r="T167" i="5"/>
  <c r="U167" i="5" s="1"/>
  <c r="AM71" i="5"/>
  <c r="AN71" i="5" s="1"/>
  <c r="T153" i="5"/>
  <c r="T122" i="5"/>
  <c r="AM328" i="5"/>
  <c r="AN328" i="5" s="1"/>
  <c r="AM224" i="5"/>
  <c r="AO224" i="5" s="1"/>
  <c r="AM56" i="5"/>
  <c r="AN56" i="5" s="1"/>
  <c r="AM385" i="5"/>
  <c r="AO385" i="5" s="1"/>
  <c r="AM331" i="5"/>
  <c r="AM260" i="5"/>
  <c r="AN260" i="5" s="1"/>
  <c r="AM415" i="5"/>
  <c r="AM547" i="5"/>
  <c r="AO547" i="5" s="1"/>
  <c r="AM446" i="5"/>
  <c r="AN446" i="5" s="1"/>
  <c r="AM420" i="5"/>
  <c r="AO420" i="5" s="1"/>
  <c r="AM220" i="5"/>
  <c r="AO220" i="5" s="1"/>
  <c r="AM81" i="5"/>
  <c r="AO81" i="5" s="1"/>
  <c r="AM463" i="5"/>
  <c r="AO463" i="5" s="1"/>
  <c r="AM419" i="5"/>
  <c r="AN419" i="5" s="1"/>
  <c r="AM167" i="5"/>
  <c r="AN167" i="5" s="1"/>
  <c r="AM23" i="5"/>
  <c r="AO23" i="5" s="1"/>
  <c r="T198" i="5"/>
  <c r="V198" i="5" s="1"/>
  <c r="T58" i="5"/>
  <c r="V58" i="5" s="1"/>
  <c r="AM232" i="5"/>
  <c r="AO232" i="5" s="1"/>
  <c r="AM296" i="5"/>
  <c r="AN296" i="5" s="1"/>
  <c r="AM168" i="5"/>
  <c r="AN168" i="5" s="1"/>
  <c r="AM8" i="5"/>
  <c r="AN8" i="5" s="1"/>
  <c r="AM276" i="5"/>
  <c r="AO276" i="5" s="1"/>
  <c r="AM39" i="5"/>
  <c r="AO39" i="5" s="1"/>
  <c r="AJ371" i="5"/>
  <c r="AK371" i="5" s="1"/>
  <c r="O12" i="5"/>
  <c r="T12" i="5" s="1"/>
  <c r="AM477" i="5"/>
  <c r="AO477" i="5" s="1"/>
  <c r="AM314" i="5"/>
  <c r="AO314" i="5" s="1"/>
  <c r="AM125" i="5"/>
  <c r="AN125" i="5" s="1"/>
  <c r="AM505" i="5"/>
  <c r="AN505" i="5" s="1"/>
  <c r="AM406" i="5"/>
  <c r="AO406" i="5" s="1"/>
  <c r="AM249" i="5"/>
  <c r="AN249" i="5" s="1"/>
  <c r="AM221" i="5"/>
  <c r="AO221" i="5" s="1"/>
  <c r="AM70" i="5"/>
  <c r="AO70" i="5" s="1"/>
  <c r="AM537" i="5"/>
  <c r="AN537" i="5" s="1"/>
  <c r="AM335" i="5"/>
  <c r="AN335" i="5" s="1"/>
  <c r="AM287" i="5"/>
  <c r="AN287" i="5" s="1"/>
  <c r="AM199" i="5"/>
  <c r="AO199" i="5" s="1"/>
  <c r="AM47" i="5"/>
  <c r="AO47" i="5" s="1"/>
  <c r="AM103" i="5"/>
  <c r="AO103" i="5" s="1"/>
  <c r="T218" i="5"/>
  <c r="U218" i="5" s="1"/>
  <c r="AM538" i="5"/>
  <c r="AO538" i="5" s="1"/>
  <c r="T184" i="5"/>
  <c r="U184" i="5" s="1"/>
  <c r="AM40" i="5"/>
  <c r="AO40" i="5" s="1"/>
  <c r="AM88" i="5"/>
  <c r="AN88" i="5" s="1"/>
  <c r="AM137" i="5"/>
  <c r="AO137" i="5" s="1"/>
  <c r="AM451" i="5"/>
  <c r="AM259" i="5"/>
  <c r="AO259" i="5" s="1"/>
  <c r="AJ379" i="5"/>
  <c r="AK379" i="5" s="1"/>
  <c r="AM442" i="5"/>
  <c r="AO442" i="5" s="1"/>
  <c r="AM178" i="5"/>
  <c r="AN178" i="5" s="1"/>
  <c r="AM114" i="5"/>
  <c r="AN114" i="5" s="1"/>
  <c r="AM473" i="5"/>
  <c r="AN473" i="5" s="1"/>
  <c r="AM380" i="5"/>
  <c r="AO380" i="5" s="1"/>
  <c r="AM278" i="5"/>
  <c r="AO278" i="5" s="1"/>
  <c r="AM172" i="5"/>
  <c r="AO172" i="5" s="1"/>
  <c r="AM50" i="5"/>
  <c r="AO50" i="5" s="1"/>
  <c r="AM231" i="5"/>
  <c r="AN231" i="5" s="1"/>
  <c r="T219" i="5"/>
  <c r="U219" i="5" s="1"/>
  <c r="AM207" i="5"/>
  <c r="AO207" i="5" s="1"/>
  <c r="T111" i="5"/>
  <c r="T42" i="5"/>
  <c r="AM526" i="5"/>
  <c r="AN526" i="5" s="1"/>
  <c r="AM392" i="5"/>
  <c r="AN392" i="5" s="1"/>
  <c r="AM264" i="5"/>
  <c r="AN264" i="5" s="1"/>
  <c r="AM192" i="5"/>
  <c r="AO192" i="5" s="1"/>
  <c r="AM555" i="5"/>
  <c r="AN555" i="5" s="1"/>
  <c r="AM97" i="5"/>
  <c r="AN97" i="5" s="1"/>
  <c r="AM283" i="5"/>
  <c r="AN283" i="5" s="1"/>
  <c r="AM159" i="5"/>
  <c r="AO159" i="5" s="1"/>
  <c r="T23" i="5"/>
  <c r="U23" i="5" s="1"/>
  <c r="T71" i="5"/>
  <c r="AM111" i="5"/>
  <c r="AO111" i="5" s="1"/>
  <c r="T193" i="5"/>
  <c r="U193" i="5" s="1"/>
  <c r="AM534" i="5"/>
  <c r="AN534" i="5" s="1"/>
  <c r="AM152" i="5"/>
  <c r="AN152" i="5" s="1"/>
  <c r="AM112" i="5"/>
  <c r="AO112" i="5" s="1"/>
  <c r="AM139" i="5"/>
  <c r="AN139" i="5" s="1"/>
  <c r="AM539" i="5"/>
  <c r="AM497" i="5"/>
  <c r="AO497" i="5" s="1"/>
  <c r="AM233" i="5"/>
  <c r="AN233" i="5" s="1"/>
  <c r="AM25" i="5"/>
  <c r="AO25" i="5" s="1"/>
  <c r="AM557" i="5"/>
  <c r="AO557" i="5" s="1"/>
  <c r="AM467" i="5"/>
  <c r="AO467" i="5" s="1"/>
  <c r="AM355" i="5"/>
  <c r="AO355" i="5" s="1"/>
  <c r="AM147" i="5"/>
  <c r="AN147" i="5" s="1"/>
  <c r="AM284" i="5"/>
  <c r="AN284" i="5" s="1"/>
  <c r="AM92" i="5"/>
  <c r="AN92" i="5" s="1"/>
  <c r="AM416" i="5"/>
  <c r="AN416" i="5" s="1"/>
  <c r="AM432" i="5"/>
  <c r="AN432" i="5" s="1"/>
  <c r="AM512" i="5"/>
  <c r="AN512" i="5" s="1"/>
  <c r="AM240" i="5"/>
  <c r="AO240" i="5" s="1"/>
  <c r="AM96" i="5"/>
  <c r="AN96" i="5" s="1"/>
  <c r="AM265" i="5"/>
  <c r="AO265" i="5" s="1"/>
  <c r="AM33" i="5"/>
  <c r="AN33" i="5" s="1"/>
  <c r="AM521" i="5"/>
  <c r="AN521" i="5" s="1"/>
  <c r="AM475" i="5"/>
  <c r="AO475" i="5" s="1"/>
  <c r="AM363" i="5"/>
  <c r="AO363" i="5" s="1"/>
  <c r="AM171" i="5"/>
  <c r="AM140" i="5"/>
  <c r="AO140" i="5" s="1"/>
  <c r="AM108" i="5"/>
  <c r="AM89" i="5"/>
  <c r="AN89" i="5" s="1"/>
  <c r="AI484" i="5"/>
  <c r="AJ51" i="5"/>
  <c r="AL51" i="5" s="1"/>
  <c r="AJ105" i="5"/>
  <c r="AL105" i="5" s="1"/>
  <c r="AM320" i="5"/>
  <c r="AN320" i="5" s="1"/>
  <c r="AM384" i="5"/>
  <c r="AO384" i="5" s="1"/>
  <c r="AM256" i="5"/>
  <c r="AN256" i="5" s="1"/>
  <c r="AM304" i="5"/>
  <c r="AO304" i="5" s="1"/>
  <c r="AM160" i="5"/>
  <c r="AO160" i="5" s="1"/>
  <c r="AM200" i="5"/>
  <c r="AO200" i="5" s="1"/>
  <c r="AM527" i="5"/>
  <c r="AO527" i="5" s="1"/>
  <c r="AM273" i="5"/>
  <c r="AO273" i="5" s="1"/>
  <c r="AM49" i="5"/>
  <c r="AN49" i="5" s="1"/>
  <c r="AM371" i="5"/>
  <c r="AN371" i="5" s="1"/>
  <c r="AM27" i="5"/>
  <c r="AO27" i="5" s="1"/>
  <c r="AM156" i="5"/>
  <c r="AO156" i="5" s="1"/>
  <c r="AM305" i="5"/>
  <c r="AN305" i="5" s="1"/>
  <c r="AM65" i="5"/>
  <c r="AO65" i="5" s="1"/>
  <c r="AM491" i="5"/>
  <c r="AN491" i="5" s="1"/>
  <c r="AM43" i="5"/>
  <c r="AO43" i="5" s="1"/>
  <c r="AM164" i="5"/>
  <c r="AN164" i="5" s="1"/>
  <c r="AM179" i="5"/>
  <c r="AN179" i="5" s="1"/>
  <c r="AJ273" i="5"/>
  <c r="AL273" i="5" s="1"/>
  <c r="AM312" i="5"/>
  <c r="AO312" i="5" s="1"/>
  <c r="AM433" i="5"/>
  <c r="AN433" i="5" s="1"/>
  <c r="AM313" i="5"/>
  <c r="AM73" i="5"/>
  <c r="AM427" i="5"/>
  <c r="AM499" i="5"/>
  <c r="AM51" i="5"/>
  <c r="AM212" i="5"/>
  <c r="AN212" i="5" s="1"/>
  <c r="AM343" i="5"/>
  <c r="AO343" i="5" s="1"/>
  <c r="AG43" i="5"/>
  <c r="AG191" i="5"/>
  <c r="AG431" i="5"/>
  <c r="AG329" i="5"/>
  <c r="AG263" i="5"/>
  <c r="AG331" i="5"/>
  <c r="AG342" i="5"/>
  <c r="AG541" i="5"/>
  <c r="AG150" i="5"/>
  <c r="AG95" i="5"/>
  <c r="AG241" i="5"/>
  <c r="AG399" i="5"/>
  <c r="AG52" i="5"/>
  <c r="AG388" i="5"/>
  <c r="AG430" i="5"/>
  <c r="AG325" i="5"/>
  <c r="AG543" i="5"/>
  <c r="AG53" i="5"/>
  <c r="AG369" i="5"/>
  <c r="B29" i="2"/>
  <c r="B25" i="2"/>
  <c r="B27" i="2"/>
  <c r="B23" i="2"/>
  <c r="B20" i="2"/>
  <c r="T90" i="5"/>
  <c r="T168" i="5"/>
  <c r="U168" i="5" s="1"/>
  <c r="T132" i="5"/>
  <c r="U132" i="5" s="1"/>
  <c r="T165" i="5"/>
  <c r="U165" i="5" s="1"/>
  <c r="T189" i="5"/>
  <c r="U189" i="5" s="1"/>
  <c r="AJ225" i="5"/>
  <c r="AK225" i="5" s="1"/>
  <c r="T143" i="5"/>
  <c r="V143" i="5" s="1"/>
  <c r="T103" i="5"/>
  <c r="U103" i="5" s="1"/>
  <c r="T217" i="5"/>
  <c r="V217" i="5" s="1"/>
  <c r="T110" i="5"/>
  <c r="U110" i="5" s="1"/>
  <c r="T277" i="5"/>
  <c r="T124" i="5"/>
  <c r="U124" i="5" s="1"/>
  <c r="T46" i="5"/>
  <c r="U46" i="5" s="1"/>
  <c r="T158" i="5"/>
  <c r="V158" i="5" s="1"/>
  <c r="T102" i="5"/>
  <c r="U102" i="5" s="1"/>
  <c r="T240" i="5"/>
  <c r="V240" i="5" s="1"/>
  <c r="T200" i="5"/>
  <c r="V200" i="5" s="1"/>
  <c r="T255" i="5"/>
  <c r="V255" i="5" s="1"/>
  <c r="T220" i="5"/>
  <c r="U220" i="5" s="1"/>
  <c r="T97" i="5"/>
  <c r="U97" i="5" s="1"/>
  <c r="T213" i="5"/>
  <c r="U213" i="5" s="1"/>
  <c r="T108" i="5"/>
  <c r="U108" i="5" s="1"/>
  <c r="B43" i="5"/>
  <c r="T163" i="5"/>
  <c r="T81" i="5"/>
  <c r="T128" i="5"/>
  <c r="V128" i="5" s="1"/>
  <c r="T48" i="5"/>
  <c r="U48" i="5" s="1"/>
  <c r="T99" i="5"/>
  <c r="U99" i="5" s="1"/>
  <c r="T127" i="5"/>
  <c r="V127" i="5" s="1"/>
  <c r="T202" i="5"/>
  <c r="U202" i="5" s="1"/>
  <c r="T78" i="5"/>
  <c r="U78" i="5" s="1"/>
  <c r="T157" i="5"/>
  <c r="V157" i="5" s="1"/>
  <c r="T60" i="5"/>
  <c r="U60" i="5" s="1"/>
  <c r="T238" i="5"/>
  <c r="U238" i="5" s="1"/>
  <c r="T178" i="5"/>
  <c r="V178" i="5" s="1"/>
  <c r="T77" i="5"/>
  <c r="V77" i="5" s="1"/>
  <c r="T144" i="5"/>
  <c r="U144" i="5" s="1"/>
  <c r="T216" i="5"/>
  <c r="V216" i="5" s="1"/>
  <c r="T96" i="5"/>
  <c r="U96" i="5" s="1"/>
  <c r="T147" i="5"/>
  <c r="U147" i="5" s="1"/>
  <c r="AJ227" i="5"/>
  <c r="AK227" i="5" s="1"/>
  <c r="T179" i="5"/>
  <c r="U179" i="5" s="1"/>
  <c r="T49" i="5"/>
  <c r="U49" i="5" s="1"/>
  <c r="T197" i="5"/>
  <c r="U197" i="5" s="1"/>
  <c r="T68" i="5"/>
  <c r="U68" i="5" s="1"/>
  <c r="T234" i="5"/>
  <c r="U234" i="5" s="1"/>
  <c r="T148" i="5"/>
  <c r="V148" i="5" s="1"/>
  <c r="T54" i="5"/>
  <c r="U54" i="5" s="1"/>
  <c r="AM163" i="5"/>
  <c r="AN163" i="5" s="1"/>
  <c r="AM488" i="5"/>
  <c r="AN488" i="5" s="1"/>
  <c r="T278" i="5"/>
  <c r="U278" i="5" s="1"/>
  <c r="T145" i="5"/>
  <c r="U145" i="5" s="1"/>
  <c r="T45" i="5"/>
  <c r="V45" i="5" s="1"/>
  <c r="T182" i="5"/>
  <c r="U182" i="5" s="1"/>
  <c r="T62" i="5"/>
  <c r="V62" i="5" s="1"/>
  <c r="T209" i="5"/>
  <c r="U209" i="5" s="1"/>
  <c r="T116" i="5"/>
  <c r="U116" i="5" s="1"/>
  <c r="T29" i="5"/>
  <c r="V29" i="5" s="1"/>
  <c r="T104" i="5"/>
  <c r="U104" i="5" s="1"/>
  <c r="T534" i="5"/>
  <c r="U534" i="5" s="1"/>
  <c r="T136" i="5"/>
  <c r="U136" i="5" s="1"/>
  <c r="T175" i="5"/>
  <c r="V175" i="5" s="1"/>
  <c r="T257" i="5"/>
  <c r="V257" i="5" s="1"/>
  <c r="T129" i="5"/>
  <c r="V129" i="5" s="1"/>
  <c r="T21" i="5"/>
  <c r="U21" i="5" s="1"/>
  <c r="T86" i="5"/>
  <c r="V86" i="5" s="1"/>
  <c r="T20" i="5"/>
  <c r="U20" i="5" s="1"/>
  <c r="T164" i="5"/>
  <c r="U164" i="5" s="1"/>
  <c r="T113" i="5"/>
  <c r="V113" i="5" s="1"/>
  <c r="T120" i="5"/>
  <c r="T40" i="5"/>
  <c r="V40" i="5" s="1"/>
  <c r="T72" i="5"/>
  <c r="AM504" i="5"/>
  <c r="AN504" i="5" s="1"/>
  <c r="B59" i="2"/>
  <c r="K26" i="2"/>
  <c r="B67" i="2"/>
  <c r="M26" i="2"/>
  <c r="B63" i="2"/>
  <c r="L26" i="2"/>
  <c r="AJ43" i="5"/>
  <c r="AL43" i="5" s="1"/>
  <c r="AJ147" i="5"/>
  <c r="AK147" i="5" s="1"/>
  <c r="B43" i="2"/>
  <c r="K35" i="2"/>
  <c r="AJ153" i="5"/>
  <c r="AL153" i="5" s="1"/>
  <c r="AJ169" i="5"/>
  <c r="AL169" i="5" s="1"/>
  <c r="AM64" i="5"/>
  <c r="AO64" i="5" s="1"/>
  <c r="L35" i="2"/>
  <c r="AM80" i="5"/>
  <c r="AN80" i="5" s="1"/>
  <c r="AJ483" i="5"/>
  <c r="AL483" i="5" s="1"/>
  <c r="AM472" i="5"/>
  <c r="AO472" i="5" s="1"/>
  <c r="T176" i="5"/>
  <c r="U176" i="5" s="1"/>
  <c r="AM352" i="5"/>
  <c r="AO352" i="5" s="1"/>
  <c r="Q554" i="5"/>
  <c r="S554" i="5" s="1"/>
  <c r="Q312" i="5"/>
  <c r="S312" i="5" s="1"/>
  <c r="K35" i="5"/>
  <c r="W184" i="5"/>
  <c r="X184" i="5" s="1"/>
  <c r="W451" i="5"/>
  <c r="Y451" i="5" s="1"/>
  <c r="W319" i="5"/>
  <c r="Y319" i="5" s="1"/>
  <c r="Q344" i="5"/>
  <c r="R344" i="5" s="1"/>
  <c r="Q304" i="5"/>
  <c r="R304" i="5" s="1"/>
  <c r="W78" i="5"/>
  <c r="Y78" i="5" s="1"/>
  <c r="Q534" i="5"/>
  <c r="Q48" i="5"/>
  <c r="S48" i="5" s="1"/>
  <c r="Q320" i="5"/>
  <c r="S320" i="5" s="1"/>
  <c r="Q392" i="5"/>
  <c r="S392" i="5" s="1"/>
  <c r="Q400" i="5"/>
  <c r="S400" i="5" s="1"/>
  <c r="Q488" i="5"/>
  <c r="S488" i="5" s="1"/>
  <c r="Q8" i="5"/>
  <c r="R8" i="5" s="1"/>
  <c r="Q440" i="5"/>
  <c r="S440" i="5" s="1"/>
  <c r="Q200" i="5"/>
  <c r="Q72" i="5"/>
  <c r="S72" i="5" s="1"/>
  <c r="W301" i="5"/>
  <c r="X301" i="5" s="1"/>
  <c r="Q526" i="5"/>
  <c r="R526" i="5" s="1"/>
  <c r="Q456" i="5"/>
  <c r="S456" i="5" s="1"/>
  <c r="Q208" i="5"/>
  <c r="R208" i="5" s="1"/>
  <c r="Q512" i="5"/>
  <c r="S512" i="5" s="1"/>
  <c r="Q144" i="5"/>
  <c r="R144" i="5" s="1"/>
  <c r="B49" i="5"/>
  <c r="W272" i="5"/>
  <c r="W74" i="5"/>
  <c r="Y74" i="5" s="1"/>
  <c r="Q432" i="5"/>
  <c r="S432" i="5" s="1"/>
  <c r="Q168" i="5"/>
  <c r="S168" i="5" s="1"/>
  <c r="Q104" i="5"/>
  <c r="R104" i="5" s="1"/>
  <c r="Q448" i="5"/>
  <c r="R448" i="5" s="1"/>
  <c r="Q480" i="5"/>
  <c r="R480" i="5" s="1"/>
  <c r="Q384" i="5"/>
  <c r="S384" i="5" s="1"/>
  <c r="Q224" i="5"/>
  <c r="R224" i="5" s="1"/>
  <c r="Q152" i="5"/>
  <c r="S152" i="5" s="1"/>
  <c r="Q56" i="5"/>
  <c r="R56" i="5" s="1"/>
  <c r="Q112" i="5"/>
  <c r="R112" i="5" s="1"/>
  <c r="Q538" i="5"/>
  <c r="S538" i="5" s="1"/>
  <c r="Q496" i="5"/>
  <c r="S496" i="5" s="1"/>
  <c r="Q256" i="5"/>
  <c r="S256" i="5" s="1"/>
  <c r="Q120" i="5"/>
  <c r="R120" i="5" s="1"/>
  <c r="Q216" i="5"/>
  <c r="S216" i="5" s="1"/>
  <c r="Q80" i="5"/>
  <c r="S80" i="5" s="1"/>
  <c r="Q424" i="5"/>
  <c r="S424" i="5" s="1"/>
  <c r="Q464" i="5"/>
  <c r="S464" i="5" s="1"/>
  <c r="Q352" i="5"/>
  <c r="S352" i="5" s="1"/>
  <c r="Q264" i="5"/>
  <c r="S264" i="5" s="1"/>
  <c r="Q176" i="5"/>
  <c r="Q546" i="5"/>
  <c r="Q472" i="5"/>
  <c r="S472" i="5" s="1"/>
  <c r="Q416" i="5"/>
  <c r="R416" i="5" s="1"/>
  <c r="Q272" i="5"/>
  <c r="R272" i="5" s="1"/>
  <c r="Q40" i="5"/>
  <c r="S40" i="5" s="1"/>
  <c r="W515" i="5"/>
  <c r="Y515" i="5" s="1"/>
  <c r="W55" i="5"/>
  <c r="X55" i="5" s="1"/>
  <c r="W557" i="5"/>
  <c r="W453" i="5"/>
  <c r="Y453" i="5" s="1"/>
  <c r="W270" i="5"/>
  <c r="Y270" i="5" s="1"/>
  <c r="W100" i="5"/>
  <c r="Y100" i="5" s="1"/>
  <c r="W341" i="5"/>
  <c r="Y341" i="5" s="1"/>
  <c r="W375" i="5"/>
  <c r="Y375" i="5" s="1"/>
  <c r="W26" i="5"/>
  <c r="X26" i="5" s="1"/>
  <c r="Q296" i="5"/>
  <c r="R296" i="5" s="1"/>
  <c r="Q328" i="5"/>
  <c r="S328" i="5" s="1"/>
  <c r="Q360" i="5"/>
  <c r="S360" i="5" s="1"/>
  <c r="Q232" i="5"/>
  <c r="S232" i="5" s="1"/>
  <c r="Q128" i="5"/>
  <c r="R128" i="5" s="1"/>
  <c r="W160" i="5"/>
  <c r="Y160" i="5" s="1"/>
  <c r="Q184" i="5"/>
  <c r="S184" i="5" s="1"/>
  <c r="W24" i="5"/>
  <c r="Y24" i="5" s="1"/>
  <c r="Q64" i="5"/>
  <c r="R64" i="5" s="1"/>
  <c r="Q88" i="5"/>
  <c r="S88" i="5" s="1"/>
  <c r="W66" i="5"/>
  <c r="Y66" i="5" s="1"/>
  <c r="W281" i="5"/>
  <c r="X281" i="5" s="1"/>
  <c r="W28" i="5"/>
  <c r="X28" i="5" s="1"/>
  <c r="W490" i="5"/>
  <c r="X490" i="5" s="1"/>
  <c r="W372" i="5"/>
  <c r="Y372" i="5" s="1"/>
  <c r="W102" i="5"/>
  <c r="Y102" i="5" s="1"/>
  <c r="W86" i="5"/>
  <c r="Y86" i="5" s="1"/>
  <c r="W331" i="5"/>
  <c r="W441" i="5"/>
  <c r="X441" i="5" s="1"/>
  <c r="W204" i="5"/>
  <c r="Y204" i="5" s="1"/>
  <c r="W260" i="5"/>
  <c r="X260" i="5" s="1"/>
  <c r="W399" i="5"/>
  <c r="Y399" i="5" s="1"/>
  <c r="W492" i="5"/>
  <c r="X492" i="5" s="1"/>
  <c r="Q336" i="5"/>
  <c r="S336" i="5" s="1"/>
  <c r="Q368" i="5"/>
  <c r="Q408" i="5"/>
  <c r="S408" i="5" s="1"/>
  <c r="Q240" i="5"/>
  <c r="R240" i="5" s="1"/>
  <c r="Q280" i="5"/>
  <c r="S280" i="5" s="1"/>
  <c r="W136" i="5"/>
  <c r="Y136" i="5" s="1"/>
  <c r="Q160" i="5"/>
  <c r="S160" i="5" s="1"/>
  <c r="W192" i="5"/>
  <c r="Y192" i="5" s="1"/>
  <c r="Q24" i="5"/>
  <c r="S24" i="5" s="1"/>
  <c r="W282" i="5"/>
  <c r="W323" i="5"/>
  <c r="X323" i="5" s="1"/>
  <c r="W135" i="5"/>
  <c r="X135" i="5" s="1"/>
  <c r="W439" i="5"/>
  <c r="X439" i="5" s="1"/>
  <c r="W501" i="5"/>
  <c r="Y501" i="5" s="1"/>
  <c r="W210" i="5"/>
  <c r="Y210" i="5" s="1"/>
  <c r="W259" i="5"/>
  <c r="Y259" i="5" s="1"/>
  <c r="W98" i="5"/>
  <c r="X98" i="5" s="1"/>
  <c r="W110" i="5"/>
  <c r="W291" i="5"/>
  <c r="X291" i="5" s="1"/>
  <c r="W139" i="5"/>
  <c r="X139" i="5" s="1"/>
  <c r="W159" i="5"/>
  <c r="X159" i="5" s="1"/>
  <c r="W382" i="5"/>
  <c r="X382" i="5" s="1"/>
  <c r="W216" i="5"/>
  <c r="X216" i="5" s="1"/>
  <c r="W472" i="5"/>
  <c r="Y472" i="5" s="1"/>
  <c r="Q504" i="5"/>
  <c r="S504" i="5" s="1"/>
  <c r="Q376" i="5"/>
  <c r="Q248" i="5"/>
  <c r="R248" i="5" s="1"/>
  <c r="Q288" i="5"/>
  <c r="S288" i="5" s="1"/>
  <c r="Q136" i="5"/>
  <c r="R136" i="5" s="1"/>
  <c r="W168" i="5"/>
  <c r="Y168" i="5" s="1"/>
  <c r="Q192" i="5"/>
  <c r="S192" i="5" s="1"/>
  <c r="Q32" i="5"/>
  <c r="S32" i="5" s="1"/>
  <c r="W72" i="5"/>
  <c r="X72" i="5" s="1"/>
  <c r="W262" i="5"/>
  <c r="W29" i="5"/>
  <c r="Y29" i="5" s="1"/>
  <c r="W62" i="5"/>
  <c r="Y62" i="5" s="1"/>
  <c r="W365" i="5"/>
  <c r="X365" i="5" s="1"/>
  <c r="W497" i="5"/>
  <c r="Y497" i="5" s="1"/>
  <c r="W183" i="5"/>
  <c r="Y183" i="5" s="1"/>
  <c r="W239" i="5"/>
  <c r="X239" i="5" s="1"/>
  <c r="W334" i="5"/>
  <c r="Y334" i="5" s="1"/>
  <c r="W243" i="5"/>
  <c r="Y243" i="5" s="1"/>
  <c r="W212" i="5"/>
  <c r="W521" i="5"/>
  <c r="X521" i="5" s="1"/>
  <c r="W51" i="5"/>
  <c r="X51" i="5" s="1"/>
  <c r="W330" i="5"/>
  <c r="X330" i="5" s="1"/>
  <c r="W526" i="5"/>
  <c r="X526" i="5" s="1"/>
  <c r="W333" i="5"/>
  <c r="Y333" i="5" s="1"/>
  <c r="W321" i="5"/>
  <c r="X321" i="5" s="1"/>
  <c r="W481" i="5"/>
  <c r="Y481" i="5" s="1"/>
  <c r="W405" i="5"/>
  <c r="W65" i="5"/>
  <c r="X65" i="5" s="1"/>
  <c r="W274" i="5"/>
  <c r="Y274" i="5" s="1"/>
  <c r="W305" i="5"/>
  <c r="X305" i="5" s="1"/>
  <c r="W101" i="5"/>
  <c r="X101" i="5" s="1"/>
  <c r="W467" i="5"/>
  <c r="X467" i="5" s="1"/>
  <c r="W60" i="5"/>
  <c r="Y60" i="5" s="1"/>
  <c r="W366" i="5"/>
  <c r="W290" i="5"/>
  <c r="W189" i="5"/>
  <c r="X189" i="5" s="1"/>
  <c r="W554" i="5"/>
  <c r="X554" i="5" s="1"/>
  <c r="W80" i="5"/>
  <c r="X80" i="5" s="1"/>
  <c r="W75" i="5"/>
  <c r="X75" i="5" s="1"/>
  <c r="W438" i="5"/>
  <c r="Y438" i="5" s="1"/>
  <c r="W386" i="5"/>
  <c r="X386" i="5" s="1"/>
  <c r="W132" i="5"/>
  <c r="W343" i="5"/>
  <c r="W237" i="5"/>
  <c r="X237" i="5" s="1"/>
  <c r="W181" i="5"/>
  <c r="X181" i="5" s="1"/>
  <c r="W71" i="5"/>
  <c r="Y71" i="5" s="1"/>
  <c r="W422" i="5"/>
  <c r="X422" i="5" s="1"/>
  <c r="W197" i="5"/>
  <c r="X197" i="5" s="1"/>
  <c r="W549" i="5"/>
  <c r="Y549" i="5" s="1"/>
  <c r="W293" i="5"/>
  <c r="X293" i="5" s="1"/>
  <c r="W403" i="5"/>
  <c r="X161" i="5"/>
  <c r="W392" i="5"/>
  <c r="Y392" i="5" s="1"/>
  <c r="W394" i="5"/>
  <c r="Y394" i="5" s="1"/>
  <c r="W358" i="5"/>
  <c r="Y358" i="5" s="1"/>
  <c r="W517" i="5"/>
  <c r="X517" i="5" s="1"/>
  <c r="W125" i="5"/>
  <c r="W551" i="5"/>
  <c r="Y551" i="5" s="1"/>
  <c r="W106" i="5"/>
  <c r="X106" i="5" s="1"/>
  <c r="W255" i="5"/>
  <c r="X255" i="5" s="1"/>
  <c r="W436" i="5"/>
  <c r="X436" i="5" s="1"/>
  <c r="W535" i="5"/>
  <c r="Y535" i="5" s="1"/>
  <c r="W340" i="5"/>
  <c r="Y340" i="5" s="1"/>
  <c r="W154" i="5"/>
  <c r="W435" i="5"/>
  <c r="W158" i="5"/>
  <c r="X158" i="5" s="1"/>
  <c r="W27" i="5"/>
  <c r="Y27" i="5" s="1"/>
  <c r="W122" i="5"/>
  <c r="W348" i="5"/>
  <c r="Y348" i="5" s="1"/>
  <c r="W510" i="5"/>
  <c r="X510" i="5" s="1"/>
  <c r="W68" i="5"/>
  <c r="W507" i="5"/>
  <c r="Y507" i="5" s="1"/>
  <c r="W454" i="5"/>
  <c r="X454" i="5" s="1"/>
  <c r="W531" i="5"/>
  <c r="X531" i="5" s="1"/>
  <c r="W449" i="5"/>
  <c r="Y449" i="5" s="1"/>
  <c r="W267" i="5"/>
  <c r="X267" i="5" s="1"/>
  <c r="W177" i="5"/>
  <c r="Y177" i="5" s="1"/>
  <c r="W299" i="5"/>
  <c r="Y299" i="5" s="1"/>
  <c r="W351" i="5"/>
  <c r="Y351" i="5" s="1"/>
  <c r="W536" i="5"/>
  <c r="Y536" i="5" s="1"/>
  <c r="S19" i="4"/>
  <c r="AL19" i="4" s="1"/>
  <c r="S27" i="4"/>
  <c r="AL27" i="4" s="1"/>
  <c r="S35" i="4"/>
  <c r="AL35" i="4" s="1"/>
  <c r="S43" i="4"/>
  <c r="AL43" i="4" s="1"/>
  <c r="S51" i="4"/>
  <c r="AL51" i="4" s="1"/>
  <c r="S60" i="4"/>
  <c r="AL60" i="4" s="1"/>
  <c r="S134" i="4"/>
  <c r="AL134" i="4" s="1"/>
  <c r="S98" i="4"/>
  <c r="U98" i="4" s="1"/>
  <c r="S65" i="4"/>
  <c r="AL65" i="4" s="1"/>
  <c r="S92" i="4"/>
  <c r="AL92" i="4" s="1"/>
  <c r="S123" i="4"/>
  <c r="AL123" i="4" s="1"/>
  <c r="S149" i="4"/>
  <c r="AL149" i="4" s="1"/>
  <c r="S91" i="4"/>
  <c r="AL91" i="4" s="1"/>
  <c r="S133" i="4"/>
  <c r="AS133" i="4" s="1"/>
  <c r="S145" i="4"/>
  <c r="AL145" i="4" s="1"/>
  <c r="S138" i="4"/>
  <c r="AL138" i="4" s="1"/>
  <c r="S113" i="4"/>
  <c r="AL113" i="4" s="1"/>
  <c r="S89" i="4"/>
  <c r="AL89" i="4" s="1"/>
  <c r="S7" i="4"/>
  <c r="AL7" i="4" s="1"/>
  <c r="S58" i="4"/>
  <c r="AL58" i="4" s="1"/>
  <c r="S122" i="4"/>
  <c r="AL122" i="4" s="1"/>
  <c r="S73" i="4"/>
  <c r="V73" i="4" s="1"/>
  <c r="AM73" i="4" s="1"/>
  <c r="S20" i="4"/>
  <c r="AL20" i="4" s="1"/>
  <c r="S28" i="4"/>
  <c r="AL28" i="4" s="1"/>
  <c r="S36" i="4"/>
  <c r="AL36" i="4" s="1"/>
  <c r="S44" i="4"/>
  <c r="AL44" i="4" s="1"/>
  <c r="S52" i="4"/>
  <c r="AL52" i="4" s="1"/>
  <c r="S67" i="4"/>
  <c r="AL67" i="4" s="1"/>
  <c r="S68" i="4"/>
  <c r="AL68" i="4" s="1"/>
  <c r="S102" i="4"/>
  <c r="AL102" i="4" s="1"/>
  <c r="S66" i="4"/>
  <c r="AL66" i="4" s="1"/>
  <c r="S96" i="4"/>
  <c r="AL96" i="4" s="1"/>
  <c r="S124" i="4"/>
  <c r="AL124" i="4" s="1"/>
  <c r="S153" i="4"/>
  <c r="AL153" i="4" s="1"/>
  <c r="S95" i="4"/>
  <c r="AL95" i="4" s="1"/>
  <c r="S77" i="4"/>
  <c r="V77" i="4" s="1"/>
  <c r="S156" i="4"/>
  <c r="AL156" i="4" s="1"/>
  <c r="S141" i="4"/>
  <c r="AS141" i="4" s="1"/>
  <c r="S117" i="4"/>
  <c r="AL117" i="4" s="1"/>
  <c r="S108" i="4"/>
  <c r="AL108" i="4" s="1"/>
  <c r="S50" i="4"/>
  <c r="AL50" i="4" s="1"/>
  <c r="S88" i="4"/>
  <c r="AL88" i="4" s="1"/>
  <c r="S118" i="4"/>
  <c r="U118" i="4" s="1"/>
  <c r="S15" i="4"/>
  <c r="AL15" i="4" s="1"/>
  <c r="S21" i="4"/>
  <c r="S29" i="4"/>
  <c r="AL29" i="4" s="1"/>
  <c r="S37" i="4"/>
  <c r="AL37" i="4" s="1"/>
  <c r="S45" i="4"/>
  <c r="AL45" i="4" s="1"/>
  <c r="S53" i="4"/>
  <c r="AL53" i="4" s="1"/>
  <c r="S62" i="4"/>
  <c r="U62" i="4" s="1"/>
  <c r="S74" i="4"/>
  <c r="AL74" i="4" s="1"/>
  <c r="S109" i="4"/>
  <c r="AL109" i="4" s="1"/>
  <c r="S71" i="4"/>
  <c r="AL71" i="4" s="1"/>
  <c r="S100" i="4"/>
  <c r="AL100" i="4" s="1"/>
  <c r="S125" i="4"/>
  <c r="AL125" i="4" s="1"/>
  <c r="S8" i="4"/>
  <c r="AL8" i="4" s="1"/>
  <c r="S103" i="4"/>
  <c r="AL103" i="4" s="1"/>
  <c r="S93" i="4"/>
  <c r="AL93" i="4" s="1"/>
  <c r="S9" i="4"/>
  <c r="AL9" i="4" s="1"/>
  <c r="S152" i="4"/>
  <c r="AL152" i="4" s="1"/>
  <c r="S147" i="4"/>
  <c r="AL147" i="4" s="1"/>
  <c r="S116" i="4"/>
  <c r="AL116" i="4" s="1"/>
  <c r="S26" i="4"/>
  <c r="AL26" i="4" s="1"/>
  <c r="S130" i="4"/>
  <c r="U130" i="4" s="1"/>
  <c r="S83" i="4"/>
  <c r="AL83" i="4" s="1"/>
  <c r="S101" i="4"/>
  <c r="S63" i="4"/>
  <c r="AL63" i="4" s="1"/>
  <c r="S22" i="4"/>
  <c r="AL22" i="4" s="1"/>
  <c r="S30" i="4"/>
  <c r="AL30" i="4" s="1"/>
  <c r="S38" i="4"/>
  <c r="AL38" i="4" s="1"/>
  <c r="S46" i="4"/>
  <c r="AL46" i="4" s="1"/>
  <c r="S54" i="4"/>
  <c r="AL54" i="4" s="1"/>
  <c r="S69" i="4"/>
  <c r="AL69" i="4" s="1"/>
  <c r="S78" i="4"/>
  <c r="AL78" i="4" s="1"/>
  <c r="S110" i="4"/>
  <c r="AL110" i="4" s="1"/>
  <c r="S72" i="4"/>
  <c r="AL72" i="4" s="1"/>
  <c r="S105" i="4"/>
  <c r="V105" i="4" s="1"/>
  <c r="S126" i="4"/>
  <c r="AL126" i="4" s="1"/>
  <c r="S61" i="4"/>
  <c r="AL61" i="4" s="1"/>
  <c r="S104" i="4"/>
  <c r="AL104" i="4" s="1"/>
  <c r="S107" i="4"/>
  <c r="AL107" i="4" s="1"/>
  <c r="S10" i="4"/>
  <c r="AS10" i="4" s="1"/>
  <c r="S155" i="4"/>
  <c r="AS155" i="4" s="1"/>
  <c r="S148" i="4"/>
  <c r="AL148" i="4" s="1"/>
  <c r="S143" i="4"/>
  <c r="U143" i="4" s="1"/>
  <c r="S18" i="4"/>
  <c r="AL18" i="4" s="1"/>
  <c r="S94" i="4"/>
  <c r="S132" i="4"/>
  <c r="S64" i="4"/>
  <c r="AL64" i="4" s="1"/>
  <c r="S23" i="4"/>
  <c r="AL23" i="4" s="1"/>
  <c r="S31" i="4"/>
  <c r="AL31" i="4" s="1"/>
  <c r="S39" i="4"/>
  <c r="AL39" i="4" s="1"/>
  <c r="S47" i="4"/>
  <c r="AL47" i="4" s="1"/>
  <c r="S55" i="4"/>
  <c r="AL55" i="4" s="1"/>
  <c r="S87" i="4"/>
  <c r="AL87" i="4" s="1"/>
  <c r="S82" i="4"/>
  <c r="AL82" i="4" s="1"/>
  <c r="S119" i="4"/>
  <c r="AL119" i="4" s="1"/>
  <c r="S76" i="4"/>
  <c r="AL76" i="4" s="1"/>
  <c r="S106" i="4"/>
  <c r="AL106" i="4" s="1"/>
  <c r="S135" i="4"/>
  <c r="AL135" i="4" s="1"/>
  <c r="S70" i="4"/>
  <c r="AL70" i="4" s="1"/>
  <c r="S111" i="4"/>
  <c r="AL111" i="4" s="1"/>
  <c r="S115" i="4"/>
  <c r="AL115" i="4" s="1"/>
  <c r="S81" i="4"/>
  <c r="AL81" i="4" s="1"/>
  <c r="S13" i="4"/>
  <c r="AL13" i="4" s="1"/>
  <c r="S151" i="4"/>
  <c r="AL151" i="4" s="1"/>
  <c r="S146" i="4"/>
  <c r="AL146" i="4" s="1"/>
  <c r="S42" i="4"/>
  <c r="AL42" i="4" s="1"/>
  <c r="S144" i="4"/>
  <c r="AL144" i="4" s="1"/>
  <c r="S11" i="4"/>
  <c r="AL11" i="4" s="1"/>
  <c r="S16" i="4"/>
  <c r="AL16" i="4" s="1"/>
  <c r="S24" i="4"/>
  <c r="AL24" i="4" s="1"/>
  <c r="S32" i="4"/>
  <c r="AL32" i="4" s="1"/>
  <c r="S40" i="4"/>
  <c r="AL40" i="4" s="1"/>
  <c r="S48" i="4"/>
  <c r="AL48" i="4" s="1"/>
  <c r="S56" i="4"/>
  <c r="AL56" i="4" s="1"/>
  <c r="S99" i="4"/>
  <c r="AL99" i="4" s="1"/>
  <c r="S86" i="4"/>
  <c r="AL86" i="4" s="1"/>
  <c r="S128" i="4"/>
  <c r="AL128" i="4" s="1"/>
  <c r="S80" i="4"/>
  <c r="AL80" i="4" s="1"/>
  <c r="S112" i="4"/>
  <c r="AL112" i="4" s="1"/>
  <c r="S139" i="4"/>
  <c r="AL139" i="4" s="1"/>
  <c r="S75" i="4"/>
  <c r="AL75" i="4" s="1"/>
  <c r="S129" i="4"/>
  <c r="AL129" i="4" s="1"/>
  <c r="S127" i="4"/>
  <c r="AL127" i="4" s="1"/>
  <c r="S97" i="4"/>
  <c r="AL97" i="4" s="1"/>
  <c r="S14" i="4"/>
  <c r="AL14" i="4" s="1"/>
  <c r="S154" i="4"/>
  <c r="AL154" i="4" s="1"/>
  <c r="S150" i="4"/>
  <c r="AL150" i="4" s="1"/>
  <c r="S17" i="4"/>
  <c r="AL17" i="4" s="1"/>
  <c r="S25" i="4"/>
  <c r="AL25" i="4" s="1"/>
  <c r="S33" i="4"/>
  <c r="AL33" i="4" s="1"/>
  <c r="S41" i="4"/>
  <c r="AL41" i="4" s="1"/>
  <c r="S49" i="4"/>
  <c r="AL49" i="4" s="1"/>
  <c r="S57" i="4"/>
  <c r="AL57" i="4" s="1"/>
  <c r="S120" i="4"/>
  <c r="AL120" i="4" s="1"/>
  <c r="S90" i="4"/>
  <c r="AL90" i="4" s="1"/>
  <c r="S137" i="4"/>
  <c r="AL137" i="4" s="1"/>
  <c r="S84" i="4"/>
  <c r="V84" i="4" s="1"/>
  <c r="S121" i="4"/>
  <c r="AL121" i="4" s="1"/>
  <c r="S140" i="4"/>
  <c r="V140" i="4" s="1"/>
  <c r="S79" i="4"/>
  <c r="S131" i="4"/>
  <c r="AL131" i="4" s="1"/>
  <c r="S136" i="4"/>
  <c r="AL136" i="4" s="1"/>
  <c r="S114" i="4"/>
  <c r="AL114" i="4" s="1"/>
  <c r="S85" i="4"/>
  <c r="AL85" i="4" s="1"/>
  <c r="S12" i="4"/>
  <c r="AL12" i="4" s="1"/>
  <c r="S157" i="4"/>
  <c r="V157" i="4" s="1"/>
  <c r="S34" i="4"/>
  <c r="S59" i="4"/>
  <c r="S142" i="4"/>
  <c r="AL142" i="4" s="1"/>
  <c r="W546" i="5"/>
  <c r="Y546" i="5" s="1"/>
  <c r="W424" i="5"/>
  <c r="X424" i="5" s="1"/>
  <c r="W448" i="5"/>
  <c r="X448" i="5" s="1"/>
  <c r="W496" i="5"/>
  <c r="Y496" i="5" s="1"/>
  <c r="W320" i="5"/>
  <c r="X320" i="5" s="1"/>
  <c r="W344" i="5"/>
  <c r="Y344" i="5" s="1"/>
  <c r="W368" i="5"/>
  <c r="Y368" i="5" s="1"/>
  <c r="W312" i="5"/>
  <c r="X312" i="5" s="1"/>
  <c r="W48" i="5"/>
  <c r="X48" i="5" s="1"/>
  <c r="W96" i="5"/>
  <c r="Y96" i="5" s="1"/>
  <c r="W553" i="5"/>
  <c r="Y553" i="5" s="1"/>
  <c r="W220" i="5"/>
  <c r="X220" i="5" s="1"/>
  <c r="W89" i="5"/>
  <c r="Y89" i="5" s="1"/>
  <c r="W218" i="5"/>
  <c r="Y218" i="5" s="1"/>
  <c r="W324" i="5"/>
  <c r="Y324" i="5" s="1"/>
  <c r="W390" i="5"/>
  <c r="Y390" i="5" s="1"/>
  <c r="W425" i="5"/>
  <c r="X425" i="5" s="1"/>
  <c r="W361" i="5"/>
  <c r="X361" i="5" s="1"/>
  <c r="W362" i="5"/>
  <c r="X362" i="5" s="1"/>
  <c r="W67" i="5"/>
  <c r="X67" i="5" s="1"/>
  <c r="W105" i="5"/>
  <c r="X105" i="5" s="1"/>
  <c r="W503" i="5"/>
  <c r="X503" i="5" s="1"/>
  <c r="W494" i="5"/>
  <c r="X494" i="5" s="1"/>
  <c r="W58" i="5"/>
  <c r="Y58" i="5" s="1"/>
  <c r="W552" i="5"/>
  <c r="Y552" i="5" s="1"/>
  <c r="W332" i="5"/>
  <c r="X332" i="5" s="1"/>
  <c r="W93" i="5"/>
  <c r="X93" i="5" s="1"/>
  <c r="W476" i="5"/>
  <c r="Y476" i="5" s="1"/>
  <c r="W478" i="5"/>
  <c r="Y478" i="5" s="1"/>
  <c r="W164" i="5"/>
  <c r="Y164" i="5" s="1"/>
  <c r="W474" i="5"/>
  <c r="Y474" i="5" s="1"/>
  <c r="W273" i="5"/>
  <c r="Y273" i="5" s="1"/>
  <c r="W244" i="5"/>
  <c r="Y244" i="5" s="1"/>
  <c r="W129" i="5"/>
  <c r="Y129" i="5" s="1"/>
  <c r="W163" i="5"/>
  <c r="X163" i="5" s="1"/>
  <c r="W167" i="5"/>
  <c r="W318" i="5"/>
  <c r="X318" i="5" s="1"/>
  <c r="W310" i="5"/>
  <c r="Y310" i="5" s="1"/>
  <c r="W44" i="5"/>
  <c r="Y44" i="5" s="1"/>
  <c r="W233" i="5"/>
  <c r="X233" i="5" s="1"/>
  <c r="W36" i="5"/>
  <c r="Y36" i="5" s="1"/>
  <c r="W82" i="5"/>
  <c r="X82" i="5" s="1"/>
  <c r="W428" i="5"/>
  <c r="Y428" i="5" s="1"/>
  <c r="W471" i="5"/>
  <c r="Y471" i="5" s="1"/>
  <c r="W21" i="5"/>
  <c r="Y21" i="5" s="1"/>
  <c r="W559" i="5"/>
  <c r="Y559" i="5" s="1"/>
  <c r="W410" i="5"/>
  <c r="X410" i="5" s="1"/>
  <c r="W222" i="5"/>
  <c r="Y222" i="5" s="1"/>
  <c r="W254" i="5"/>
  <c r="Y254" i="5" s="1"/>
  <c r="W130" i="5"/>
  <c r="X130" i="5" s="1"/>
  <c r="W235" i="5"/>
  <c r="W377" i="5"/>
  <c r="W461" i="5"/>
  <c r="W207" i="5"/>
  <c r="Y207" i="5" s="1"/>
  <c r="W408" i="5"/>
  <c r="X408" i="5" s="1"/>
  <c r="W47" i="5"/>
  <c r="W77" i="5"/>
  <c r="X77" i="5" s="1"/>
  <c r="W307" i="5"/>
  <c r="W445" i="5"/>
  <c r="Y445" i="5" s="1"/>
  <c r="W429" i="5"/>
  <c r="X429" i="5" s="1"/>
  <c r="W185" i="5"/>
  <c r="X185" i="5" s="1"/>
  <c r="W423" i="5"/>
  <c r="X423" i="5" s="1"/>
  <c r="W442" i="5"/>
  <c r="Y442" i="5" s="1"/>
  <c r="W248" i="5"/>
  <c r="Y248" i="5" s="1"/>
  <c r="W456" i="5"/>
  <c r="W504" i="5"/>
  <c r="Y504" i="5" s="1"/>
  <c r="W376" i="5"/>
  <c r="X376" i="5" s="1"/>
  <c r="W400" i="5"/>
  <c r="Y400" i="5" s="1"/>
  <c r="W224" i="5"/>
  <c r="Y224" i="5" s="1"/>
  <c r="W256" i="5"/>
  <c r="Y256" i="5" s="1"/>
  <c r="W288" i="5"/>
  <c r="X288" i="5" s="1"/>
  <c r="W120" i="5"/>
  <c r="X120" i="5" s="1"/>
  <c r="W56" i="5"/>
  <c r="W104" i="5"/>
  <c r="Y104" i="5" s="1"/>
  <c r="W148" i="5"/>
  <c r="X148" i="5" s="1"/>
  <c r="W491" i="5"/>
  <c r="Y491" i="5" s="1"/>
  <c r="W322" i="5"/>
  <c r="Y322" i="5" s="1"/>
  <c r="W114" i="5"/>
  <c r="Y114" i="5" s="1"/>
  <c r="W347" i="5"/>
  <c r="Y347" i="5" s="1"/>
  <c r="W378" i="5"/>
  <c r="X378" i="5" s="1"/>
  <c r="W528" i="5"/>
  <c r="Y528" i="5" s="1"/>
  <c r="W508" i="5"/>
  <c r="Y508" i="5" s="1"/>
  <c r="W327" i="5"/>
  <c r="Y327" i="5" s="1"/>
  <c r="W271" i="5"/>
  <c r="X271" i="5" s="1"/>
  <c r="W37" i="5"/>
  <c r="X37" i="5" s="1"/>
  <c r="W356" i="5"/>
  <c r="X356" i="5" s="1"/>
  <c r="W409" i="5"/>
  <c r="Y409" i="5" s="1"/>
  <c r="W530" i="5"/>
  <c r="X530" i="5" s="1"/>
  <c r="W269" i="5"/>
  <c r="W206" i="5"/>
  <c r="Y206" i="5" s="1"/>
  <c r="W20" i="5"/>
  <c r="X20" i="5" s="1"/>
  <c r="W300" i="5"/>
  <c r="Y300" i="5" s="1"/>
  <c r="W393" i="5"/>
  <c r="Y393" i="5" s="1"/>
  <c r="W34" i="5"/>
  <c r="Y34" i="5" s="1"/>
  <c r="W391" i="5"/>
  <c r="X391" i="5" s="1"/>
  <c r="W373" i="5"/>
  <c r="W145" i="5"/>
  <c r="X145" i="5" s="1"/>
  <c r="W178" i="5"/>
  <c r="Y178" i="5" s="1"/>
  <c r="W458" i="5"/>
  <c r="X458" i="5" s="1"/>
  <c r="W511" i="5"/>
  <c r="Y511" i="5" s="1"/>
  <c r="W134" i="5"/>
  <c r="X134" i="5" s="1"/>
  <c r="W236" i="5"/>
  <c r="X236" i="5" s="1"/>
  <c r="W411" i="5"/>
  <c r="X411" i="5" s="1"/>
  <c r="W278" i="5"/>
  <c r="Y278" i="5" s="1"/>
  <c r="W311" i="5"/>
  <c r="Y311" i="5" s="1"/>
  <c r="W39" i="5"/>
  <c r="X39" i="5" s="1"/>
  <c r="W261" i="5"/>
  <c r="Y261" i="5" s="1"/>
  <c r="W473" i="5"/>
  <c r="X473" i="5" s="1"/>
  <c r="W475" i="5"/>
  <c r="Y475" i="5" s="1"/>
  <c r="W430" i="5"/>
  <c r="X430" i="5" s="1"/>
  <c r="W45" i="5"/>
  <c r="X45" i="5" s="1"/>
  <c r="W174" i="5"/>
  <c r="Y174" i="5" s="1"/>
  <c r="W195" i="5"/>
  <c r="Y195" i="5" s="1"/>
  <c r="W505" i="5"/>
  <c r="Y505" i="5" s="1"/>
  <c r="W69" i="5"/>
  <c r="X69" i="5" s="1"/>
  <c r="W172" i="5"/>
  <c r="X172" i="5" s="1"/>
  <c r="W297" i="5"/>
  <c r="X297" i="5" s="1"/>
  <c r="W523" i="5"/>
  <c r="X523" i="5" s="1"/>
  <c r="W257" i="5"/>
  <c r="Y257" i="5" s="1"/>
  <c r="W258" i="5"/>
  <c r="Y258" i="5" s="1"/>
  <c r="W53" i="5"/>
  <c r="X53" i="5" s="1"/>
  <c r="W406" i="5"/>
  <c r="Y406" i="5" s="1"/>
  <c r="W213" i="5"/>
  <c r="X213" i="5" s="1"/>
  <c r="W460" i="5"/>
  <c r="X460" i="5" s="1"/>
  <c r="W46" i="5"/>
  <c r="X46" i="5" s="1"/>
  <c r="W268" i="5"/>
  <c r="X268" i="5" s="1"/>
  <c r="B40" i="5"/>
  <c r="W32" i="5"/>
  <c r="Y32" i="5" s="1"/>
  <c r="W432" i="5"/>
  <c r="Y432" i="5" s="1"/>
  <c r="W480" i="5"/>
  <c r="X480" i="5" s="1"/>
  <c r="W328" i="5"/>
  <c r="Y328" i="5" s="1"/>
  <c r="W144" i="5"/>
  <c r="X144" i="5" s="1"/>
  <c r="W200" i="5"/>
  <c r="Y200" i="5" s="1"/>
  <c r="W522" i="5"/>
  <c r="Y522" i="5" s="1"/>
  <c r="W283" i="5"/>
  <c r="Y283" i="5" s="1"/>
  <c r="W326" i="5"/>
  <c r="X326" i="5" s="1"/>
  <c r="W111" i="5"/>
  <c r="Y111" i="5" s="1"/>
  <c r="W149" i="5"/>
  <c r="Y149" i="5" s="1"/>
  <c r="W396" i="5"/>
  <c r="X396" i="5" s="1"/>
  <c r="W518" i="5"/>
  <c r="Y518" i="5" s="1"/>
  <c r="W294" i="5"/>
  <c r="X294" i="5" s="1"/>
  <c r="W306" i="5"/>
  <c r="Y306" i="5" s="1"/>
  <c r="W81" i="5"/>
  <c r="X81" i="5" s="1"/>
  <c r="W289" i="5"/>
  <c r="X289" i="5" s="1"/>
  <c r="W367" i="5"/>
  <c r="Y367" i="5" s="1"/>
  <c r="W401" i="5"/>
  <c r="X401" i="5" s="1"/>
  <c r="W292" i="5"/>
  <c r="Y292" i="5" s="1"/>
  <c r="W415" i="5"/>
  <c r="X415" i="5" s="1"/>
  <c r="W91" i="5"/>
  <c r="Y91" i="5" s="1"/>
  <c r="W265" i="5"/>
  <c r="X265" i="5" s="1"/>
  <c r="W346" i="5"/>
  <c r="X346" i="5" s="1"/>
  <c r="W387" i="5"/>
  <c r="Y387" i="5" s="1"/>
  <c r="W308" i="5"/>
  <c r="X308" i="5" s="1"/>
  <c r="W190" i="5"/>
  <c r="X190" i="5" s="1"/>
  <c r="W109" i="5"/>
  <c r="X109" i="5" s="1"/>
  <c r="W117" i="5"/>
  <c r="Y117" i="5" s="1"/>
  <c r="W443" i="5"/>
  <c r="X443" i="5" s="1"/>
  <c r="W483" i="5"/>
  <c r="Y483" i="5" s="1"/>
  <c r="W49" i="5"/>
  <c r="W459" i="5"/>
  <c r="W285" i="5"/>
  <c r="W242" i="5"/>
  <c r="X242" i="5" s="1"/>
  <c r="W263" i="5"/>
  <c r="Y263" i="5" s="1"/>
  <c r="W95" i="5"/>
  <c r="Y95" i="5" s="1"/>
  <c r="W298" i="5"/>
  <c r="Y298" i="5" s="1"/>
  <c r="W371" i="5"/>
  <c r="X371" i="5" s="1"/>
  <c r="W97" i="5"/>
  <c r="X97" i="5" s="1"/>
  <c r="W253" i="5"/>
  <c r="X253" i="5" s="1"/>
  <c r="W214" i="5"/>
  <c r="X214" i="5" s="1"/>
  <c r="W113" i="5"/>
  <c r="W166" i="5"/>
  <c r="Y166" i="5" s="1"/>
  <c r="W389" i="5"/>
  <c r="X389" i="5" s="1"/>
  <c r="W468" i="5"/>
  <c r="Y468" i="5" s="1"/>
  <c r="W115" i="5"/>
  <c r="X115" i="5" s="1"/>
  <c r="W520" i="5"/>
  <c r="X520" i="5" s="1"/>
  <c r="W506" i="5"/>
  <c r="X506" i="5" s="1"/>
  <c r="W193" i="5"/>
  <c r="W221" i="5"/>
  <c r="X221" i="5" s="1"/>
  <c r="W108" i="5"/>
  <c r="Y108" i="5" s="1"/>
  <c r="W313" i="5"/>
  <c r="Y313" i="5" s="1"/>
  <c r="W226" i="5"/>
  <c r="Y226" i="5" s="1"/>
  <c r="W479" i="5"/>
  <c r="W50" i="5"/>
  <c r="W275" i="5"/>
  <c r="Y275" i="5" s="1"/>
  <c r="W342" i="5"/>
  <c r="X342" i="5" s="1"/>
  <c r="W352" i="5"/>
  <c r="X352" i="5" s="1"/>
  <c r="W534" i="5"/>
  <c r="Y534" i="5" s="1"/>
  <c r="W264" i="5"/>
  <c r="X264" i="5" s="1"/>
  <c r="W176" i="5"/>
  <c r="X176" i="5" s="1"/>
  <c r="W64" i="5"/>
  <c r="Y64" i="5" s="1"/>
  <c r="W112" i="5"/>
  <c r="W537" i="5"/>
  <c r="Y537" i="5" s="1"/>
  <c r="W126" i="5"/>
  <c r="X126" i="5" s="1"/>
  <c r="W544" i="5"/>
  <c r="X544" i="5" s="1"/>
  <c r="W107" i="5"/>
  <c r="X107" i="5" s="1"/>
  <c r="W314" i="5"/>
  <c r="X314" i="5" s="1"/>
  <c r="W338" i="5"/>
  <c r="Y338" i="5" s="1"/>
  <c r="W170" i="5"/>
  <c r="Y170" i="5" s="1"/>
  <c r="W201" i="5"/>
  <c r="Y201" i="5" s="1"/>
  <c r="W198" i="5"/>
  <c r="Y198" i="5" s="1"/>
  <c r="W286" i="5"/>
  <c r="X286" i="5" s="1"/>
  <c r="W140" i="5"/>
  <c r="Y140" i="5" s="1"/>
  <c r="W196" i="5"/>
  <c r="X196" i="5" s="1"/>
  <c r="W302" i="5"/>
  <c r="Y302" i="5" s="1"/>
  <c r="W431" i="5"/>
  <c r="Y431" i="5" s="1"/>
  <c r="W76" i="5"/>
  <c r="X76" i="5" s="1"/>
  <c r="W59" i="5"/>
  <c r="X59" i="5" s="1"/>
  <c r="W179" i="5"/>
  <c r="X179" i="5" s="1"/>
  <c r="W231" i="5"/>
  <c r="Y231" i="5" s="1"/>
  <c r="W251" i="5"/>
  <c r="X251" i="5" s="1"/>
  <c r="W498" i="5"/>
  <c r="Y498" i="5" s="1"/>
  <c r="W43" i="5"/>
  <c r="Y43" i="5" s="1"/>
  <c r="W303" i="5"/>
  <c r="Y303" i="5" s="1"/>
  <c r="W54" i="5"/>
  <c r="X54" i="5" s="1"/>
  <c r="W84" i="5"/>
  <c r="X84" i="5" s="1"/>
  <c r="W465" i="5"/>
  <c r="Y465" i="5" s="1"/>
  <c r="W450" i="5"/>
  <c r="X450" i="5" s="1"/>
  <c r="W246" i="5"/>
  <c r="X246" i="5" s="1"/>
  <c r="W539" i="5"/>
  <c r="X539" i="5" s="1"/>
  <c r="W329" i="5"/>
  <c r="Y329" i="5" s="1"/>
  <c r="W228" i="5"/>
  <c r="Y228" i="5" s="1"/>
  <c r="W232" i="5"/>
  <c r="Y232" i="5" s="1"/>
  <c r="W191" i="5"/>
  <c r="Y191" i="5" s="1"/>
  <c r="W287" i="5"/>
  <c r="X287" i="5" s="1"/>
  <c r="W412" i="5"/>
  <c r="Y412" i="5" s="1"/>
  <c r="W407" i="5"/>
  <c r="X407" i="5" s="1"/>
  <c r="W309" i="5"/>
  <c r="Y309" i="5" s="1"/>
  <c r="W525" i="5"/>
  <c r="Y525" i="5" s="1"/>
  <c r="W63" i="5"/>
  <c r="X63" i="5" s="1"/>
  <c r="W121" i="5"/>
  <c r="X121" i="5" s="1"/>
  <c r="W402" i="5"/>
  <c r="X402" i="5" s="1"/>
  <c r="W433" i="5"/>
  <c r="X433" i="5" s="1"/>
  <c r="W35" i="5"/>
  <c r="X35" i="5" s="1"/>
  <c r="W560" i="5"/>
  <c r="Y560" i="5" s="1"/>
  <c r="W381" i="5"/>
  <c r="X381" i="5" s="1"/>
  <c r="W187" i="5"/>
  <c r="X187" i="5" s="1"/>
  <c r="W245" i="5"/>
  <c r="X245" i="5" s="1"/>
  <c r="W241" i="5"/>
  <c r="X241" i="5" s="1"/>
  <c r="W238" i="5"/>
  <c r="X238" i="5" s="1"/>
  <c r="W119" i="5"/>
  <c r="X119" i="5" s="1"/>
  <c r="W276" i="5"/>
  <c r="Y276" i="5" s="1"/>
  <c r="W141" i="5"/>
  <c r="X141" i="5" s="1"/>
  <c r="W414" i="5"/>
  <c r="Y414" i="5" s="1"/>
  <c r="W208" i="5"/>
  <c r="X208" i="5" s="1"/>
  <c r="W538" i="5"/>
  <c r="Y538" i="5" s="1"/>
  <c r="W440" i="5"/>
  <c r="X440" i="5" s="1"/>
  <c r="W464" i="5"/>
  <c r="X464" i="5" s="1"/>
  <c r="W336" i="5"/>
  <c r="X336" i="5" s="1"/>
  <c r="W384" i="5"/>
  <c r="X384" i="5" s="1"/>
  <c r="W296" i="5"/>
  <c r="X296" i="5" s="1"/>
  <c r="W128" i="5"/>
  <c r="Y128" i="5" s="1"/>
  <c r="W40" i="5"/>
  <c r="Y40" i="5" s="1"/>
  <c r="W88" i="5"/>
  <c r="Y88" i="5" s="1"/>
  <c r="W79" i="5"/>
  <c r="Y79" i="5" s="1"/>
  <c r="W543" i="5"/>
  <c r="X543" i="5" s="1"/>
  <c r="W355" i="5"/>
  <c r="Y355" i="5" s="1"/>
  <c r="W444" i="5"/>
  <c r="X444" i="5" s="1"/>
  <c r="W153" i="5"/>
  <c r="X153" i="5" s="1"/>
  <c r="W25" i="5"/>
  <c r="Y25" i="5" s="1"/>
  <c r="W38" i="5"/>
  <c r="X38" i="5" s="1"/>
  <c r="W165" i="5"/>
  <c r="Y165" i="5" s="1"/>
  <c r="W175" i="5"/>
  <c r="X175" i="5" s="1"/>
  <c r="W542" i="5"/>
  <c r="X542" i="5" s="1"/>
  <c r="W143" i="5"/>
  <c r="X143" i="5" s="1"/>
  <c r="W225" i="5"/>
  <c r="X225" i="5" s="1"/>
  <c r="W99" i="5"/>
  <c r="X99" i="5" s="1"/>
  <c r="W500" i="5"/>
  <c r="X500" i="5" s="1"/>
  <c r="W247" i="5"/>
  <c r="Y247" i="5" s="1"/>
  <c r="W532" i="5"/>
  <c r="Y532" i="5" s="1"/>
  <c r="W92" i="5"/>
  <c r="X92" i="5" s="1"/>
  <c r="W229" i="5"/>
  <c r="Y229" i="5" s="1"/>
  <c r="W123" i="5"/>
  <c r="Y123" i="5" s="1"/>
  <c r="W457" i="5"/>
  <c r="Y457" i="5" s="1"/>
  <c r="W359" i="5"/>
  <c r="X359" i="5" s="1"/>
  <c r="W350" i="5"/>
  <c r="X350" i="5" s="1"/>
  <c r="W52" i="5"/>
  <c r="Y52" i="5" s="1"/>
  <c r="W349" i="5"/>
  <c r="Y349" i="5" s="1"/>
  <c r="W487" i="5"/>
  <c r="X487" i="5" s="1"/>
  <c r="W466" i="5"/>
  <c r="Y466" i="5" s="1"/>
  <c r="W469" i="5"/>
  <c r="X469" i="5" s="1"/>
  <c r="W94" i="5"/>
  <c r="Y94" i="5" s="1"/>
  <c r="W173" i="5"/>
  <c r="X173" i="5" s="1"/>
  <c r="W219" i="5"/>
  <c r="X219" i="5" s="1"/>
  <c r="W23" i="5"/>
  <c r="Y23" i="5" s="1"/>
  <c r="W169" i="5"/>
  <c r="X169" i="5" s="1"/>
  <c r="W279" i="5"/>
  <c r="X279" i="5" s="1"/>
  <c r="W486" i="5"/>
  <c r="X486" i="5" s="1"/>
  <c r="W19" i="5"/>
  <c r="Y19" i="5" s="1"/>
  <c r="W419" i="5"/>
  <c r="X419" i="5" s="1"/>
  <c r="W61" i="5"/>
  <c r="Y61" i="5" s="1"/>
  <c r="W90" i="5"/>
  <c r="X90" i="5" s="1"/>
  <c r="W426" i="5"/>
  <c r="Y426" i="5" s="1"/>
  <c r="W417" i="5"/>
  <c r="X417" i="5" s="1"/>
  <c r="W252" i="5"/>
  <c r="X252" i="5" s="1"/>
  <c r="W462" i="5"/>
  <c r="Y462" i="5" s="1"/>
  <c r="W211" i="5"/>
  <c r="X211" i="5" s="1"/>
  <c r="W162" i="5"/>
  <c r="X162" i="5" s="1"/>
  <c r="W205" i="5"/>
  <c r="W548" i="5"/>
  <c r="Y548" i="5" s="1"/>
  <c r="W147" i="5"/>
  <c r="W388" i="5"/>
  <c r="Y388" i="5" s="1"/>
  <c r="W249" i="5"/>
  <c r="Y249" i="5" s="1"/>
  <c r="W397" i="5"/>
  <c r="X397" i="5" s="1"/>
  <c r="W556" i="5"/>
  <c r="X556" i="5" s="1"/>
  <c r="W527" i="5"/>
  <c r="X527" i="5" s="1"/>
  <c r="W152" i="5"/>
  <c r="X152" i="5" s="1"/>
  <c r="W280" i="5"/>
  <c r="Y280" i="5" s="1"/>
  <c r="W488" i="5"/>
  <c r="Y488" i="5" s="1"/>
  <c r="W512" i="5"/>
  <c r="Y512" i="5" s="1"/>
  <c r="W360" i="5"/>
  <c r="X360" i="5" s="1"/>
  <c r="W416" i="5"/>
  <c r="X416" i="5" s="1"/>
  <c r="W240" i="5"/>
  <c r="Y240" i="5" s="1"/>
  <c r="W304" i="5"/>
  <c r="Y304" i="5" s="1"/>
  <c r="W8" i="5"/>
  <c r="X8" i="5" s="1"/>
  <c r="W317" i="5"/>
  <c r="X317" i="5" s="1"/>
  <c r="W30" i="5"/>
  <c r="X30" i="5" s="1"/>
  <c r="W277" i="5"/>
  <c r="X277" i="5" s="1"/>
  <c r="W385" i="5"/>
  <c r="X385" i="5" s="1"/>
  <c r="W150" i="5"/>
  <c r="X150" i="5" s="1"/>
  <c r="W250" i="5"/>
  <c r="X250" i="5" s="1"/>
  <c r="W142" i="5"/>
  <c r="X142" i="5" s="1"/>
  <c r="W182" i="5"/>
  <c r="X182" i="5" s="1"/>
  <c r="W133" i="5"/>
  <c r="Y133" i="5" s="1"/>
  <c r="W151" i="5"/>
  <c r="Y151" i="5" s="1"/>
  <c r="W519" i="5"/>
  <c r="Y519" i="5" s="1"/>
  <c r="W477" i="5"/>
  <c r="Y477" i="5" s="1"/>
  <c r="W171" i="5"/>
  <c r="W398" i="5"/>
  <c r="Y398" i="5" s="1"/>
  <c r="W489" i="5"/>
  <c r="W124" i="5"/>
  <c r="Y124" i="5" s="1"/>
  <c r="W485" i="5"/>
  <c r="X485" i="5" s="1"/>
  <c r="W541" i="5"/>
  <c r="Y541" i="5" s="1"/>
  <c r="W137" i="5"/>
  <c r="Y137" i="5" s="1"/>
  <c r="W354" i="5"/>
  <c r="Y354" i="5" s="1"/>
  <c r="W447" i="5"/>
  <c r="Y447" i="5" s="1"/>
  <c r="W295" i="5"/>
  <c r="Y295" i="5" s="1"/>
  <c r="W325" i="5"/>
  <c r="W33" i="5"/>
  <c r="X33" i="5" s="1"/>
  <c r="W357" i="5"/>
  <c r="X357" i="5" s="1"/>
  <c r="W380" i="5"/>
  <c r="X380" i="5" s="1"/>
  <c r="W85" i="5"/>
  <c r="Y85" i="5" s="1"/>
  <c r="W369" i="5"/>
  <c r="X369" i="5" s="1"/>
  <c r="W524" i="5"/>
  <c r="X524" i="5" s="1"/>
  <c r="W127" i="5"/>
  <c r="W180" i="5"/>
  <c r="X180" i="5" s="1"/>
  <c r="W547" i="5"/>
  <c r="W22" i="5"/>
  <c r="X22" i="5" s="1"/>
  <c r="W209" i="5"/>
  <c r="X209" i="5" s="1"/>
  <c r="W223" i="5"/>
  <c r="Y223" i="5" s="1"/>
  <c r="W558" i="5"/>
  <c r="X558" i="5" s="1"/>
  <c r="W316" i="5"/>
  <c r="Y316" i="5" s="1"/>
  <c r="W413" i="5"/>
  <c r="Y413" i="5" s="1"/>
  <c r="W57" i="5"/>
  <c r="X57" i="5" s="1"/>
  <c r="W421" i="5"/>
  <c r="X421" i="5" s="1"/>
  <c r="W463" i="5"/>
  <c r="X463" i="5" s="1"/>
  <c r="W540" i="5"/>
  <c r="Y540" i="5" s="1"/>
  <c r="W353" i="5"/>
  <c r="X353" i="5" s="1"/>
  <c r="W337" i="5"/>
  <c r="X337" i="5" s="1"/>
  <c r="W157" i="5"/>
  <c r="X157" i="5" s="1"/>
  <c r="W156" i="5"/>
  <c r="Y156" i="5" s="1"/>
  <c r="W437" i="5"/>
  <c r="X437" i="5" s="1"/>
  <c r="W31" i="5"/>
  <c r="Y31" i="5" s="1"/>
  <c r="W452" i="5"/>
  <c r="W234" i="5"/>
  <c r="Y234" i="5" s="1"/>
  <c r="W266" i="5"/>
  <c r="W370" i="5"/>
  <c r="W230" i="5"/>
  <c r="AQ134" i="4"/>
  <c r="W383" i="5"/>
  <c r="X383" i="5" s="1"/>
  <c r="O9" i="5"/>
  <c r="W533" i="5"/>
  <c r="Y533" i="5" s="1"/>
  <c r="W395" i="5"/>
  <c r="Y395" i="5" s="1"/>
  <c r="W199" i="5"/>
  <c r="X199" i="5" s="1"/>
  <c r="W215" i="5"/>
  <c r="Y215" i="5" s="1"/>
  <c r="W493" i="5"/>
  <c r="X493" i="5" s="1"/>
  <c r="W116" i="5"/>
  <c r="X116" i="5" s="1"/>
  <c r="W315" i="5"/>
  <c r="W345" i="5"/>
  <c r="W404" i="5"/>
  <c r="W499" i="5"/>
  <c r="AQ141" i="4"/>
  <c r="W363" i="5"/>
  <c r="W364" i="5"/>
  <c r="X364" i="5" s="1"/>
  <c r="W545" i="5"/>
  <c r="X545" i="5" s="1"/>
  <c r="W194" i="5"/>
  <c r="Y194" i="5" s="1"/>
  <c r="W131" i="5"/>
  <c r="X131" i="5" s="1"/>
  <c r="W188" i="5"/>
  <c r="X188" i="5" s="1"/>
  <c r="W555" i="5"/>
  <c r="X555" i="5" s="1"/>
  <c r="W41" i="5"/>
  <c r="X41" i="5" s="1"/>
  <c r="W202" i="5"/>
  <c r="Y202" i="5" s="1"/>
  <c r="W502" i="5"/>
  <c r="X502" i="5" s="1"/>
  <c r="W455" i="5"/>
  <c r="Y455" i="5" s="1"/>
  <c r="W514" i="5"/>
  <c r="X514" i="5" s="1"/>
  <c r="W495" i="5"/>
  <c r="Y495" i="5" s="1"/>
  <c r="W484" i="5"/>
  <c r="X484" i="5" s="1"/>
  <c r="W138" i="5"/>
  <c r="Y138" i="5" s="1"/>
  <c r="W155" i="5"/>
  <c r="Y155" i="5" s="1"/>
  <c r="W513" i="5"/>
  <c r="X513" i="5" s="1"/>
  <c r="W550" i="5"/>
  <c r="Y550" i="5" s="1"/>
  <c r="W87" i="5"/>
  <c r="X87" i="5" s="1"/>
  <c r="W482" i="5"/>
  <c r="Y482" i="5" s="1"/>
  <c r="W335" i="5"/>
  <c r="Y335" i="5" s="1"/>
  <c r="W427" i="5"/>
  <c r="V96" i="4"/>
  <c r="AM96" i="4" s="1"/>
  <c r="AQ73" i="4"/>
  <c r="W420" i="5"/>
  <c r="Y420" i="5" s="1"/>
  <c r="W203" i="5"/>
  <c r="Y203" i="5" s="1"/>
  <c r="W434" i="5"/>
  <c r="Y434" i="5" s="1"/>
  <c r="W339" i="5"/>
  <c r="X339" i="5" s="1"/>
  <c r="W83" i="5"/>
  <c r="X83" i="5" s="1"/>
  <c r="W146" i="5"/>
  <c r="Y146" i="5" s="1"/>
  <c r="W529" i="5"/>
  <c r="X529" i="5" s="1"/>
  <c r="W284" i="5"/>
  <c r="X284" i="5" s="1"/>
  <c r="W186" i="5"/>
  <c r="X186" i="5" s="1"/>
  <c r="W516" i="5"/>
  <c r="Y516" i="5" s="1"/>
  <c r="W103" i="5"/>
  <c r="W73" i="5"/>
  <c r="Y73" i="5" s="1"/>
  <c r="W509" i="5"/>
  <c r="Y509" i="5" s="1"/>
  <c r="W227" i="5"/>
  <c r="Y227" i="5" s="1"/>
  <c r="W374" i="5"/>
  <c r="W42" i="5"/>
  <c r="X42" i="5" s="1"/>
  <c r="W70" i="5"/>
  <c r="X70" i="5" s="1"/>
  <c r="W418" i="5"/>
  <c r="X418" i="5" s="1"/>
  <c r="W217" i="5"/>
  <c r="X217" i="5" s="1"/>
  <c r="W446" i="5"/>
  <c r="X446" i="5" s="1"/>
  <c r="W470" i="5"/>
  <c r="Y470" i="5" s="1"/>
  <c r="W379" i="5"/>
  <c r="X379" i="5" s="1"/>
  <c r="W118" i="5"/>
  <c r="K36" i="5"/>
  <c r="K37" i="5" s="1"/>
  <c r="Q47" i="5"/>
  <c r="Q25" i="5"/>
  <c r="Q50" i="5"/>
  <c r="Q54" i="5"/>
  <c r="Q68" i="5"/>
  <c r="Q73" i="5"/>
  <c r="Q86" i="5"/>
  <c r="Q44" i="5"/>
  <c r="Q108" i="5"/>
  <c r="Q137" i="5"/>
  <c r="Q100" i="5"/>
  <c r="Q157" i="5"/>
  <c r="Q124" i="5"/>
  <c r="Q150" i="5"/>
  <c r="Q174" i="5"/>
  <c r="Q175" i="5"/>
  <c r="Q178" i="5"/>
  <c r="Q199" i="5"/>
  <c r="Q107" i="5"/>
  <c r="Q221" i="5"/>
  <c r="Q195" i="5"/>
  <c r="Q226" i="5"/>
  <c r="Q203" i="5"/>
  <c r="Q284" i="5"/>
  <c r="Q323" i="5"/>
  <c r="Q229" i="5"/>
  <c r="Q285" i="5"/>
  <c r="Q310" i="5"/>
  <c r="Q220" i="5"/>
  <c r="Q274" i="5"/>
  <c r="Q297" i="5"/>
  <c r="Q341" i="5"/>
  <c r="Q289" i="5"/>
  <c r="Q372" i="5"/>
  <c r="Q407" i="5"/>
  <c r="Q439" i="5"/>
  <c r="Q308" i="5"/>
  <c r="Q363" i="5"/>
  <c r="Q402" i="5"/>
  <c r="Q327" i="5"/>
  <c r="Q377" i="5"/>
  <c r="Q412" i="5"/>
  <c r="Q387" i="5"/>
  <c r="Q462" i="5"/>
  <c r="Q485" i="5"/>
  <c r="Q523" i="5"/>
  <c r="Q369" i="5"/>
  <c r="Q446" i="5"/>
  <c r="Q486" i="5"/>
  <c r="Q510" i="5"/>
  <c r="Q444" i="5"/>
  <c r="Q494" i="5"/>
  <c r="Q535" i="5"/>
  <c r="Q553" i="5"/>
  <c r="Q498" i="5"/>
  <c r="Q550" i="5"/>
  <c r="Q558" i="5"/>
  <c r="Q544" i="5"/>
  <c r="Q516" i="5"/>
  <c r="Q49" i="5"/>
  <c r="Q29" i="5"/>
  <c r="Q52" i="5"/>
  <c r="Q55" i="5"/>
  <c r="Q69" i="5"/>
  <c r="Q71" i="5"/>
  <c r="Q95" i="5"/>
  <c r="Q82" i="5"/>
  <c r="Q116" i="5"/>
  <c r="Q142" i="5"/>
  <c r="Q114" i="5"/>
  <c r="Q159" i="5"/>
  <c r="Q126" i="5"/>
  <c r="Q155" i="5"/>
  <c r="Q188" i="5"/>
  <c r="Q179" i="5"/>
  <c r="Q182" i="5"/>
  <c r="Q201" i="5"/>
  <c r="Q177" i="5"/>
  <c r="Q225" i="5"/>
  <c r="Q204" i="5"/>
  <c r="Q231" i="5"/>
  <c r="Q213" i="5"/>
  <c r="Q291" i="5"/>
  <c r="Q325" i="5"/>
  <c r="Q247" i="5"/>
  <c r="Q290" i="5"/>
  <c r="Q321" i="5"/>
  <c r="Q223" i="5"/>
  <c r="Q275" i="5"/>
  <c r="Q309" i="5"/>
  <c r="Q346" i="5"/>
  <c r="Q295" i="5"/>
  <c r="Q375" i="5"/>
  <c r="Q409" i="5"/>
  <c r="Q441" i="5"/>
  <c r="Q314" i="5"/>
  <c r="Q365" i="5"/>
  <c r="Q404" i="5"/>
  <c r="Q338" i="5"/>
  <c r="Q394" i="5"/>
  <c r="Q415" i="5"/>
  <c r="Q390" i="5"/>
  <c r="Q463" i="5"/>
  <c r="Q500" i="5"/>
  <c r="Q524" i="5"/>
  <c r="Q410" i="5"/>
  <c r="Q452" i="5"/>
  <c r="Q487" i="5"/>
  <c r="Q514" i="5"/>
  <c r="Q445" i="5"/>
  <c r="Q497" i="5"/>
  <c r="Q536" i="5"/>
  <c r="Q559" i="5"/>
  <c r="Q508" i="5"/>
  <c r="Q364" i="5"/>
  <c r="Q560" i="5"/>
  <c r="Q556" i="5"/>
  <c r="Q531" i="5"/>
  <c r="Q21" i="5"/>
  <c r="Q20" i="5"/>
  <c r="Q30" i="5"/>
  <c r="Q27" i="5"/>
  <c r="Q58" i="5"/>
  <c r="Q65" i="5"/>
  <c r="Q75" i="5"/>
  <c r="Q85" i="5"/>
  <c r="Q94" i="5"/>
  <c r="Q117" i="5"/>
  <c r="Q151" i="5"/>
  <c r="Q125" i="5"/>
  <c r="Q83" i="5"/>
  <c r="Q127" i="5"/>
  <c r="Q156" i="5"/>
  <c r="Q130" i="5"/>
  <c r="Q180" i="5"/>
  <c r="Q202" i="5"/>
  <c r="Q235" i="5"/>
  <c r="Q186" i="5"/>
  <c r="Q228" i="5"/>
  <c r="Q205" i="5"/>
  <c r="Q234" i="5"/>
  <c r="Q227" i="5"/>
  <c r="Q292" i="5"/>
  <c r="Q331" i="5"/>
  <c r="Q253" i="5"/>
  <c r="Q293" i="5"/>
  <c r="Q326" i="5"/>
  <c r="Q239" i="5"/>
  <c r="Q277" i="5"/>
  <c r="Q315" i="5"/>
  <c r="Q348" i="5"/>
  <c r="Q306" i="5"/>
  <c r="Q380" i="5"/>
  <c r="Q411" i="5"/>
  <c r="Q442" i="5"/>
  <c r="Q340" i="5"/>
  <c r="Q373" i="5"/>
  <c r="Q413" i="5"/>
  <c r="Q347" i="5"/>
  <c r="Q395" i="5"/>
  <c r="Q421" i="5"/>
  <c r="Q393" i="5"/>
  <c r="Q468" i="5"/>
  <c r="Q501" i="5"/>
  <c r="Q527" i="5"/>
  <c r="Q420" i="5"/>
  <c r="Q457" i="5"/>
  <c r="Q489" i="5"/>
  <c r="Q520" i="5"/>
  <c r="Q449" i="5"/>
  <c r="Q502" i="5"/>
  <c r="Q537" i="5"/>
  <c r="Q268" i="5"/>
  <c r="Q515" i="5"/>
  <c r="Q430" i="5"/>
  <c r="Q557" i="5"/>
  <c r="Q403" i="5"/>
  <c r="Q539" i="5"/>
  <c r="Q26" i="5"/>
  <c r="Q22" i="5"/>
  <c r="Q33" i="5"/>
  <c r="Q51" i="5"/>
  <c r="Q60" i="5"/>
  <c r="Q70" i="5"/>
  <c r="Q77" i="5"/>
  <c r="Q87" i="5"/>
  <c r="Q103" i="5"/>
  <c r="Q119" i="5"/>
  <c r="Q153" i="5"/>
  <c r="Q138" i="5"/>
  <c r="Q102" i="5"/>
  <c r="Q129" i="5"/>
  <c r="Q92" i="5"/>
  <c r="Q145" i="5"/>
  <c r="Q183" i="5"/>
  <c r="Q207" i="5"/>
  <c r="Q236" i="5"/>
  <c r="Q189" i="5"/>
  <c r="Q230" i="5"/>
  <c r="Q206" i="5"/>
  <c r="Q237" i="5"/>
  <c r="Q246" i="5"/>
  <c r="Q299" i="5"/>
  <c r="Q333" i="5"/>
  <c r="Q255" i="5"/>
  <c r="Q298" i="5"/>
  <c r="Q330" i="5"/>
  <c r="Q243" i="5"/>
  <c r="Q278" i="5"/>
  <c r="Q317" i="5"/>
  <c r="Q350" i="5"/>
  <c r="Q332" i="5"/>
  <c r="Q385" i="5"/>
  <c r="Q418" i="5"/>
  <c r="Q245" i="5"/>
  <c r="Q343" i="5"/>
  <c r="Q379" i="5"/>
  <c r="Q414" i="5"/>
  <c r="Q351" i="5"/>
  <c r="Q397" i="5"/>
  <c r="Q318" i="5"/>
  <c r="Q433" i="5"/>
  <c r="Q471" i="5"/>
  <c r="Q503" i="5"/>
  <c r="Q252" i="5"/>
  <c r="Q422" i="5"/>
  <c r="Q467" i="5"/>
  <c r="Q490" i="5"/>
  <c r="Q197" i="5"/>
  <c r="Q450" i="5"/>
  <c r="Q509" i="5"/>
  <c r="Q541" i="5"/>
  <c r="Q447" i="5"/>
  <c r="Q532" i="5"/>
  <c r="Q443" i="5"/>
  <c r="Q459" i="5"/>
  <c r="Q427" i="5"/>
  <c r="Q540" i="5"/>
  <c r="Q31" i="5"/>
  <c r="Q23" i="5"/>
  <c r="Q35" i="5"/>
  <c r="Q59" i="5"/>
  <c r="Q63" i="5"/>
  <c r="Q74" i="5"/>
  <c r="Q79" i="5"/>
  <c r="Q90" i="5"/>
  <c r="Q106" i="5"/>
  <c r="Q123" i="5"/>
  <c r="Q154" i="5"/>
  <c r="Q140" i="5"/>
  <c r="Q105" i="5"/>
  <c r="Q134" i="5"/>
  <c r="Q115" i="5"/>
  <c r="Q161" i="5"/>
  <c r="Q185" i="5"/>
  <c r="Q181" i="5"/>
  <c r="Q238" i="5"/>
  <c r="Q191" i="5"/>
  <c r="Q233" i="5"/>
  <c r="Q209" i="5"/>
  <c r="Q242" i="5"/>
  <c r="Q258" i="5"/>
  <c r="Q302" i="5"/>
  <c r="Q196" i="5"/>
  <c r="Q259" i="5"/>
  <c r="Q300" i="5"/>
  <c r="Q141" i="5"/>
  <c r="Q260" i="5"/>
  <c r="Q283" i="5"/>
  <c r="Q319" i="5"/>
  <c r="Q357" i="5"/>
  <c r="Q334" i="5"/>
  <c r="Q386" i="5"/>
  <c r="Q423" i="5"/>
  <c r="Q249" i="5"/>
  <c r="Q349" i="5"/>
  <c r="Q382" i="5"/>
  <c r="Q417" i="5"/>
  <c r="Q358" i="5"/>
  <c r="Q398" i="5"/>
  <c r="Q359" i="5"/>
  <c r="Q453" i="5"/>
  <c r="Q473" i="5"/>
  <c r="Q511" i="5"/>
  <c r="Q301" i="5"/>
  <c r="Q425" i="5"/>
  <c r="Q469" i="5"/>
  <c r="Q492" i="5"/>
  <c r="Q342" i="5"/>
  <c r="Q465" i="5"/>
  <c r="Q518" i="5"/>
  <c r="Q542" i="5"/>
  <c r="Q451" i="5"/>
  <c r="Q547" i="5"/>
  <c r="Q460" i="5"/>
  <c r="Q466" i="5"/>
  <c r="Q429" i="5"/>
  <c r="Q19" i="5"/>
  <c r="Q42" i="5"/>
  <c r="Q36" i="5"/>
  <c r="Q41" i="5"/>
  <c r="Q67" i="5"/>
  <c r="Q57" i="5"/>
  <c r="Q81" i="5"/>
  <c r="Q91" i="5"/>
  <c r="Q110" i="5"/>
  <c r="Q89" i="5"/>
  <c r="Q133" i="5"/>
  <c r="Q53" i="5"/>
  <c r="Q146" i="5"/>
  <c r="Q118" i="5"/>
  <c r="Q147" i="5"/>
  <c r="Q163" i="5"/>
  <c r="Q166" i="5"/>
  <c r="Q164" i="5"/>
  <c r="Q193" i="5"/>
  <c r="Q250" i="5"/>
  <c r="Q210" i="5"/>
  <c r="Q165" i="5"/>
  <c r="Q217" i="5"/>
  <c r="Q101" i="5"/>
  <c r="Q269" i="5"/>
  <c r="Q313" i="5"/>
  <c r="Q215" i="5"/>
  <c r="Q271" i="5"/>
  <c r="Q305" i="5"/>
  <c r="Q173" i="5"/>
  <c r="Q265" i="5"/>
  <c r="Q287" i="5"/>
  <c r="Q329" i="5"/>
  <c r="Q257" i="5"/>
  <c r="Q356" i="5"/>
  <c r="Q391" i="5"/>
  <c r="Q431" i="5"/>
  <c r="Q279" i="5"/>
  <c r="Q354" i="5"/>
  <c r="Q388" i="5"/>
  <c r="Q263" i="5"/>
  <c r="Q370" i="5"/>
  <c r="Q405" i="5"/>
  <c r="Q378" i="5"/>
  <c r="Q455" i="5"/>
  <c r="Q475" i="5"/>
  <c r="Q519" i="5"/>
  <c r="Q337" i="5"/>
  <c r="Q435" i="5"/>
  <c r="Q477" i="5"/>
  <c r="Q495" i="5"/>
  <c r="Q426" i="5"/>
  <c r="Q479" i="5"/>
  <c r="Q529" i="5"/>
  <c r="Q545" i="5"/>
  <c r="Q481" i="5"/>
  <c r="Q552" i="5"/>
  <c r="Q522" i="5"/>
  <c r="Q525" i="5"/>
  <c r="Q499" i="5"/>
  <c r="O11" i="5"/>
  <c r="Q45" i="5"/>
  <c r="Q43" i="5"/>
  <c r="Q46" i="5"/>
  <c r="Q38" i="5"/>
  <c r="Q61" i="5"/>
  <c r="Q28" i="5"/>
  <c r="Q76" i="5"/>
  <c r="Q111" i="5"/>
  <c r="Q99" i="5"/>
  <c r="Q135" i="5"/>
  <c r="Q98" i="5"/>
  <c r="Q149" i="5"/>
  <c r="Q121" i="5"/>
  <c r="Q148" i="5"/>
  <c r="Q169" i="5"/>
  <c r="Q172" i="5"/>
  <c r="Q170" i="5"/>
  <c r="Q198" i="5"/>
  <c r="Q251" i="5"/>
  <c r="Q219" i="5"/>
  <c r="Q171" i="5"/>
  <c r="Q222" i="5"/>
  <c r="Q187" i="5"/>
  <c r="Q276" i="5"/>
  <c r="Q316" i="5"/>
  <c r="Q218" i="5"/>
  <c r="Q281" i="5"/>
  <c r="Q307" i="5"/>
  <c r="Q211" i="5"/>
  <c r="Q267" i="5"/>
  <c r="Q294" i="5"/>
  <c r="Q339" i="5"/>
  <c r="Q273" i="5"/>
  <c r="Q371" i="5"/>
  <c r="Q396" i="5"/>
  <c r="Q438" i="5"/>
  <c r="Q282" i="5"/>
  <c r="Q361" i="5"/>
  <c r="Q399" i="5"/>
  <c r="Q322" i="5"/>
  <c r="Q374" i="5"/>
  <c r="Q406" i="5"/>
  <c r="Q381" i="5"/>
  <c r="Q461" i="5"/>
  <c r="Q483" i="5"/>
  <c r="Q521" i="5"/>
  <c r="Q345" i="5"/>
  <c r="Q436" i="5"/>
  <c r="Q482" i="5"/>
  <c r="Q506" i="5"/>
  <c r="Q437" i="5"/>
  <c r="Q484" i="5"/>
  <c r="Q530" i="5"/>
  <c r="Q548" i="5"/>
  <c r="Q491" i="5"/>
  <c r="Q555" i="5"/>
  <c r="Q549" i="5"/>
  <c r="Q533" i="5"/>
  <c r="Q505" i="5"/>
  <c r="Q93" i="5"/>
  <c r="Q162" i="5"/>
  <c r="Q266" i="5"/>
  <c r="Q324" i="5"/>
  <c r="Q419" i="5"/>
  <c r="Q434" i="5"/>
  <c r="Q551" i="5"/>
  <c r="Q39" i="5"/>
  <c r="Q109" i="5"/>
  <c r="Q132" i="5"/>
  <c r="Q311" i="5"/>
  <c r="Q254" i="5"/>
  <c r="Q367" i="5"/>
  <c r="Q470" i="5"/>
  <c r="Q507" i="5"/>
  <c r="Q34" i="5"/>
  <c r="Q131" i="5"/>
  <c r="Q190" i="5"/>
  <c r="Q212" i="5"/>
  <c r="Q355" i="5"/>
  <c r="Q401" i="5"/>
  <c r="Q493" i="5"/>
  <c r="Q513" i="5"/>
  <c r="Q37" i="5"/>
  <c r="Q158" i="5"/>
  <c r="Q241" i="5"/>
  <c r="Q261" i="5"/>
  <c r="Q389" i="5"/>
  <c r="Q366" i="5"/>
  <c r="Q362" i="5"/>
  <c r="Q458" i="5"/>
  <c r="Q78" i="5"/>
  <c r="Q139" i="5"/>
  <c r="Q214" i="5"/>
  <c r="Q262" i="5"/>
  <c r="Q353" i="5"/>
  <c r="Q517" i="5"/>
  <c r="Q543" i="5"/>
  <c r="Q84" i="5"/>
  <c r="Q122" i="5"/>
  <c r="Q244" i="5"/>
  <c r="Q286" i="5"/>
  <c r="Q383" i="5"/>
  <c r="Q335" i="5"/>
  <c r="Q478" i="5"/>
  <c r="Q167" i="5"/>
  <c r="Q62" i="5"/>
  <c r="Q428" i="5"/>
  <c r="Q66" i="5"/>
  <c r="Q270" i="5"/>
  <c r="Q474" i="5"/>
  <c r="Q143" i="5"/>
  <c r="Q454" i="5"/>
  <c r="Q113" i="5"/>
  <c r="Q97" i="5"/>
  <c r="Q528" i="5"/>
  <c r="Q303" i="5"/>
  <c r="Q194" i="5"/>
  <c r="Q476" i="5"/>
  <c r="B37" i="5"/>
  <c r="AN272" i="5"/>
  <c r="AO272" i="5"/>
  <c r="U64" i="5"/>
  <c r="V64" i="5"/>
  <c r="AM193" i="5"/>
  <c r="AM59" i="5"/>
  <c r="T554" i="5"/>
  <c r="T546" i="5"/>
  <c r="T432" i="5"/>
  <c r="T448" i="5"/>
  <c r="T408" i="5"/>
  <c r="T280" i="5"/>
  <c r="T296" i="5"/>
  <c r="AM104" i="5"/>
  <c r="AM379" i="5"/>
  <c r="AM307" i="5"/>
  <c r="AM91" i="5"/>
  <c r="AM292" i="5"/>
  <c r="AM20" i="5"/>
  <c r="T38" i="5"/>
  <c r="T34" i="5"/>
  <c r="T70" i="5"/>
  <c r="T55" i="5"/>
  <c r="T89" i="5"/>
  <c r="T105" i="5"/>
  <c r="T87" i="5"/>
  <c r="T84" i="5"/>
  <c r="T43" i="5"/>
  <c r="T33" i="5"/>
  <c r="T66" i="5"/>
  <c r="T25" i="5"/>
  <c r="T83" i="5"/>
  <c r="T121" i="5"/>
  <c r="T26" i="5"/>
  <c r="T47" i="5"/>
  <c r="T27" i="5"/>
  <c r="T41" i="5"/>
  <c r="T94" i="5"/>
  <c r="T117" i="5"/>
  <c r="T52" i="5"/>
  <c r="T59" i="5"/>
  <c r="T74" i="5"/>
  <c r="T98" i="5"/>
  <c r="T91" i="5"/>
  <c r="T139" i="5"/>
  <c r="T39" i="5"/>
  <c r="T35" i="5"/>
  <c r="T95" i="5"/>
  <c r="T155" i="5"/>
  <c r="T151" i="5"/>
  <c r="T187" i="5"/>
  <c r="T154" i="5"/>
  <c r="T201" i="5"/>
  <c r="T211" i="5"/>
  <c r="T159" i="5"/>
  <c r="T243" i="5"/>
  <c r="T225" i="5"/>
  <c r="T249" i="5"/>
  <c r="T274" i="5"/>
  <c r="T318" i="5"/>
  <c r="T250" i="5"/>
  <c r="T292" i="5"/>
  <c r="T259" i="5"/>
  <c r="T290" i="5"/>
  <c r="T310" i="5"/>
  <c r="T354" i="5"/>
  <c r="T362" i="5"/>
  <c r="T393" i="5"/>
  <c r="T317" i="5"/>
  <c r="T385" i="5"/>
  <c r="T162" i="5"/>
  <c r="T340" i="5"/>
  <c r="T379" i="5"/>
  <c r="T451" i="5"/>
  <c r="T494" i="5"/>
  <c r="T525" i="5"/>
  <c r="T431" i="5"/>
  <c r="T517" i="5"/>
  <c r="T374" i="5"/>
  <c r="T425" i="5"/>
  <c r="T461" i="5"/>
  <c r="T487" i="5"/>
  <c r="T531" i="5"/>
  <c r="T346" i="5"/>
  <c r="T22" i="5"/>
  <c r="T63" i="5"/>
  <c r="T107" i="5"/>
  <c r="T106" i="5"/>
  <c r="T156" i="5"/>
  <c r="T125" i="5"/>
  <c r="T118" i="5"/>
  <c r="T161" i="5"/>
  <c r="T204" i="5"/>
  <c r="T215" i="5"/>
  <c r="T166" i="5"/>
  <c r="T174" i="5"/>
  <c r="T230" i="5"/>
  <c r="T252" i="5"/>
  <c r="T279" i="5"/>
  <c r="T322" i="5"/>
  <c r="T251" i="5"/>
  <c r="T299" i="5"/>
  <c r="T331" i="5"/>
  <c r="T261" i="5"/>
  <c r="T293" i="5"/>
  <c r="T356" i="5"/>
  <c r="T315" i="5"/>
  <c r="T364" i="5"/>
  <c r="T429" i="5"/>
  <c r="T341" i="5"/>
  <c r="T386" i="5"/>
  <c r="T195" i="5"/>
  <c r="T348" i="5"/>
  <c r="T382" i="5"/>
  <c r="T411" i="5"/>
  <c r="T428" i="5"/>
  <c r="T458" i="5"/>
  <c r="T499" i="5"/>
  <c r="T532" i="5"/>
  <c r="T438" i="5"/>
  <c r="T468" i="5"/>
  <c r="T498" i="5"/>
  <c r="T519" i="5"/>
  <c r="T377" i="5"/>
  <c r="T434" i="5"/>
  <c r="T463" i="5"/>
  <c r="T489" i="5"/>
  <c r="T540" i="5"/>
  <c r="T544" i="5"/>
  <c r="T514" i="5"/>
  <c r="T555" i="5"/>
  <c r="T549" i="5"/>
  <c r="T479" i="5"/>
  <c r="T36" i="5"/>
  <c r="T76" i="5"/>
  <c r="T85" i="5"/>
  <c r="T109" i="5"/>
  <c r="T114" i="5"/>
  <c r="T134" i="5"/>
  <c r="T133" i="5"/>
  <c r="T172" i="5"/>
  <c r="T206" i="5"/>
  <c r="T223" i="5"/>
  <c r="T199" i="5"/>
  <c r="T180" i="5"/>
  <c r="T233" i="5"/>
  <c r="T254" i="5"/>
  <c r="T282" i="5"/>
  <c r="T327" i="5"/>
  <c r="T258" i="5"/>
  <c r="T302" i="5"/>
  <c r="T321" i="5"/>
  <c r="T262" i="5"/>
  <c r="T329" i="5"/>
  <c r="T366" i="5"/>
  <c r="T403" i="5"/>
  <c r="T433" i="5"/>
  <c r="T369" i="5"/>
  <c r="T389" i="5"/>
  <c r="T228" i="5"/>
  <c r="T353" i="5"/>
  <c r="T383" i="5"/>
  <c r="T414" i="5"/>
  <c r="T430" i="5"/>
  <c r="T460" i="5"/>
  <c r="T505" i="5"/>
  <c r="T533" i="5"/>
  <c r="T442" i="5"/>
  <c r="T471" i="5"/>
  <c r="O10" i="5"/>
  <c r="AJ10" i="5" s="1"/>
  <c r="T53" i="5"/>
  <c r="T57" i="5"/>
  <c r="T101" i="5"/>
  <c r="T115" i="5"/>
  <c r="T149" i="5"/>
  <c r="T140" i="5"/>
  <c r="T183" i="5"/>
  <c r="T188" i="5"/>
  <c r="T212" i="5"/>
  <c r="T191" i="5"/>
  <c r="T235" i="5"/>
  <c r="T260" i="5"/>
  <c r="T289" i="5"/>
  <c r="T332" i="5"/>
  <c r="T266" i="5"/>
  <c r="T311" i="5"/>
  <c r="T226" i="5"/>
  <c r="T268" i="5"/>
  <c r="T298" i="5"/>
  <c r="T326" i="5"/>
  <c r="T267" i="5"/>
  <c r="T337" i="5"/>
  <c r="T367" i="5"/>
  <c r="T405" i="5"/>
  <c r="T436" i="5"/>
  <c r="T371" i="5"/>
  <c r="T391" i="5"/>
  <c r="T355" i="5"/>
  <c r="T388" i="5"/>
  <c r="T417" i="5"/>
  <c r="T466" i="5"/>
  <c r="T507" i="5"/>
  <c r="T537" i="5"/>
  <c r="T453" i="5"/>
  <c r="T474" i="5"/>
  <c r="T501" i="5"/>
  <c r="T522" i="5"/>
  <c r="T398" i="5"/>
  <c r="T439" i="5"/>
  <c r="T470" i="5"/>
  <c r="T493" i="5"/>
  <c r="T557" i="5"/>
  <c r="T465" i="5"/>
  <c r="T545" i="5"/>
  <c r="T406" i="5"/>
  <c r="T524" i="5"/>
  <c r="T559" i="5"/>
  <c r="T502" i="5"/>
  <c r="T61" i="5"/>
  <c r="T37" i="5"/>
  <c r="T123" i="5"/>
  <c r="T119" i="5"/>
  <c r="T171" i="5"/>
  <c r="T169" i="5"/>
  <c r="T185" i="5"/>
  <c r="T196" i="5"/>
  <c r="T227" i="5"/>
  <c r="T222" i="5"/>
  <c r="T236" i="5"/>
  <c r="T263" i="5"/>
  <c r="T295" i="5"/>
  <c r="T334" i="5"/>
  <c r="T276" i="5"/>
  <c r="T313" i="5"/>
  <c r="T231" i="5"/>
  <c r="T269" i="5"/>
  <c r="T300" i="5"/>
  <c r="T330" i="5"/>
  <c r="T342" i="5"/>
  <c r="T378" i="5"/>
  <c r="T410" i="5"/>
  <c r="T437" i="5"/>
  <c r="T372" i="5"/>
  <c r="T396" i="5"/>
  <c r="T275" i="5"/>
  <c r="T361" i="5"/>
  <c r="T287" i="5"/>
  <c r="T441" i="5"/>
  <c r="T508" i="5"/>
  <c r="T339" i="5"/>
  <c r="T454" i="5"/>
  <c r="T475" i="5"/>
  <c r="T503" i="5"/>
  <c r="T333" i="5"/>
  <c r="T401" i="5"/>
  <c r="T446" i="5"/>
  <c r="T473" i="5"/>
  <c r="T495" i="5"/>
  <c r="T560" i="5"/>
  <c r="T484" i="5"/>
  <c r="T412" i="5"/>
  <c r="T527" i="5"/>
  <c r="T449" i="5"/>
  <c r="T397" i="5"/>
  <c r="T509" i="5"/>
  <c r="T30" i="5"/>
  <c r="T92" i="5"/>
  <c r="T93" i="5"/>
  <c r="T131" i="5"/>
  <c r="T130" i="5"/>
  <c r="T173" i="5"/>
  <c r="T170" i="5"/>
  <c r="T186" i="5"/>
  <c r="T203" i="5"/>
  <c r="T239" i="5"/>
  <c r="T229" i="5"/>
  <c r="T207" i="5"/>
  <c r="T265" i="5"/>
  <c r="T301" i="5"/>
  <c r="T135" i="5"/>
  <c r="T284" i="5"/>
  <c r="T316" i="5"/>
  <c r="T246" i="5"/>
  <c r="T271" i="5"/>
  <c r="T303" i="5"/>
  <c r="T335" i="5"/>
  <c r="T283" i="5"/>
  <c r="T345" i="5"/>
  <c r="T381" i="5"/>
  <c r="T415" i="5"/>
  <c r="T214" i="5"/>
  <c r="T375" i="5"/>
  <c r="T407" i="5"/>
  <c r="T294" i="5"/>
  <c r="T363" i="5"/>
  <c r="T399" i="5"/>
  <c r="T324" i="5"/>
  <c r="T443" i="5"/>
  <c r="T478" i="5"/>
  <c r="T513" i="5"/>
  <c r="T347" i="5"/>
  <c r="T358" i="5"/>
  <c r="T413" i="5"/>
  <c r="T452" i="5"/>
  <c r="T477" i="5"/>
  <c r="T506" i="5"/>
  <c r="T529" i="5"/>
  <c r="T548" i="5"/>
  <c r="T426" i="5"/>
  <c r="T543" i="5"/>
  <c r="T528" i="5"/>
  <c r="T423" i="5"/>
  <c r="T520" i="5"/>
  <c r="T28" i="5"/>
  <c r="T50" i="5"/>
  <c r="T82" i="5"/>
  <c r="T126" i="5"/>
  <c r="T137" i="5"/>
  <c r="T138" i="5"/>
  <c r="T177" i="5"/>
  <c r="T79" i="5"/>
  <c r="T190" i="5"/>
  <c r="T205" i="5"/>
  <c r="T245" i="5"/>
  <c r="T210" i="5"/>
  <c r="T241" i="5"/>
  <c r="T270" i="5"/>
  <c r="T306" i="5"/>
  <c r="T237" i="5"/>
  <c r="T323" i="5"/>
  <c r="T253" i="5"/>
  <c r="T281" i="5"/>
  <c r="T305" i="5"/>
  <c r="T343" i="5"/>
  <c r="T286" i="5"/>
  <c r="T350" i="5"/>
  <c r="T387" i="5"/>
  <c r="T420" i="5"/>
  <c r="T247" i="5"/>
  <c r="T409" i="5"/>
  <c r="T319" i="5"/>
  <c r="T365" i="5"/>
  <c r="T402" i="5"/>
  <c r="T357" i="5"/>
  <c r="T447" i="5"/>
  <c r="T481" i="5"/>
  <c r="T515" i="5"/>
  <c r="T351" i="5"/>
  <c r="T459" i="5"/>
  <c r="T483" i="5"/>
  <c r="T511" i="5"/>
  <c r="T455" i="5"/>
  <c r="T482" i="5"/>
  <c r="T510" i="5"/>
  <c r="T338" i="5"/>
  <c r="T550" i="5"/>
  <c r="T450" i="5"/>
  <c r="T551" i="5"/>
  <c r="T530" i="5"/>
  <c r="T445" i="5"/>
  <c r="T523" i="5"/>
  <c r="T44" i="5"/>
  <c r="T194" i="5"/>
  <c r="T244" i="5"/>
  <c r="T359" i="5"/>
  <c r="T404" i="5"/>
  <c r="T500" i="5"/>
  <c r="T467" i="5"/>
  <c r="T539" i="5"/>
  <c r="T552" i="5"/>
  <c r="T67" i="5"/>
  <c r="T291" i="5"/>
  <c r="T390" i="5"/>
  <c r="T370" i="5"/>
  <c r="T486" i="5"/>
  <c r="T542" i="5"/>
  <c r="T553" i="5"/>
  <c r="T19" i="5"/>
  <c r="T69" i="5"/>
  <c r="T150" i="5"/>
  <c r="T325" i="5"/>
  <c r="T421" i="5"/>
  <c r="T521" i="5"/>
  <c r="T492" i="5"/>
  <c r="T419" i="5"/>
  <c r="T141" i="5"/>
  <c r="T242" i="5"/>
  <c r="T297" i="5"/>
  <c r="T491" i="5"/>
  <c r="T541" i="5"/>
  <c r="T535" i="5"/>
  <c r="T142" i="5"/>
  <c r="T221" i="5"/>
  <c r="T285" i="5"/>
  <c r="T380" i="5"/>
  <c r="T516" i="5"/>
  <c r="T395" i="5"/>
  <c r="T556" i="5"/>
  <c r="T394" i="5"/>
  <c r="T547" i="5"/>
  <c r="T146" i="5"/>
  <c r="T307" i="5"/>
  <c r="T418" i="5"/>
  <c r="T427" i="5"/>
  <c r="T422" i="5"/>
  <c r="T490" i="5"/>
  <c r="T558" i="5"/>
  <c r="T181" i="5"/>
  <c r="T273" i="5"/>
  <c r="T349" i="5"/>
  <c r="T462" i="5"/>
  <c r="T435" i="5"/>
  <c r="T444" i="5"/>
  <c r="T497" i="5"/>
  <c r="T469" i="5"/>
  <c r="T457" i="5"/>
  <c r="T536" i="5"/>
  <c r="T518" i="5"/>
  <c r="T100" i="5"/>
  <c r="T476" i="5"/>
  <c r="T314" i="5"/>
  <c r="T309" i="5"/>
  <c r="T373" i="5"/>
  <c r="T485" i="5"/>
  <c r="AM35" i="5"/>
  <c r="U8" i="4"/>
  <c r="V8" i="4"/>
  <c r="AS8" i="4"/>
  <c r="AM99" i="5"/>
  <c r="AM448" i="5"/>
  <c r="T464" i="5"/>
  <c r="T480" i="5"/>
  <c r="T328" i="5"/>
  <c r="T344" i="5"/>
  <c r="T376" i="5"/>
  <c r="T392" i="5"/>
  <c r="T248" i="5"/>
  <c r="T264" i="5"/>
  <c r="AM280" i="5"/>
  <c r="T160" i="5"/>
  <c r="T24" i="5"/>
  <c r="AM387" i="5"/>
  <c r="AM123" i="5"/>
  <c r="AM107" i="5"/>
  <c r="AM300" i="5"/>
  <c r="AM177" i="5"/>
  <c r="AM57" i="5"/>
  <c r="AS66" i="4"/>
  <c r="AM464" i="5"/>
  <c r="AM480" i="5"/>
  <c r="T496" i="5"/>
  <c r="T512" i="5"/>
  <c r="T360" i="5"/>
  <c r="AM408" i="5"/>
  <c r="T224" i="5"/>
  <c r="AM248" i="5"/>
  <c r="AM120" i="5"/>
  <c r="AM184" i="5"/>
  <c r="T208" i="5"/>
  <c r="T88" i="5"/>
  <c r="U93" i="4"/>
  <c r="AJ451" i="5"/>
  <c r="AL451" i="5" s="1"/>
  <c r="AJ465" i="5"/>
  <c r="AK465" i="5" s="1"/>
  <c r="AM308" i="5"/>
  <c r="AM121" i="5"/>
  <c r="T526" i="5"/>
  <c r="AM424" i="5"/>
  <c r="T440" i="5"/>
  <c r="AM344" i="5"/>
  <c r="AM376" i="5"/>
  <c r="T304" i="5"/>
  <c r="AM144" i="5"/>
  <c r="T32" i="5"/>
  <c r="T112" i="5"/>
  <c r="T424" i="5"/>
  <c r="T456" i="5"/>
  <c r="T336" i="5"/>
  <c r="T400" i="5"/>
  <c r="T272" i="5"/>
  <c r="AM208" i="5"/>
  <c r="T56" i="5"/>
  <c r="AM535" i="5"/>
  <c r="AM337" i="5"/>
  <c r="AM257" i="5"/>
  <c r="AM153" i="5"/>
  <c r="AM227" i="5"/>
  <c r="AM203" i="5"/>
  <c r="AM236" i="5"/>
  <c r="AM148" i="5"/>
  <c r="AM60" i="5"/>
  <c r="T538" i="5"/>
  <c r="AM440" i="5"/>
  <c r="T472" i="5"/>
  <c r="T504" i="5"/>
  <c r="AM336" i="5"/>
  <c r="T352" i="5"/>
  <c r="T368" i="5"/>
  <c r="T416" i="5"/>
  <c r="T232" i="5"/>
  <c r="T288" i="5"/>
  <c r="T192" i="5"/>
  <c r="T80" i="5"/>
  <c r="S96" i="5"/>
  <c r="R96" i="5"/>
  <c r="AM36" i="5"/>
  <c r="AM67" i="5"/>
  <c r="AM75" i="5"/>
  <c r="AM74" i="5"/>
  <c r="AM100" i="5"/>
  <c r="AM124" i="5"/>
  <c r="AM166" i="5"/>
  <c r="AM201" i="5"/>
  <c r="AM196" i="5"/>
  <c r="AM215" i="5"/>
  <c r="AM291" i="5"/>
  <c r="AM317" i="5"/>
  <c r="AM295" i="5"/>
  <c r="AM357" i="5"/>
  <c r="AM411" i="5"/>
  <c r="AM22" i="5"/>
  <c r="AM21" i="5"/>
  <c r="AM102" i="5"/>
  <c r="AM117" i="5"/>
  <c r="AM170" i="5"/>
  <c r="AM165" i="5"/>
  <c r="AM214" i="5"/>
  <c r="AM237" i="5"/>
  <c r="AM303" i="5"/>
  <c r="AM321" i="5"/>
  <c r="AM309" i="5"/>
  <c r="AM218" i="5"/>
  <c r="AM414" i="5"/>
  <c r="AM375" i="5"/>
  <c r="AM461" i="5"/>
  <c r="AM381" i="5"/>
  <c r="AM545" i="5"/>
  <c r="AM553" i="5"/>
  <c r="AM541" i="5"/>
  <c r="AM37" i="5"/>
  <c r="AM52" i="5"/>
  <c r="AM76" i="5"/>
  <c r="AM86" i="5"/>
  <c r="AM101" i="5"/>
  <c r="AM180" i="5"/>
  <c r="AM190" i="5"/>
  <c r="AM217" i="5"/>
  <c r="AM191" i="5"/>
  <c r="AM323" i="5"/>
  <c r="AM188" i="5"/>
  <c r="AM310" i="5"/>
  <c r="AM316" i="5"/>
  <c r="AM428" i="5"/>
  <c r="AM377" i="5"/>
  <c r="AM333" i="5"/>
  <c r="AM515" i="5"/>
  <c r="AM468" i="5"/>
  <c r="AM405" i="5"/>
  <c r="AM489" i="5"/>
  <c r="AM229" i="5"/>
  <c r="AM558" i="5"/>
  <c r="AM542" i="5"/>
  <c r="AM30" i="5"/>
  <c r="AM63" i="5"/>
  <c r="AM77" i="5"/>
  <c r="AM94" i="5"/>
  <c r="AM126" i="5"/>
  <c r="AM134" i="5"/>
  <c r="AM213" i="5"/>
  <c r="AM226" i="5"/>
  <c r="AM327" i="5"/>
  <c r="AM241" i="5"/>
  <c r="AM315" i="5"/>
  <c r="AM319" i="5"/>
  <c r="AM386" i="5"/>
  <c r="AM531" i="5"/>
  <c r="AM470" i="5"/>
  <c r="AM441" i="5"/>
  <c r="AM494" i="5"/>
  <c r="AM297" i="5"/>
  <c r="AM559" i="5"/>
  <c r="AM44" i="5"/>
  <c r="AM55" i="5"/>
  <c r="AM84" i="5"/>
  <c r="AM138" i="5"/>
  <c r="AM143" i="5"/>
  <c r="AM242" i="5"/>
  <c r="AM246" i="5"/>
  <c r="AM247" i="5"/>
  <c r="AM329" i="5"/>
  <c r="AM250" i="5"/>
  <c r="AM399" i="5"/>
  <c r="AM342" i="5"/>
  <c r="AM401" i="5"/>
  <c r="AM382" i="5"/>
  <c r="AM443" i="5"/>
  <c r="AM502" i="5"/>
  <c r="AM425" i="5"/>
  <c r="AM524" i="5"/>
  <c r="AM46" i="5"/>
  <c r="AM54" i="5"/>
  <c r="AM146" i="5"/>
  <c r="AM158" i="5"/>
  <c r="AM230" i="5"/>
  <c r="AM244" i="5"/>
  <c r="AM266" i="5"/>
  <c r="AM269" i="5"/>
  <c r="AM255" i="5"/>
  <c r="AM330" i="5"/>
  <c r="AM373" i="5"/>
  <c r="AM277" i="5"/>
  <c r="AM402" i="5"/>
  <c r="AM364" i="5"/>
  <c r="AM452" i="5"/>
  <c r="AM391" i="5"/>
  <c r="AM507" i="5"/>
  <c r="AM453" i="5"/>
  <c r="AM503" i="5"/>
  <c r="AM513" i="5"/>
  <c r="AM544" i="5"/>
  <c r="AM483" i="5"/>
  <c r="AM90" i="5"/>
  <c r="AM154" i="5"/>
  <c r="AM181" i="5"/>
  <c r="AM183" i="5"/>
  <c r="AM271" i="5"/>
  <c r="AM268" i="5"/>
  <c r="AM339" i="5"/>
  <c r="AM345" i="5"/>
  <c r="AM417" i="5"/>
  <c r="AM366" i="5"/>
  <c r="AM460" i="5"/>
  <c r="AM403" i="5"/>
  <c r="AM511" i="5"/>
  <c r="AM466" i="5"/>
  <c r="AM509" i="5"/>
  <c r="AM517" i="5"/>
  <c r="AM407" i="5"/>
  <c r="AM19" i="5"/>
  <c r="AM151" i="5"/>
  <c r="AM275" i="5"/>
  <c r="AM398" i="5"/>
  <c r="AM479" i="5"/>
  <c r="AM119" i="5"/>
  <c r="AM351" i="5"/>
  <c r="AM471" i="5"/>
  <c r="AM522" i="5"/>
  <c r="AM150" i="5"/>
  <c r="AM393" i="5"/>
  <c r="AM478" i="5"/>
  <c r="AM523" i="5"/>
  <c r="AM187" i="5"/>
  <c r="AM350" i="5"/>
  <c r="AM429" i="5"/>
  <c r="AM529" i="5"/>
  <c r="AM34" i="5"/>
  <c r="AM182" i="5"/>
  <c r="AM361" i="5"/>
  <c r="AM439" i="5"/>
  <c r="AM548" i="5"/>
  <c r="AM202" i="5"/>
  <c r="AM245" i="5"/>
  <c r="AM516" i="5"/>
  <c r="AM78" i="5"/>
  <c r="AM279" i="5"/>
  <c r="AM254" i="5"/>
  <c r="AM353" i="5"/>
  <c r="AM501" i="5"/>
  <c r="AM95" i="5"/>
  <c r="AM290" i="5"/>
  <c r="AM378" i="5"/>
  <c r="AM469" i="5"/>
  <c r="AS134" i="4"/>
  <c r="AM456" i="5"/>
  <c r="T488" i="5"/>
  <c r="T320" i="5"/>
  <c r="AM368" i="5"/>
  <c r="T384" i="5"/>
  <c r="AM400" i="5"/>
  <c r="T256" i="5"/>
  <c r="AM288" i="5"/>
  <c r="T312" i="5"/>
  <c r="T152" i="5"/>
  <c r="AM216" i="5"/>
  <c r="T8" i="5"/>
  <c r="B206" i="2"/>
  <c r="B255" i="2"/>
  <c r="AL64" i="5"/>
  <c r="AK64" i="5"/>
  <c r="U51" i="5"/>
  <c r="V51" i="5"/>
  <c r="AI299" i="5"/>
  <c r="AH299" i="5"/>
  <c r="AJ195" i="5"/>
  <c r="AJ519" i="5"/>
  <c r="AJ171" i="5"/>
  <c r="AJ457" i="5"/>
  <c r="AJ131" i="5"/>
  <c r="AJ59" i="5"/>
  <c r="AJ115" i="5"/>
  <c r="AI461" i="5"/>
  <c r="AH461" i="5"/>
  <c r="AH117" i="5"/>
  <c r="AI117" i="5"/>
  <c r="AI162" i="5"/>
  <c r="AH162" i="5"/>
  <c r="V81" i="4"/>
  <c r="AS81" i="4"/>
  <c r="U81" i="4"/>
  <c r="AJ533" i="5"/>
  <c r="AJ351" i="5"/>
  <c r="AJ383" i="5"/>
  <c r="AJ263" i="5"/>
  <c r="AJ159" i="5"/>
  <c r="AJ191" i="5"/>
  <c r="AJ95" i="5"/>
  <c r="B51" i="2"/>
  <c r="B32" i="2" s="1"/>
  <c r="AJ448" i="5"/>
  <c r="AJ504" i="5"/>
  <c r="AJ376" i="5"/>
  <c r="AJ120" i="5"/>
  <c r="AJ176" i="5"/>
  <c r="U40" i="5"/>
  <c r="AJ112" i="5"/>
  <c r="AJ369" i="5"/>
  <c r="AJ281" i="5"/>
  <c r="AJ203" i="5"/>
  <c r="AJ395" i="5"/>
  <c r="AJ155" i="5"/>
  <c r="AI389" i="5"/>
  <c r="AH389" i="5"/>
  <c r="AH494" i="5"/>
  <c r="AH154" i="5"/>
  <c r="AI154" i="5"/>
  <c r="AS43" i="4"/>
  <c r="AS50" i="4"/>
  <c r="AS32" i="4"/>
  <c r="U32" i="4"/>
  <c r="AJ447" i="5"/>
  <c r="AJ479" i="5"/>
  <c r="AJ231" i="5"/>
  <c r="AJ199" i="5"/>
  <c r="U71" i="5"/>
  <c r="V71" i="5"/>
  <c r="V153" i="5"/>
  <c r="U153" i="5"/>
  <c r="V308" i="5"/>
  <c r="U308" i="5"/>
  <c r="U42" i="5"/>
  <c r="V42" i="5"/>
  <c r="U90" i="5"/>
  <c r="V90" i="5"/>
  <c r="AJ512" i="5"/>
  <c r="AJ384" i="5"/>
  <c r="AJ256" i="5"/>
  <c r="AJ26" i="5"/>
  <c r="AJ33" i="5"/>
  <c r="AJ34" i="5"/>
  <c r="AJ36" i="5"/>
  <c r="AJ65" i="5"/>
  <c r="AJ58" i="5"/>
  <c r="AJ70" i="5"/>
  <c r="AJ141" i="5"/>
  <c r="AJ102" i="5"/>
  <c r="AJ188" i="5"/>
  <c r="AJ148" i="5"/>
  <c r="AJ214" i="5"/>
  <c r="AJ241" i="5"/>
  <c r="AJ253" i="5"/>
  <c r="AJ294" i="5"/>
  <c r="AJ329" i="5"/>
  <c r="AJ251" i="5"/>
  <c r="AJ213" i="5"/>
  <c r="AJ270" i="5"/>
  <c r="AJ297" i="5"/>
  <c r="AJ246" i="5"/>
  <c r="AJ345" i="5"/>
  <c r="AJ370" i="5"/>
  <c r="AJ38" i="5"/>
  <c r="AJ68" i="5"/>
  <c r="AJ101" i="5"/>
  <c r="AJ138" i="5"/>
  <c r="AJ116" i="5"/>
  <c r="AJ133" i="5"/>
  <c r="AJ180" i="5"/>
  <c r="AJ242" i="5"/>
  <c r="AJ234" i="5"/>
  <c r="AJ189" i="5"/>
  <c r="AJ218" i="5"/>
  <c r="AJ298" i="5"/>
  <c r="AJ330" i="5"/>
  <c r="AJ254" i="5"/>
  <c r="AJ314" i="5"/>
  <c r="AJ221" i="5"/>
  <c r="AJ333" i="5"/>
  <c r="AJ346" i="5"/>
  <c r="AJ342" i="5"/>
  <c r="AJ378" i="5"/>
  <c r="AJ420" i="5"/>
  <c r="AJ396" i="5"/>
  <c r="AJ338" i="5"/>
  <c r="AJ446" i="5"/>
  <c r="AJ506" i="5"/>
  <c r="AJ502" i="5"/>
  <c r="AJ517" i="5"/>
  <c r="AJ542" i="5"/>
  <c r="AJ550" i="5"/>
  <c r="AJ528" i="5"/>
  <c r="AJ548" i="5"/>
  <c r="AJ486" i="5"/>
  <c r="AJ44" i="5"/>
  <c r="AJ42" i="5"/>
  <c r="AJ50" i="5"/>
  <c r="AJ74" i="5"/>
  <c r="AJ78" i="5"/>
  <c r="AJ109" i="5"/>
  <c r="AJ100" i="5"/>
  <c r="AJ118" i="5"/>
  <c r="AJ149" i="5"/>
  <c r="AJ110" i="5"/>
  <c r="AJ186" i="5"/>
  <c r="AJ165" i="5"/>
  <c r="AJ194" i="5"/>
  <c r="AJ222" i="5"/>
  <c r="AJ193" i="5"/>
  <c r="AJ269" i="5"/>
  <c r="AJ305" i="5"/>
  <c r="AJ177" i="5"/>
  <c r="AJ257" i="5"/>
  <c r="AJ293" i="5"/>
  <c r="AJ250" i="5"/>
  <c r="AJ277" i="5"/>
  <c r="AJ308" i="5"/>
  <c r="AJ340" i="5"/>
  <c r="AJ356" i="5"/>
  <c r="AJ412" i="5"/>
  <c r="AJ349" i="5"/>
  <c r="AJ394" i="5"/>
  <c r="AJ401" i="5"/>
  <c r="AJ385" i="5"/>
  <c r="AJ461" i="5"/>
  <c r="AJ482" i="5"/>
  <c r="AJ418" i="5"/>
  <c r="AJ508" i="5"/>
  <c r="AJ417" i="5"/>
  <c r="AJ442" i="5"/>
  <c r="AJ527" i="5"/>
  <c r="AJ547" i="5"/>
  <c r="AJ556" i="5"/>
  <c r="AJ535" i="5"/>
  <c r="AJ497" i="5"/>
  <c r="AJ46" i="5"/>
  <c r="AJ45" i="5"/>
  <c r="AJ54" i="5"/>
  <c r="AJ84" i="5"/>
  <c r="AJ130" i="5"/>
  <c r="AJ157" i="5"/>
  <c r="AJ114" i="5"/>
  <c r="AJ164" i="5"/>
  <c r="AJ156" i="5"/>
  <c r="AJ170" i="5"/>
  <c r="AJ205" i="5"/>
  <c r="AJ226" i="5"/>
  <c r="AJ197" i="5"/>
  <c r="AJ198" i="5"/>
  <c r="AJ310" i="5"/>
  <c r="AJ322" i="5"/>
  <c r="AJ252" i="5"/>
  <c r="AJ282" i="5"/>
  <c r="AJ357" i="5"/>
  <c r="AJ380" i="5"/>
  <c r="AJ413" i="5"/>
  <c r="AJ354" i="5"/>
  <c r="AJ300" i="5"/>
  <c r="AJ381" i="5"/>
  <c r="AJ428" i="5"/>
  <c r="AJ484" i="5"/>
  <c r="AJ454" i="5"/>
  <c r="AJ509" i="5"/>
  <c r="AJ421" i="5"/>
  <c r="AJ445" i="5"/>
  <c r="AJ485" i="5"/>
  <c r="AJ552" i="5"/>
  <c r="AJ452" i="5"/>
  <c r="AJ22" i="5"/>
  <c r="AJ20" i="5"/>
  <c r="AJ21" i="5"/>
  <c r="AJ52" i="5"/>
  <c r="AJ61" i="5"/>
  <c r="AJ60" i="5"/>
  <c r="AJ85" i="5"/>
  <c r="AJ125" i="5"/>
  <c r="AJ158" i="5"/>
  <c r="AJ132" i="5"/>
  <c r="AJ150" i="5"/>
  <c r="AJ166" i="5"/>
  <c r="AJ173" i="5"/>
  <c r="AJ228" i="5"/>
  <c r="AJ172" i="5"/>
  <c r="AJ236" i="5"/>
  <c r="AJ278" i="5"/>
  <c r="AJ317" i="5"/>
  <c r="AJ230" i="5"/>
  <c r="AJ301" i="5"/>
  <c r="AJ324" i="5"/>
  <c r="AJ258" i="5"/>
  <c r="AJ286" i="5"/>
  <c r="AJ316" i="5"/>
  <c r="AJ274" i="5"/>
  <c r="AJ358" i="5"/>
  <c r="AJ398" i="5"/>
  <c r="AJ382" i="5"/>
  <c r="AJ405" i="5"/>
  <c r="AJ429" i="5"/>
  <c r="AJ492" i="5"/>
  <c r="AJ523" i="5"/>
  <c r="AJ436" i="5"/>
  <c r="AJ510" i="5"/>
  <c r="AJ422" i="5"/>
  <c r="AJ490" i="5"/>
  <c r="AJ558" i="5"/>
  <c r="AJ462" i="5"/>
  <c r="AJ514" i="5"/>
  <c r="AJ28" i="5"/>
  <c r="AJ57" i="5"/>
  <c r="AJ82" i="5"/>
  <c r="AJ106" i="5"/>
  <c r="AJ134" i="5"/>
  <c r="AJ140" i="5"/>
  <c r="AJ179" i="5"/>
  <c r="AJ204" i="5"/>
  <c r="AJ237" i="5"/>
  <c r="AJ232" i="5"/>
  <c r="AJ321" i="5"/>
  <c r="AJ287" i="5"/>
  <c r="AJ267" i="5"/>
  <c r="AJ355" i="5"/>
  <c r="AJ377" i="5"/>
  <c r="AJ434" i="5"/>
  <c r="AJ388" i="5"/>
  <c r="AJ372" i="5"/>
  <c r="AJ352" i="5"/>
  <c r="AJ480" i="5"/>
  <c r="AJ373" i="5"/>
  <c r="AJ481" i="5"/>
  <c r="AJ266" i="5"/>
  <c r="AJ437" i="5"/>
  <c r="AJ526" i="5"/>
  <c r="AJ404" i="5"/>
  <c r="AJ530" i="5"/>
  <c r="AJ498" i="5"/>
  <c r="AJ19" i="5"/>
  <c r="O13" i="5"/>
  <c r="AJ23" i="5"/>
  <c r="AJ39" i="5"/>
  <c r="AJ62" i="5"/>
  <c r="AJ93" i="5"/>
  <c r="AJ117" i="5"/>
  <c r="AJ136" i="5"/>
  <c r="AJ151" i="5"/>
  <c r="AJ137" i="5"/>
  <c r="AJ25" i="5"/>
  <c r="AJ63" i="5"/>
  <c r="AJ75" i="5"/>
  <c r="AJ94" i="5"/>
  <c r="AJ126" i="5"/>
  <c r="AJ145" i="5"/>
  <c r="AJ154" i="5"/>
  <c r="AJ182" i="5"/>
  <c r="AJ219" i="5"/>
  <c r="AJ181" i="5"/>
  <c r="AJ243" i="5"/>
  <c r="AJ331" i="5"/>
  <c r="AJ309" i="5"/>
  <c r="AJ289" i="5"/>
  <c r="AJ296" i="5"/>
  <c r="AJ390" i="5"/>
  <c r="AJ336" i="5"/>
  <c r="AJ406" i="5"/>
  <c r="AJ387" i="5"/>
  <c r="AJ440" i="5"/>
  <c r="AJ500" i="5"/>
  <c r="AJ441" i="5"/>
  <c r="AJ494" i="5"/>
  <c r="AJ393" i="5"/>
  <c r="AJ458" i="5"/>
  <c r="AJ538" i="5"/>
  <c r="AJ532" i="5"/>
  <c r="AJ551" i="5"/>
  <c r="AJ555" i="5"/>
  <c r="AJ37" i="5"/>
  <c r="AJ69" i="5"/>
  <c r="AJ76" i="5"/>
  <c r="AJ104" i="5"/>
  <c r="AJ128" i="5"/>
  <c r="AJ80" i="5"/>
  <c r="AJ139" i="5"/>
  <c r="AJ184" i="5"/>
  <c r="AJ235" i="5"/>
  <c r="AJ192" i="5"/>
  <c r="AJ247" i="5"/>
  <c r="AJ248" i="5"/>
  <c r="AJ315" i="5"/>
  <c r="AJ292" i="5"/>
  <c r="AJ337" i="5"/>
  <c r="AJ392" i="5"/>
  <c r="AJ341" i="5"/>
  <c r="AJ415" i="5"/>
  <c r="AJ391" i="5"/>
  <c r="AJ444" i="5"/>
  <c r="AJ505" i="5"/>
  <c r="AJ443" i="5"/>
  <c r="AJ499" i="5"/>
  <c r="AJ402" i="5"/>
  <c r="AJ460" i="5"/>
  <c r="AJ540" i="5"/>
  <c r="AJ549" i="5"/>
  <c r="AJ554" i="5"/>
  <c r="AJ557" i="5"/>
  <c r="AJ29" i="5"/>
  <c r="AJ53" i="5"/>
  <c r="AJ77" i="5"/>
  <c r="AJ90" i="5"/>
  <c r="AJ146" i="5"/>
  <c r="AJ86" i="5"/>
  <c r="AJ168" i="5"/>
  <c r="AJ196" i="5"/>
  <c r="AJ238" i="5"/>
  <c r="AJ206" i="5"/>
  <c r="AJ262" i="5"/>
  <c r="AJ249" i="5"/>
  <c r="AJ332" i="5"/>
  <c r="AJ304" i="5"/>
  <c r="AJ344" i="5"/>
  <c r="AJ408" i="5"/>
  <c r="AJ348" i="5"/>
  <c r="AJ259" i="5"/>
  <c r="AJ397" i="5"/>
  <c r="AJ453" i="5"/>
  <c r="AJ511" i="5"/>
  <c r="AJ450" i="5"/>
  <c r="AJ503" i="5"/>
  <c r="AJ414" i="5"/>
  <c r="AJ472" i="5"/>
  <c r="AJ544" i="5"/>
  <c r="AJ559" i="5"/>
  <c r="AJ560" i="5"/>
  <c r="AJ474" i="5"/>
  <c r="AJ30" i="5"/>
  <c r="AJ66" i="5"/>
  <c r="AJ73" i="5"/>
  <c r="AJ92" i="5"/>
  <c r="AJ161" i="5"/>
  <c r="AJ108" i="5"/>
  <c r="AJ174" i="5"/>
  <c r="AJ124" i="5"/>
  <c r="AJ244" i="5"/>
  <c r="AJ209" i="5"/>
  <c r="AJ284" i="5"/>
  <c r="AJ255" i="5"/>
  <c r="AJ190" i="5"/>
  <c r="AJ319" i="5"/>
  <c r="AJ350" i="5"/>
  <c r="AJ419" i="5"/>
  <c r="AJ364" i="5"/>
  <c r="AJ323" i="5"/>
  <c r="AJ407" i="5"/>
  <c r="AJ470" i="5"/>
  <c r="AJ537" i="5"/>
  <c r="AJ463" i="5"/>
  <c r="AJ513" i="5"/>
  <c r="AJ424" i="5"/>
  <c r="AJ491" i="5"/>
  <c r="AJ261" i="5"/>
  <c r="AJ468" i="5"/>
  <c r="AJ471" i="5"/>
  <c r="AJ529" i="5"/>
  <c r="AJ41" i="5"/>
  <c r="AJ27" i="5"/>
  <c r="AJ91" i="5"/>
  <c r="AJ98" i="5"/>
  <c r="AJ87" i="5"/>
  <c r="AJ123" i="5"/>
  <c r="AJ185" i="5"/>
  <c r="AJ142" i="5"/>
  <c r="AJ202" i="5"/>
  <c r="AJ220" i="5"/>
  <c r="AJ290" i="5"/>
  <c r="AJ268" i="5"/>
  <c r="AJ245" i="5"/>
  <c r="AJ325" i="5"/>
  <c r="AJ363" i="5"/>
  <c r="AJ426" i="5"/>
  <c r="AJ366" i="5"/>
  <c r="AJ343" i="5"/>
  <c r="AJ409" i="5"/>
  <c r="AJ476" i="5"/>
  <c r="AJ288" i="5"/>
  <c r="AJ466" i="5"/>
  <c r="AJ518" i="5"/>
  <c r="AJ425" i="5"/>
  <c r="AJ496" i="5"/>
  <c r="AJ279" i="5"/>
  <c r="AJ516" i="5"/>
  <c r="AJ475" i="5"/>
  <c r="AJ543" i="5"/>
  <c r="AJ24" i="5"/>
  <c r="AJ49" i="5"/>
  <c r="AJ67" i="5"/>
  <c r="AJ103" i="5"/>
  <c r="AJ122" i="5"/>
  <c r="AJ129" i="5"/>
  <c r="AJ178" i="5"/>
  <c r="AJ162" i="5"/>
  <c r="AJ215" i="5"/>
  <c r="AJ229" i="5"/>
  <c r="AJ302" i="5"/>
  <c r="AJ275" i="5"/>
  <c r="AJ260" i="5"/>
  <c r="AJ334" i="5"/>
  <c r="AJ365" i="5"/>
  <c r="AJ427" i="5"/>
  <c r="AJ374" i="5"/>
  <c r="AJ362" i="5"/>
  <c r="AJ410" i="5"/>
  <c r="AJ477" i="5"/>
  <c r="AJ361" i="5"/>
  <c r="AJ469" i="5"/>
  <c r="AJ520" i="5"/>
  <c r="AJ433" i="5"/>
  <c r="AJ501" i="5"/>
  <c r="AJ285" i="5"/>
  <c r="AJ522" i="5"/>
  <c r="AJ478" i="5"/>
  <c r="AJ545" i="5"/>
  <c r="AJ212" i="5"/>
  <c r="AJ493" i="5"/>
  <c r="AJ389" i="5"/>
  <c r="AJ375" i="5"/>
  <c r="AJ210" i="5"/>
  <c r="AJ318" i="5"/>
  <c r="AJ456" i="5"/>
  <c r="AJ175" i="5"/>
  <c r="AJ400" i="5"/>
  <c r="AJ536" i="5"/>
  <c r="AJ208" i="5"/>
  <c r="AJ386" i="5"/>
  <c r="AJ524" i="5"/>
  <c r="AJ326" i="5"/>
  <c r="AJ430" i="5"/>
  <c r="AJ546" i="5"/>
  <c r="AJ306" i="5"/>
  <c r="AJ495" i="5"/>
  <c r="AJ531" i="5"/>
  <c r="AJ276" i="5"/>
  <c r="AJ438" i="5"/>
  <c r="AJ233" i="5"/>
  <c r="AJ507" i="5"/>
  <c r="AJ201" i="5"/>
  <c r="AJ435" i="5"/>
  <c r="AJ163" i="5"/>
  <c r="B47" i="2"/>
  <c r="B28" i="2" s="1"/>
  <c r="AI412" i="5"/>
  <c r="AH378" i="5"/>
  <c r="AI378" i="5"/>
  <c r="V151" i="4"/>
  <c r="AS151" i="4"/>
  <c r="U151" i="4"/>
  <c r="AJ553" i="5"/>
  <c r="AJ359" i="5"/>
  <c r="AJ271" i="5"/>
  <c r="AJ135" i="5"/>
  <c r="AJ167" i="5"/>
  <c r="U31" i="5"/>
  <c r="V31" i="5"/>
  <c r="U277" i="5"/>
  <c r="V277" i="5"/>
  <c r="AJ160" i="5"/>
  <c r="AJ216" i="5"/>
  <c r="AJ449" i="5"/>
  <c r="AJ81" i="5"/>
  <c r="AJ515" i="5"/>
  <c r="AI118" i="5"/>
  <c r="AH118" i="5"/>
  <c r="AJ423" i="5"/>
  <c r="AJ487" i="5"/>
  <c r="AJ327" i="5"/>
  <c r="AJ399" i="5"/>
  <c r="AJ31" i="5"/>
  <c r="AJ71" i="5"/>
  <c r="V108" i="5"/>
  <c r="U163" i="5"/>
  <c r="V163" i="5"/>
  <c r="V81" i="5"/>
  <c r="U81" i="5"/>
  <c r="AJ534" i="5"/>
  <c r="AJ464" i="5"/>
  <c r="U72" i="5"/>
  <c r="V72" i="5"/>
  <c r="AJ473" i="5"/>
  <c r="AJ121" i="5"/>
  <c r="AJ89" i="5"/>
  <c r="AJ347" i="5"/>
  <c r="U75" i="5"/>
  <c r="V75" i="5"/>
  <c r="AJ265" i="5"/>
  <c r="AJ411" i="5"/>
  <c r="AJ291" i="5"/>
  <c r="AH261" i="5"/>
  <c r="V154" i="4"/>
  <c r="AS154" i="4"/>
  <c r="U154" i="4"/>
  <c r="B223" i="2"/>
  <c r="B200" i="2"/>
  <c r="B212" i="2" s="1"/>
  <c r="H65" i="1" s="1"/>
  <c r="AJ455" i="5"/>
  <c r="AJ239" i="5"/>
  <c r="U127" i="5"/>
  <c r="AJ207" i="5"/>
  <c r="AJ47" i="5"/>
  <c r="V111" i="5"/>
  <c r="U111" i="5"/>
  <c r="U178" i="5"/>
  <c r="AJ488" i="5"/>
  <c r="AJ320" i="5"/>
  <c r="AJ264" i="5"/>
  <c r="AJ48" i="5"/>
  <c r="AJ72" i="5"/>
  <c r="AJ96" i="5"/>
  <c r="AJ489" i="5"/>
  <c r="AJ113" i="5"/>
  <c r="AJ83" i="5"/>
  <c r="AJ313" i="5"/>
  <c r="AJ353" i="5"/>
  <c r="B174" i="2"/>
  <c r="B175" i="2"/>
  <c r="H54" i="1"/>
  <c r="AJ299" i="5"/>
  <c r="AJ211" i="5"/>
  <c r="AJ525" i="5"/>
  <c r="AJ431" i="5"/>
  <c r="AJ335" i="5"/>
  <c r="AJ295" i="5"/>
  <c r="AJ127" i="5"/>
  <c r="AJ143" i="5"/>
  <c r="AJ79" i="5"/>
  <c r="U65" i="5"/>
  <c r="V65" i="5"/>
  <c r="V218" i="5"/>
  <c r="V73" i="5"/>
  <c r="U73" i="5"/>
  <c r="U122" i="5"/>
  <c r="V122" i="5"/>
  <c r="AJ360" i="5"/>
  <c r="AJ272" i="5"/>
  <c r="AJ312" i="5"/>
  <c r="AH144" i="5"/>
  <c r="AI144" i="5"/>
  <c r="AH51" i="5"/>
  <c r="AI51" i="5"/>
  <c r="AJ107" i="5"/>
  <c r="AJ403" i="5"/>
  <c r="AJ467" i="5"/>
  <c r="AJ339" i="5"/>
  <c r="AJ119" i="5"/>
  <c r="AF539" i="5"/>
  <c r="AF448" i="5"/>
  <c r="AF467" i="5"/>
  <c r="AF256" i="5"/>
  <c r="AF511" i="5"/>
  <c r="AF248" i="5"/>
  <c r="AF298" i="5"/>
  <c r="AF444" i="5"/>
  <c r="AF281" i="5"/>
  <c r="AF398" i="5"/>
  <c r="AF523" i="5"/>
  <c r="AF526" i="5"/>
  <c r="AF293" i="5"/>
  <c r="AF207" i="5"/>
  <c r="AF81" i="5"/>
  <c r="AF455" i="5"/>
  <c r="AF364" i="5"/>
  <c r="AF313" i="5"/>
  <c r="AF128" i="5"/>
  <c r="AF544" i="5"/>
  <c r="AF488" i="5"/>
  <c r="AF473" i="5"/>
  <c r="AF459" i="5"/>
  <c r="AF434" i="5"/>
  <c r="AF306" i="5"/>
  <c r="AF272" i="5"/>
  <c r="AF205" i="5"/>
  <c r="AF132" i="5"/>
  <c r="AF27" i="5"/>
  <c r="AF525" i="5"/>
  <c r="AF520" i="5"/>
  <c r="AF512" i="5"/>
  <c r="AF516" i="5"/>
  <c r="AF320" i="5"/>
  <c r="AF265" i="5"/>
  <c r="AF304" i="5"/>
  <c r="AF173" i="5"/>
  <c r="AF64" i="5"/>
  <c r="AF46" i="5"/>
  <c r="AF93" i="5"/>
  <c r="AF167" i="5"/>
  <c r="AF213" i="5"/>
  <c r="AF266" i="5"/>
  <c r="AF288" i="5"/>
  <c r="AF331" i="5"/>
  <c r="AF393" i="5"/>
  <c r="AF383" i="5"/>
  <c r="AF413" i="5"/>
  <c r="AF490" i="5"/>
  <c r="AF79" i="5"/>
  <c r="AF155" i="5"/>
  <c r="AF186" i="5"/>
  <c r="AF194" i="5"/>
  <c r="AF311" i="5"/>
  <c r="AF247" i="5"/>
  <c r="AF277" i="5"/>
  <c r="AF257" i="5"/>
  <c r="AF335" i="5"/>
  <c r="AF406" i="5"/>
  <c r="AF134" i="5"/>
  <c r="AF117" i="5"/>
  <c r="AF74" i="5"/>
  <c r="AF40" i="5"/>
  <c r="AF130" i="5"/>
  <c r="AF121" i="5"/>
  <c r="AF160" i="5"/>
  <c r="AF75" i="5"/>
  <c r="AF44" i="5"/>
  <c r="AF7" i="5"/>
  <c r="AF9" i="5"/>
  <c r="AF430" i="5"/>
  <c r="AF362" i="5"/>
  <c r="AF514" i="5"/>
  <c r="AF316" i="5"/>
  <c r="AF461" i="5"/>
  <c r="AF318" i="5"/>
  <c r="AF228" i="5"/>
  <c r="AF478" i="5"/>
  <c r="AF250" i="5"/>
  <c r="AF513" i="5"/>
  <c r="AF500" i="5"/>
  <c r="AF485" i="5"/>
  <c r="AF330" i="5"/>
  <c r="AF157" i="5"/>
  <c r="AF70" i="5"/>
  <c r="AF426" i="5"/>
  <c r="AF377" i="5"/>
  <c r="AF227" i="5"/>
  <c r="AF54" i="5"/>
  <c r="AF518" i="5"/>
  <c r="AF429" i="5"/>
  <c r="AF463" i="5"/>
  <c r="AF439" i="5"/>
  <c r="AF397" i="5"/>
  <c r="AF208" i="5"/>
  <c r="AF215" i="5"/>
  <c r="AF240" i="5"/>
  <c r="AF144" i="5"/>
  <c r="AF550" i="5"/>
  <c r="AF451" i="5"/>
  <c r="AF506" i="5"/>
  <c r="AF498" i="5"/>
  <c r="AF496" i="5"/>
  <c r="AF402" i="5"/>
  <c r="AF350" i="5"/>
  <c r="AF278" i="5"/>
  <c r="AF159" i="5"/>
  <c r="AF63" i="5"/>
  <c r="AF33" i="5"/>
  <c r="AF116" i="5"/>
  <c r="AF164" i="5"/>
  <c r="AF225" i="5"/>
  <c r="AF279" i="5"/>
  <c r="AF303" i="5"/>
  <c r="AF352" i="5"/>
  <c r="AF409" i="5"/>
  <c r="AF404" i="5"/>
  <c r="AF336" i="5"/>
  <c r="AF39" i="5"/>
  <c r="AF96" i="5"/>
  <c r="AF127" i="5"/>
  <c r="AF216" i="5"/>
  <c r="AF203" i="5"/>
  <c r="AF327" i="5"/>
  <c r="AF268" i="5"/>
  <c r="AF324" i="5"/>
  <c r="AF295" i="5"/>
  <c r="AF357" i="5"/>
  <c r="AF433" i="5"/>
  <c r="AF182" i="5"/>
  <c r="AF107" i="5"/>
  <c r="AF78" i="5"/>
  <c r="AF42" i="5"/>
  <c r="AF172" i="5"/>
  <c r="AF103" i="5"/>
  <c r="AF142" i="5"/>
  <c r="AF35" i="5"/>
  <c r="AF37" i="5"/>
  <c r="AF12" i="5"/>
  <c r="AF471" i="5"/>
  <c r="AF243" i="5"/>
  <c r="AF517" i="5"/>
  <c r="AF199" i="5"/>
  <c r="AF437" i="5"/>
  <c r="AF235" i="5"/>
  <c r="AF510" i="5"/>
  <c r="AF483" i="5"/>
  <c r="AF146" i="5"/>
  <c r="AF559" i="5"/>
  <c r="AF446" i="5"/>
  <c r="AF412" i="5"/>
  <c r="AF285" i="5"/>
  <c r="AF91" i="5"/>
  <c r="AF560" i="5"/>
  <c r="AF468" i="5"/>
  <c r="AF332" i="5"/>
  <c r="AF226" i="5"/>
  <c r="AF55" i="5"/>
  <c r="AF541" i="5"/>
  <c r="AF545" i="5"/>
  <c r="AF432" i="5"/>
  <c r="AF536" i="5"/>
  <c r="AF389" i="5"/>
  <c r="AF372" i="5"/>
  <c r="AF261" i="5"/>
  <c r="AF187" i="5"/>
  <c r="AF109" i="5"/>
  <c r="AF549" i="5"/>
  <c r="AF499" i="5"/>
  <c r="AF476" i="5"/>
  <c r="AF462" i="5"/>
  <c r="AF435" i="5"/>
  <c r="AF309" i="5"/>
  <c r="AF275" i="5"/>
  <c r="AF210" i="5"/>
  <c r="AF136" i="5"/>
  <c r="AF28" i="5"/>
  <c r="AF71" i="5"/>
  <c r="AF153" i="5"/>
  <c r="AF179" i="5"/>
  <c r="AF177" i="5"/>
  <c r="AF308" i="5"/>
  <c r="AF234" i="5"/>
  <c r="AF274" i="5"/>
  <c r="AF254" i="5"/>
  <c r="AF334" i="5"/>
  <c r="AF403" i="5"/>
  <c r="AF41" i="5"/>
  <c r="AF106" i="5"/>
  <c r="AF181" i="5"/>
  <c r="AF178" i="5"/>
  <c r="AF237" i="5"/>
  <c r="AF259" i="5"/>
  <c r="AF305" i="5"/>
  <c r="AF368" i="5"/>
  <c r="AF347" i="5"/>
  <c r="AF384" i="5"/>
  <c r="AF458" i="5"/>
  <c r="AF143" i="5"/>
  <c r="AF124" i="5"/>
  <c r="AF66" i="5"/>
  <c r="AF211" i="5"/>
  <c r="AF122" i="5"/>
  <c r="AF147" i="5"/>
  <c r="AF99" i="5"/>
  <c r="AF53" i="5"/>
  <c r="AF36" i="5"/>
  <c r="AF13" i="5"/>
  <c r="AF537" i="5"/>
  <c r="AF540" i="5"/>
  <c r="AF415" i="5"/>
  <c r="AF151" i="5"/>
  <c r="AF501" i="5"/>
  <c r="AF180" i="5"/>
  <c r="AF547" i="5"/>
  <c r="AF408" i="5"/>
  <c r="AF24" i="5"/>
  <c r="AF548" i="5"/>
  <c r="AF223" i="5"/>
  <c r="AF338" i="5"/>
  <c r="AF319" i="5"/>
  <c r="AF92" i="5"/>
  <c r="AF502" i="5"/>
  <c r="AF424" i="5"/>
  <c r="AF428" i="5"/>
  <c r="AF233" i="5"/>
  <c r="AF67" i="5"/>
  <c r="AF557" i="5"/>
  <c r="AF528" i="5"/>
  <c r="AF345" i="5"/>
  <c r="AF527" i="5"/>
  <c r="AF363" i="5"/>
  <c r="AF340" i="5"/>
  <c r="AF328" i="5"/>
  <c r="AF220" i="5"/>
  <c r="AF98" i="5"/>
  <c r="AF538" i="5"/>
  <c r="AF431" i="5"/>
  <c r="AF465" i="5"/>
  <c r="AF452" i="5"/>
  <c r="AF400" i="5"/>
  <c r="AF239" i="5"/>
  <c r="AF218" i="5"/>
  <c r="AF139" i="5"/>
  <c r="AF150" i="5"/>
  <c r="AF32" i="5"/>
  <c r="AF87" i="5"/>
  <c r="AF114" i="5"/>
  <c r="AF209" i="5"/>
  <c r="AF202" i="5"/>
  <c r="AF325" i="5"/>
  <c r="AF267" i="5"/>
  <c r="AF301" i="5"/>
  <c r="AF283" i="5"/>
  <c r="AF346" i="5"/>
  <c r="AF425" i="5"/>
  <c r="AF60" i="5"/>
  <c r="AF148" i="5"/>
  <c r="AF137" i="5"/>
  <c r="AF195" i="5"/>
  <c r="AF246" i="5"/>
  <c r="AF271" i="5"/>
  <c r="AF326" i="5"/>
  <c r="AF386" i="5"/>
  <c r="AF369" i="5"/>
  <c r="AF399" i="5"/>
  <c r="AF475" i="5"/>
  <c r="AF115" i="5"/>
  <c r="AF104" i="5"/>
  <c r="AF47" i="5"/>
  <c r="AF189" i="5"/>
  <c r="AF184" i="5"/>
  <c r="AF133" i="5"/>
  <c r="AF100" i="5"/>
  <c r="AF30" i="5"/>
  <c r="AF45" i="5"/>
  <c r="AF11" i="5"/>
  <c r="AF534" i="5"/>
  <c r="AF531" i="5"/>
  <c r="AF337" i="5"/>
  <c r="AF494" i="5"/>
  <c r="AF382" i="5"/>
  <c r="AF89" i="5"/>
  <c r="AF551" i="5"/>
  <c r="AF373" i="5"/>
  <c r="AF553" i="5"/>
  <c r="AF552" i="5"/>
  <c r="AF480" i="5"/>
  <c r="AF375" i="5"/>
  <c r="AF258" i="5"/>
  <c r="AF23" i="5"/>
  <c r="AF535" i="5"/>
  <c r="AF533" i="5"/>
  <c r="AF355" i="5"/>
  <c r="AF242" i="5"/>
  <c r="AF20" i="5"/>
  <c r="AF508" i="5"/>
  <c r="AF519" i="5"/>
  <c r="AF507" i="5"/>
  <c r="AF515" i="5"/>
  <c r="AF314" i="5"/>
  <c r="AF260" i="5"/>
  <c r="AF299" i="5"/>
  <c r="AF82" i="5"/>
  <c r="AF29" i="5"/>
  <c r="AF443" i="5"/>
  <c r="AF374" i="5"/>
  <c r="AF454" i="5"/>
  <c r="AF423" i="5"/>
  <c r="AF263" i="5"/>
  <c r="AF407" i="5"/>
  <c r="AF300" i="5"/>
  <c r="AF222" i="5"/>
  <c r="AF111" i="5"/>
  <c r="AF34" i="5"/>
  <c r="AF84" i="5"/>
  <c r="AF145" i="5"/>
  <c r="AF229" i="5"/>
  <c r="AF214" i="5"/>
  <c r="AF171" i="5"/>
  <c r="AF284" i="5"/>
  <c r="AF349" i="5"/>
  <c r="AF312" i="5"/>
  <c r="AF370" i="5"/>
  <c r="AF436" i="5"/>
  <c r="AF49" i="5"/>
  <c r="AF102" i="5"/>
  <c r="AF175" i="5"/>
  <c r="AF217" i="5"/>
  <c r="AF270" i="5"/>
  <c r="AF291" i="5"/>
  <c r="AF341" i="5"/>
  <c r="AF396" i="5"/>
  <c r="AF385" i="5"/>
  <c r="AF416" i="5"/>
  <c r="AF174" i="5"/>
  <c r="AF88" i="5"/>
  <c r="AF95" i="5"/>
  <c r="AF65" i="5"/>
  <c r="AF158" i="5"/>
  <c r="AF169" i="5"/>
  <c r="AF125" i="5"/>
  <c r="AF83" i="5"/>
  <c r="AF58" i="5"/>
  <c r="AF482" i="5"/>
  <c r="AF487" i="5"/>
  <c r="AF90" i="5"/>
  <c r="AF481" i="5"/>
  <c r="AF280" i="5"/>
  <c r="AF19" i="5"/>
  <c r="AF294" i="5"/>
  <c r="AF356" i="5"/>
  <c r="AF421" i="5"/>
  <c r="AF310" i="5"/>
  <c r="AF59" i="5"/>
  <c r="AF492" i="5"/>
  <c r="AF365" i="5"/>
  <c r="AF190" i="5"/>
  <c r="AF73" i="5"/>
  <c r="AF191" i="5"/>
  <c r="AF302" i="5"/>
  <c r="AF418" i="5"/>
  <c r="AF77" i="5"/>
  <c r="AF230" i="5"/>
  <c r="AF290" i="5"/>
  <c r="AF249" i="5"/>
  <c r="AF149" i="5"/>
  <c r="AF21" i="5"/>
  <c r="AF105" i="5"/>
  <c r="AF245" i="5"/>
  <c r="AF427" i="5"/>
  <c r="AF555" i="5"/>
  <c r="AF543" i="5"/>
  <c r="AF391" i="5"/>
  <c r="AF509" i="5"/>
  <c r="AF286" i="5"/>
  <c r="AF530" i="5"/>
  <c r="AF491" i="5"/>
  <c r="AF296" i="5"/>
  <c r="AF50" i="5"/>
  <c r="AF440" i="5"/>
  <c r="AF353" i="5"/>
  <c r="AF224" i="5"/>
  <c r="AF94" i="5"/>
  <c r="AF236" i="5"/>
  <c r="AF321" i="5"/>
  <c r="AF380" i="5"/>
  <c r="AF86" i="5"/>
  <c r="AF238" i="5"/>
  <c r="AF358" i="5"/>
  <c r="AF371" i="5"/>
  <c r="AF131" i="5"/>
  <c r="AF192" i="5"/>
  <c r="AF85" i="5"/>
  <c r="AF445" i="5"/>
  <c r="AF505" i="5"/>
  <c r="AF495" i="5"/>
  <c r="AF469" i="5"/>
  <c r="AF262" i="5"/>
  <c r="AF479" i="5"/>
  <c r="AF176" i="5"/>
  <c r="AF322" i="5"/>
  <c r="AF460" i="5"/>
  <c r="AF276" i="5"/>
  <c r="AF493" i="5"/>
  <c r="AF420" i="5"/>
  <c r="AF376" i="5"/>
  <c r="AF108" i="5"/>
  <c r="AF126" i="5"/>
  <c r="AF231" i="5"/>
  <c r="AF252" i="5"/>
  <c r="AF395" i="5"/>
  <c r="AF123" i="5"/>
  <c r="AF219" i="5"/>
  <c r="AF255" i="5"/>
  <c r="AF348" i="5"/>
  <c r="AF156" i="5"/>
  <c r="AF168" i="5"/>
  <c r="AF97" i="5"/>
  <c r="AF10" i="5"/>
  <c r="AF521" i="5"/>
  <c r="AF417" i="5"/>
  <c r="AF366" i="5"/>
  <c r="AF556" i="5"/>
  <c r="AF197" i="5"/>
  <c r="AF504" i="5"/>
  <c r="AF161" i="5"/>
  <c r="AF503" i="5"/>
  <c r="AF419" i="5"/>
  <c r="AF241" i="5"/>
  <c r="AF542" i="5"/>
  <c r="AF477" i="5"/>
  <c r="AF342" i="5"/>
  <c r="AF101" i="5"/>
  <c r="AF135" i="5"/>
  <c r="AF201" i="5"/>
  <c r="AF367" i="5"/>
  <c r="AF388" i="5"/>
  <c r="AF140" i="5"/>
  <c r="AF282" i="5"/>
  <c r="AF354" i="5"/>
  <c r="AF394" i="5"/>
  <c r="AF57" i="5"/>
  <c r="AF152" i="5"/>
  <c r="AF48" i="5"/>
  <c r="AF31" i="5"/>
  <c r="AF453" i="5"/>
  <c r="AF438" i="5"/>
  <c r="AF387" i="5"/>
  <c r="AF470" i="5"/>
  <c r="AF212" i="5"/>
  <c r="AF497" i="5"/>
  <c r="AF68" i="5"/>
  <c r="AF484" i="5"/>
  <c r="AF390" i="5"/>
  <c r="AF221" i="5"/>
  <c r="AF558" i="5"/>
  <c r="AF359" i="5"/>
  <c r="AF317" i="5"/>
  <c r="AF80" i="5"/>
  <c r="AF170" i="5"/>
  <c r="AF292" i="5"/>
  <c r="AF381" i="5"/>
  <c r="AF456" i="5"/>
  <c r="AF120" i="5"/>
  <c r="AF297" i="5"/>
  <c r="AF410" i="5"/>
  <c r="AF442" i="5"/>
  <c r="AF61" i="5"/>
  <c r="AF138" i="5"/>
  <c r="AF76" i="5"/>
  <c r="AF8" i="5"/>
  <c r="AF273" i="5"/>
  <c r="AF289" i="5"/>
  <c r="AF329" i="5"/>
  <c r="AF457" i="5"/>
  <c r="AF113" i="5"/>
  <c r="AF447" i="5"/>
  <c r="AF524" i="5"/>
  <c r="AF449" i="5"/>
  <c r="AF351" i="5"/>
  <c r="AF185" i="5"/>
  <c r="AF546" i="5"/>
  <c r="AF532" i="5"/>
  <c r="AF264" i="5"/>
  <c r="AF51" i="5"/>
  <c r="AF119" i="5"/>
  <c r="AF253" i="5"/>
  <c r="AF441" i="5"/>
  <c r="AF472" i="5"/>
  <c r="AF166" i="5"/>
  <c r="AF183" i="5"/>
  <c r="AF193" i="5"/>
  <c r="AF118" i="5"/>
  <c r="AF69" i="5"/>
  <c r="AF141" i="5"/>
  <c r="AF72" i="5"/>
  <c r="AF522" i="5"/>
  <c r="AF287" i="5"/>
  <c r="AF379" i="5"/>
  <c r="AF206" i="5"/>
  <c r="AF378" i="5"/>
  <c r="AF165" i="5"/>
  <c r="AF414" i="5"/>
  <c r="AF489" i="5"/>
  <c r="AF486" i="5"/>
  <c r="AF405" i="5"/>
  <c r="AF188" i="5"/>
  <c r="AF554" i="5"/>
  <c r="AF464" i="5"/>
  <c r="AF333" i="5"/>
  <c r="AF26" i="5"/>
  <c r="AF200" i="5"/>
  <c r="AF269" i="5"/>
  <c r="AF343" i="5"/>
  <c r="AF43" i="5"/>
  <c r="AF204" i="5"/>
  <c r="AF307" i="5"/>
  <c r="AF315" i="5"/>
  <c r="AF162" i="5"/>
  <c r="AF52" i="5"/>
  <c r="AF154" i="5"/>
  <c r="AF62" i="5"/>
  <c r="AF466" i="5"/>
  <c r="AF196" i="5"/>
  <c r="AF339" i="5"/>
  <c r="AF450" i="5"/>
  <c r="AF422" i="5"/>
  <c r="AF129" i="5"/>
  <c r="AF360" i="5"/>
  <c r="AF401" i="5"/>
  <c r="AF474" i="5"/>
  <c r="AF344" i="5"/>
  <c r="AF110" i="5"/>
  <c r="AF529" i="5"/>
  <c r="AF392" i="5"/>
  <c r="AF244" i="5"/>
  <c r="AF56" i="5"/>
  <c r="AF251" i="5"/>
  <c r="AF323" i="5"/>
  <c r="AF361" i="5"/>
  <c r="AF38" i="5"/>
  <c r="AF232" i="5"/>
  <c r="AF198" i="5"/>
  <c r="AF411" i="5"/>
  <c r="AF163" i="5"/>
  <c r="AF25" i="5"/>
  <c r="AF112" i="5"/>
  <c r="AF22" i="5"/>
  <c r="AH418" i="5"/>
  <c r="AS83" i="4"/>
  <c r="AS90" i="4"/>
  <c r="U90" i="4"/>
  <c r="U17" i="4"/>
  <c r="AJ367" i="5"/>
  <c r="AJ223" i="5"/>
  <c r="AJ303" i="5"/>
  <c r="AJ111" i="5"/>
  <c r="U148" i="5"/>
  <c r="AJ7" i="5"/>
  <c r="AG7" i="5"/>
  <c r="AM7" i="5"/>
  <c r="T7" i="5"/>
  <c r="Q7" i="5"/>
  <c r="W7" i="5"/>
  <c r="AJ368" i="5"/>
  <c r="AJ416" i="5"/>
  <c r="AJ240" i="5"/>
  <c r="AJ144" i="5"/>
  <c r="AJ32" i="5"/>
  <c r="AJ56" i="5"/>
  <c r="AJ97" i="5"/>
  <c r="AJ459" i="5"/>
  <c r="AJ541" i="5"/>
  <c r="AJ35" i="5"/>
  <c r="AJ99" i="5"/>
  <c r="AJ8" i="5"/>
  <c r="AI460" i="5"/>
  <c r="AH460" i="5"/>
  <c r="AI318" i="5"/>
  <c r="AH318" i="5"/>
  <c r="U51" i="4"/>
  <c r="V104" i="4"/>
  <c r="AS104" i="4"/>
  <c r="U104" i="4"/>
  <c r="V113" i="4"/>
  <c r="AJ439" i="5"/>
  <c r="AI255" i="5"/>
  <c r="AH255" i="5"/>
  <c r="AJ311" i="5"/>
  <c r="AJ183" i="5"/>
  <c r="AJ55" i="5"/>
  <c r="U29" i="5"/>
  <c r="AJ432" i="5"/>
  <c r="AJ328" i="5"/>
  <c r="AJ224" i="5"/>
  <c r="AJ280" i="5"/>
  <c r="U120" i="5"/>
  <c r="V120" i="5"/>
  <c r="AJ152" i="5"/>
  <c r="AJ200" i="5"/>
  <c r="AJ40" i="5"/>
  <c r="AJ88" i="5"/>
  <c r="AJ217" i="5"/>
  <c r="U128" i="5" l="1"/>
  <c r="V168" i="5"/>
  <c r="U216" i="5"/>
  <c r="U198" i="5"/>
  <c r="V165" i="5"/>
  <c r="U41" i="4"/>
  <c r="U144" i="4"/>
  <c r="AN96" i="4"/>
  <c r="U175" i="5"/>
  <c r="V238" i="5"/>
  <c r="V110" i="5"/>
  <c r="U158" i="5"/>
  <c r="V202" i="5"/>
  <c r="V184" i="5"/>
  <c r="V78" i="5"/>
  <c r="V278" i="5"/>
  <c r="U240" i="5"/>
  <c r="U58" i="5"/>
  <c r="V132" i="5"/>
  <c r="U113" i="5"/>
  <c r="V164" i="5"/>
  <c r="V124" i="5"/>
  <c r="V179" i="5"/>
  <c r="V49" i="5"/>
  <c r="U255" i="5"/>
  <c r="V213" i="5"/>
  <c r="U217" i="5"/>
  <c r="V220" i="5"/>
  <c r="U200" i="5"/>
  <c r="V176" i="5"/>
  <c r="U157" i="5"/>
  <c r="V20" i="5"/>
  <c r="V68" i="5"/>
  <c r="V197" i="5"/>
  <c r="AS17" i="4"/>
  <c r="U153" i="4"/>
  <c r="AH153" i="4" s="1"/>
  <c r="AS92" i="4"/>
  <c r="AS153" i="4"/>
  <c r="V92" i="4"/>
  <c r="W92" i="4" s="1"/>
  <c r="Y92" i="4" s="1"/>
  <c r="V153" i="4"/>
  <c r="AM153" i="4" s="1"/>
  <c r="AN153" i="4" s="1"/>
  <c r="U92" i="4"/>
  <c r="AH92" i="4" s="1"/>
  <c r="AS93" i="4"/>
  <c r="V93" i="4"/>
  <c r="AM93" i="4" s="1"/>
  <c r="AN93" i="4" s="1"/>
  <c r="U103" i="4"/>
  <c r="V17" i="4"/>
  <c r="W17" i="4" s="1"/>
  <c r="Y17" i="4" s="1"/>
  <c r="Z17" i="4" s="1"/>
  <c r="V51" i="4"/>
  <c r="AM51" i="4" s="1"/>
  <c r="AN51" i="4" s="1"/>
  <c r="V71" i="4"/>
  <c r="W71" i="4" s="1"/>
  <c r="Y71" i="4" s="1"/>
  <c r="U135" i="4"/>
  <c r="AH135" i="4" s="1"/>
  <c r="U72" i="4"/>
  <c r="AS51" i="4"/>
  <c r="AS127" i="4"/>
  <c r="V13" i="4"/>
  <c r="W13" i="4" s="1"/>
  <c r="Y13" i="4" s="1"/>
  <c r="AS129" i="4"/>
  <c r="V68" i="4"/>
  <c r="W68" i="4" s="1"/>
  <c r="AS68" i="4"/>
  <c r="AS124" i="4"/>
  <c r="U124" i="4"/>
  <c r="AH124" i="4" s="1"/>
  <c r="V124" i="4"/>
  <c r="AM124" i="4" s="1"/>
  <c r="AN124" i="4" s="1"/>
  <c r="V149" i="4"/>
  <c r="AM149" i="4" s="1"/>
  <c r="AN149" i="4" s="1"/>
  <c r="U15" i="4"/>
  <c r="AH15" i="4" s="1"/>
  <c r="AS22" i="4"/>
  <c r="AS65" i="4"/>
  <c r="U33" i="4"/>
  <c r="AH33" i="4" s="1"/>
  <c r="U56" i="4"/>
  <c r="AH56" i="4" s="1"/>
  <c r="AS113" i="4"/>
  <c r="V90" i="4"/>
  <c r="AM90" i="4" s="1"/>
  <c r="AN90" i="4" s="1"/>
  <c r="V32" i="4"/>
  <c r="W32" i="4" s="1"/>
  <c r="Y32" i="4" s="1"/>
  <c r="U83" i="4"/>
  <c r="AH83" i="4" s="1"/>
  <c r="U50" i="4"/>
  <c r="AH50" i="4" s="1"/>
  <c r="V64" i="4"/>
  <c r="AM64" i="4" s="1"/>
  <c r="AN64" i="4" s="1"/>
  <c r="AS64" i="4"/>
  <c r="U64" i="4"/>
  <c r="AH64" i="4" s="1"/>
  <c r="V50" i="4"/>
  <c r="U113" i="4"/>
  <c r="U65" i="4"/>
  <c r="AH65" i="4" s="1"/>
  <c r="AS103" i="4"/>
  <c r="V65" i="4"/>
  <c r="W65" i="4" s="1"/>
  <c r="Y65" i="4" s="1"/>
  <c r="V107" i="4"/>
  <c r="W107" i="4" s="1"/>
  <c r="Y107" i="4" s="1"/>
  <c r="U150" i="4"/>
  <c r="AS150" i="4"/>
  <c r="U107" i="4"/>
  <c r="AH107" i="4" s="1"/>
  <c r="AS107" i="4"/>
  <c r="U146" i="4"/>
  <c r="AH146" i="4" s="1"/>
  <c r="U120" i="4"/>
  <c r="AH120" i="4" s="1"/>
  <c r="AS120" i="4"/>
  <c r="V138" i="4"/>
  <c r="AM138" i="4" s="1"/>
  <c r="AN138" i="4" s="1"/>
  <c r="U138" i="4"/>
  <c r="AH138" i="4" s="1"/>
  <c r="V120" i="4"/>
  <c r="W120" i="4" s="1"/>
  <c r="Y120" i="4" s="1"/>
  <c r="AS138" i="4"/>
  <c r="U108" i="4"/>
  <c r="AH108" i="4" s="1"/>
  <c r="U152" i="4"/>
  <c r="AH152" i="4" s="1"/>
  <c r="AS108" i="4"/>
  <c r="V42" i="4"/>
  <c r="AM42" i="4" s="1"/>
  <c r="AN42" i="4" s="1"/>
  <c r="V108" i="4"/>
  <c r="W108" i="4" s="1"/>
  <c r="Y108" i="4" s="1"/>
  <c r="U121" i="4"/>
  <c r="AH121" i="4" s="1"/>
  <c r="AS148" i="4"/>
  <c r="U58" i="4"/>
  <c r="AH58" i="4" s="1"/>
  <c r="AS13" i="4"/>
  <c r="AS30" i="4"/>
  <c r="U122" i="4"/>
  <c r="AH122" i="4" s="1"/>
  <c r="V99" i="4"/>
  <c r="AM99" i="4" s="1"/>
  <c r="AN99" i="4" s="1"/>
  <c r="V136" i="4"/>
  <c r="AM136" i="4" s="1"/>
  <c r="AN136" i="4" s="1"/>
  <c r="AS122" i="4"/>
  <c r="V122" i="4"/>
  <c r="W122" i="4" s="1"/>
  <c r="Y122" i="4" s="1"/>
  <c r="U11" i="4"/>
  <c r="AH11" i="4" s="1"/>
  <c r="AS136" i="4"/>
  <c r="U156" i="4"/>
  <c r="AH156" i="4" s="1"/>
  <c r="V53" i="4"/>
  <c r="AM53" i="4" s="1"/>
  <c r="AN53" i="4" s="1"/>
  <c r="AS117" i="4"/>
  <c r="AS156" i="4"/>
  <c r="U136" i="4"/>
  <c r="AH136" i="4" s="1"/>
  <c r="AS45" i="4"/>
  <c r="V82" i="4"/>
  <c r="W82" i="4" s="1"/>
  <c r="Y82" i="4" s="1"/>
  <c r="AS28" i="4"/>
  <c r="V85" i="4"/>
  <c r="AM85" i="4" s="1"/>
  <c r="AN85" i="4" s="1"/>
  <c r="AS85" i="4"/>
  <c r="V28" i="4"/>
  <c r="AM28" i="4" s="1"/>
  <c r="AN28" i="4" s="1"/>
  <c r="AS128" i="4"/>
  <c r="AS54" i="4"/>
  <c r="U80" i="4"/>
  <c r="AH80" i="4" s="1"/>
  <c r="U131" i="4"/>
  <c r="AH131" i="4" s="1"/>
  <c r="U54" i="4"/>
  <c r="AH54" i="4" s="1"/>
  <c r="V131" i="4"/>
  <c r="AM131" i="4" s="1"/>
  <c r="AN131" i="4" s="1"/>
  <c r="AS80" i="4"/>
  <c r="U28" i="4"/>
  <c r="AH28" i="4" s="1"/>
  <c r="AS86" i="4"/>
  <c r="V80" i="4"/>
  <c r="AM80" i="4" s="1"/>
  <c r="AN80" i="4" s="1"/>
  <c r="V54" i="4"/>
  <c r="AM54" i="4" s="1"/>
  <c r="AN54" i="4" s="1"/>
  <c r="V87" i="4"/>
  <c r="W87" i="4" s="1"/>
  <c r="Y87" i="4" s="1"/>
  <c r="U78" i="4"/>
  <c r="AH78" i="4" s="1"/>
  <c r="V78" i="4"/>
  <c r="W78" i="4" s="1"/>
  <c r="Y78" i="4" s="1"/>
  <c r="AS78" i="4"/>
  <c r="U26" i="4"/>
  <c r="AH26" i="4" s="1"/>
  <c r="AS16" i="4"/>
  <c r="U36" i="4"/>
  <c r="AH36" i="4" s="1"/>
  <c r="V139" i="4"/>
  <c r="W139" i="4" s="1"/>
  <c r="Y139" i="4" s="1"/>
  <c r="AS139" i="4"/>
  <c r="U139" i="4"/>
  <c r="AH139" i="4" s="1"/>
  <c r="U27" i="4"/>
  <c r="AH27" i="4" s="1"/>
  <c r="V27" i="4"/>
  <c r="W27" i="4" s="1"/>
  <c r="Y27" i="4" s="1"/>
  <c r="U82" i="4"/>
  <c r="AH82" i="4" s="1"/>
  <c r="V44" i="4"/>
  <c r="W44" i="4" s="1"/>
  <c r="Y44" i="4" s="1"/>
  <c r="AS82" i="4"/>
  <c r="V45" i="4"/>
  <c r="W45" i="4" s="1"/>
  <c r="AS44" i="4"/>
  <c r="AS119" i="4"/>
  <c r="AS27" i="4"/>
  <c r="AS69" i="4"/>
  <c r="U44" i="4"/>
  <c r="AH44" i="4" s="1"/>
  <c r="AS112" i="4"/>
  <c r="U45" i="4"/>
  <c r="AH45" i="4" s="1"/>
  <c r="U85" i="4"/>
  <c r="AH85" i="4" s="1"/>
  <c r="AH530" i="5"/>
  <c r="AI542" i="5"/>
  <c r="AI119" i="5"/>
  <c r="AH283" i="5"/>
  <c r="AH99" i="5"/>
  <c r="AI300" i="5"/>
  <c r="AI141" i="5"/>
  <c r="AH361" i="5"/>
  <c r="AH153" i="5"/>
  <c r="AI69" i="5"/>
  <c r="AH326" i="5"/>
  <c r="AI189" i="5"/>
  <c r="AH91" i="5"/>
  <c r="AI497" i="5"/>
  <c r="AH142" i="5"/>
  <c r="AI121" i="5"/>
  <c r="AI75" i="5"/>
  <c r="AI210" i="5"/>
  <c r="AI405" i="5"/>
  <c r="AH523" i="5"/>
  <c r="AH536" i="5"/>
  <c r="AI424" i="5"/>
  <c r="AI66" i="5"/>
  <c r="AH454" i="5"/>
  <c r="AI62" i="5"/>
  <c r="AI531" i="5"/>
  <c r="AI74" i="5"/>
  <c r="AH194" i="5"/>
  <c r="AH534" i="5"/>
  <c r="AI482" i="5"/>
  <c r="AI31" i="5"/>
  <c r="AH384" i="5"/>
  <c r="AI528" i="5"/>
  <c r="AI24" i="5"/>
  <c r="AH456" i="5"/>
  <c r="AI83" i="5"/>
  <c r="AH472" i="5"/>
  <c r="AI491" i="5"/>
  <c r="AI173" i="5"/>
  <c r="AI190" i="5"/>
  <c r="AH305" i="5"/>
  <c r="AI165" i="5"/>
  <c r="AH219" i="5"/>
  <c r="AH222" i="5"/>
  <c r="AN261" i="5"/>
  <c r="AH306" i="5"/>
  <c r="AH200" i="5"/>
  <c r="AI518" i="5"/>
  <c r="AI34" i="5"/>
  <c r="AH512" i="5"/>
  <c r="AI81" i="5"/>
  <c r="AH294" i="5"/>
  <c r="AH440" i="5"/>
  <c r="AI267" i="5"/>
  <c r="AI79" i="5"/>
  <c r="AH432" i="5"/>
  <c r="AI338" i="5"/>
  <c r="AI450" i="5"/>
  <c r="AI278" i="5"/>
  <c r="AH225" i="5"/>
  <c r="AH311" i="5"/>
  <c r="AH127" i="5"/>
  <c r="AH517" i="5"/>
  <c r="AI192" i="5"/>
  <c r="AI302" i="5"/>
  <c r="AH493" i="5"/>
  <c r="AI287" i="5"/>
  <c r="AI60" i="5"/>
  <c r="AI50" i="5"/>
  <c r="AH451" i="5"/>
  <c r="AH239" i="5"/>
  <c r="AH552" i="5"/>
  <c r="AI335" i="5"/>
  <c r="AI78" i="5"/>
  <c r="AI158" i="5"/>
  <c r="AH504" i="5"/>
  <c r="AI404" i="5"/>
  <c r="AI113" i="5"/>
  <c r="AH350" i="5"/>
  <c r="AH353" i="5"/>
  <c r="AH360" i="5"/>
  <c r="AI312" i="5"/>
  <c r="AI511" i="5"/>
  <c r="AH560" i="5"/>
  <c r="AH390" i="5"/>
  <c r="AH29" i="5"/>
  <c r="AH309" i="5"/>
  <c r="AI161" i="5"/>
  <c r="AI265" i="5"/>
  <c r="AH486" i="5"/>
  <c r="AI433" i="5"/>
  <c r="AI503" i="5"/>
  <c r="AH240" i="5"/>
  <c r="AN496" i="5"/>
  <c r="AH355" i="5"/>
  <c r="AH474" i="5"/>
  <c r="AH490" i="5"/>
  <c r="AI212" i="5"/>
  <c r="AI285" i="5"/>
  <c r="AI527" i="5"/>
  <c r="AI25" i="5"/>
  <c r="AI554" i="5"/>
  <c r="AH32" i="5"/>
  <c r="AH379" i="5"/>
  <c r="AI489" i="5"/>
  <c r="AH246" i="5"/>
  <c r="AH47" i="5"/>
  <c r="AH400" i="5"/>
  <c r="AI316" i="5"/>
  <c r="AH529" i="5"/>
  <c r="AI476" i="5"/>
  <c r="AI148" i="5"/>
  <c r="AH449" i="5"/>
  <c r="AI186" i="5"/>
  <c r="AH444" i="5"/>
  <c r="AO115" i="5"/>
  <c r="AH64" i="5"/>
  <c r="AH234" i="5"/>
  <c r="AH502" i="5"/>
  <c r="AI57" i="5"/>
  <c r="AH380" i="5"/>
  <c r="AI457" i="5"/>
  <c r="AH244" i="5"/>
  <c r="AH103" i="5"/>
  <c r="AI332" i="5"/>
  <c r="AH420" i="5"/>
  <c r="AI80" i="5"/>
  <c r="AH371" i="5"/>
  <c r="AO404" i="5"/>
  <c r="AH366" i="5"/>
  <c r="AO334" i="5"/>
  <c r="AH436" i="5"/>
  <c r="AI473" i="5"/>
  <c r="AI164" i="5"/>
  <c r="AO198" i="5"/>
  <c r="AI152" i="5"/>
  <c r="AN520" i="5"/>
  <c r="AI229" i="5"/>
  <c r="AI365" i="5"/>
  <c r="AH87" i="5"/>
  <c r="AI368" i="5"/>
  <c r="AI248" i="5"/>
  <c r="AH236" i="5"/>
  <c r="AI387" i="5"/>
  <c r="AI146" i="5"/>
  <c r="AN510" i="5"/>
  <c r="AI55" i="5"/>
  <c r="AI307" i="5"/>
  <c r="AH414" i="5"/>
  <c r="AO508" i="5"/>
  <c r="AO370" i="5"/>
  <c r="AI133" i="5"/>
  <c r="AH492" i="5"/>
  <c r="AI337" i="5"/>
  <c r="AH416" i="5"/>
  <c r="AH549" i="5"/>
  <c r="AH377" i="5"/>
  <c r="AH26" i="5"/>
  <c r="AH341" i="5"/>
  <c r="AI382" i="5"/>
  <c r="AI90" i="5"/>
  <c r="AH514" i="5"/>
  <c r="AH178" i="5"/>
  <c r="AH397" i="5"/>
  <c r="AI39" i="5"/>
  <c r="AI88" i="5"/>
  <c r="AN251" i="5"/>
  <c r="AH260" i="5"/>
  <c r="AO256" i="5"/>
  <c r="AI330" i="5"/>
  <c r="AH319" i="5"/>
  <c r="AH409" i="5"/>
  <c r="AH149" i="5"/>
  <c r="AH519" i="5"/>
  <c r="AH470" i="5"/>
  <c r="AI101" i="5"/>
  <c r="AH351" i="5"/>
  <c r="AI123" i="5"/>
  <c r="AH394" i="5"/>
  <c r="AH115" i="5"/>
  <c r="AI20" i="5"/>
  <c r="AI558" i="5"/>
  <c r="AI126" i="5"/>
  <c r="AI398" i="5"/>
  <c r="AH538" i="5"/>
  <c r="AN235" i="5"/>
  <c r="AH70" i="5"/>
  <c r="AH364" i="5"/>
  <c r="AH545" i="5"/>
  <c r="AH122" i="5"/>
  <c r="AO413" i="5"/>
  <c r="AI290" i="5"/>
  <c r="AI155" i="5"/>
  <c r="AI270" i="5"/>
  <c r="AO105" i="5"/>
  <c r="AI73" i="5"/>
  <c r="AH356" i="5"/>
  <c r="AI551" i="5"/>
  <c r="AO332" i="5"/>
  <c r="AI375" i="5"/>
  <c r="AH27" i="5"/>
  <c r="AO29" i="5"/>
  <c r="AI42" i="5"/>
  <c r="AN131" i="5"/>
  <c r="AO554" i="5"/>
  <c r="AH324" i="5"/>
  <c r="AN546" i="5"/>
  <c r="AN262" i="5"/>
  <c r="AI289" i="5"/>
  <c r="AI77" i="5"/>
  <c r="AN506" i="5"/>
  <c r="AI507" i="5"/>
  <c r="AI510" i="5"/>
  <c r="AN445" i="5"/>
  <c r="AH202" i="5"/>
  <c r="AO422" i="5"/>
  <c r="AH426" i="5"/>
  <c r="AH539" i="5"/>
  <c r="AI452" i="5"/>
  <c r="AH97" i="5"/>
  <c r="AH291" i="5"/>
  <c r="AI320" i="5"/>
  <c r="AI35" i="5"/>
  <c r="AH385" i="5"/>
  <c r="AH228" i="5"/>
  <c r="AH174" i="5"/>
  <c r="AI480" i="5"/>
  <c r="AI109" i="5"/>
  <c r="AL521" i="5"/>
  <c r="AO82" i="5"/>
  <c r="AH458" i="5"/>
  <c r="AI86" i="5"/>
  <c r="AN53" i="5"/>
  <c r="AI276" i="5"/>
  <c r="AO348" i="5"/>
  <c r="AK307" i="5"/>
  <c r="AH282" i="5"/>
  <c r="AI357" i="5"/>
  <c r="AH406" i="5"/>
  <c r="AH463" i="5"/>
  <c r="AH434" i="5"/>
  <c r="AI250" i="5"/>
  <c r="AH340" i="5"/>
  <c r="AN189" i="5"/>
  <c r="AI354" i="5"/>
  <c r="AI521" i="5"/>
  <c r="AH264" i="5"/>
  <c r="AO85" i="5"/>
  <c r="AH277" i="5"/>
  <c r="AI237" i="5"/>
  <c r="AN484" i="5"/>
  <c r="AH495" i="5"/>
  <c r="AI417" i="5"/>
  <c r="AH220" i="5"/>
  <c r="AO525" i="5"/>
  <c r="AO135" i="5"/>
  <c r="AN482" i="5"/>
  <c r="AO258" i="5"/>
  <c r="AO358" i="5"/>
  <c r="AN459" i="5"/>
  <c r="AN538" i="5"/>
  <c r="AN304" i="5"/>
  <c r="AO289" i="5"/>
  <c r="AN365" i="5"/>
  <c r="AO436" i="5"/>
  <c r="AN200" i="5"/>
  <c r="AN519" i="5"/>
  <c r="AO473" i="5"/>
  <c r="AO122" i="5"/>
  <c r="AO320" i="5"/>
  <c r="AN476" i="5"/>
  <c r="AP202" i="5"/>
  <c r="AQ202" i="5" s="1"/>
  <c r="AO514" i="5"/>
  <c r="AH111" i="5"/>
  <c r="AH359" i="5"/>
  <c r="AI344" i="5"/>
  <c r="AH157" i="5"/>
  <c r="AI196" i="5"/>
  <c r="AI175" i="5"/>
  <c r="AN174" i="5"/>
  <c r="AO260" i="5"/>
  <c r="AI544" i="5"/>
  <c r="AO286" i="5"/>
  <c r="AO540" i="5"/>
  <c r="AO48" i="5"/>
  <c r="AN103" i="5"/>
  <c r="AO299" i="5"/>
  <c r="AH501" i="5"/>
  <c r="AI401" i="5"/>
  <c r="AI428" i="5"/>
  <c r="AH257" i="5"/>
  <c r="AN454" i="5"/>
  <c r="AO83" i="5"/>
  <c r="AH102" i="5"/>
  <c r="AN438" i="5"/>
  <c r="AN449" i="5"/>
  <c r="AI184" i="5"/>
  <c r="AN340" i="5"/>
  <c r="AI259" i="5"/>
  <c r="AH71" i="5"/>
  <c r="AH138" i="5"/>
  <c r="AI313" i="5"/>
  <c r="AI166" i="5"/>
  <c r="AN442" i="5"/>
  <c r="AH112" i="5"/>
  <c r="AO249" i="5"/>
  <c r="AN113" i="5"/>
  <c r="AH391" i="5"/>
  <c r="AH381" i="5"/>
  <c r="AO238" i="5"/>
  <c r="AO157" i="5"/>
  <c r="AN301" i="5"/>
  <c r="AN314" i="5"/>
  <c r="AH221" i="5"/>
  <c r="AI40" i="5"/>
  <c r="AI308" i="5"/>
  <c r="AI343" i="5"/>
  <c r="AI415" i="5"/>
  <c r="AN518" i="5"/>
  <c r="AH421" i="5"/>
  <c r="AN527" i="5"/>
  <c r="AN111" i="5"/>
  <c r="AI143" i="5"/>
  <c r="AO560" i="5"/>
  <c r="AH533" i="5"/>
  <c r="AN409" i="5"/>
  <c r="AH82" i="5"/>
  <c r="AN159" i="5"/>
  <c r="AI525" i="5"/>
  <c r="AN394" i="5"/>
  <c r="AN192" i="5"/>
  <c r="AO93" i="5"/>
  <c r="AI419" i="5"/>
  <c r="AH218" i="5"/>
  <c r="AN472" i="5"/>
  <c r="AI156" i="5"/>
  <c r="AI537" i="5"/>
  <c r="AO178" i="5"/>
  <c r="AO528" i="5"/>
  <c r="AI349" i="5"/>
  <c r="AH345" i="5"/>
  <c r="AN160" i="5"/>
  <c r="AN219" i="5"/>
  <c r="AH208" i="5"/>
  <c r="AI136" i="5"/>
  <c r="AH429" i="5"/>
  <c r="AH303" i="5"/>
  <c r="AI68" i="5"/>
  <c r="AO222" i="5"/>
  <c r="AI413" i="5"/>
  <c r="AI65" i="5"/>
  <c r="AO141" i="5"/>
  <c r="AN127" i="5"/>
  <c r="AH129" i="5"/>
  <c r="AI48" i="5"/>
  <c r="AO253" i="5"/>
  <c r="AO155" i="5"/>
  <c r="AI198" i="5"/>
  <c r="AH145" i="5"/>
  <c r="AP192" i="5"/>
  <c r="AR192" i="5" s="1"/>
  <c r="AO485" i="5"/>
  <c r="AH232" i="5"/>
  <c r="AO526" i="5"/>
  <c r="AI114" i="5"/>
  <c r="AI508" i="5"/>
  <c r="AO110" i="5"/>
  <c r="AO389" i="5"/>
  <c r="AN500" i="5"/>
  <c r="AI321" i="5"/>
  <c r="AH288" i="5"/>
  <c r="AI427" i="5"/>
  <c r="AI439" i="5"/>
  <c r="AI187" i="5"/>
  <c r="AH515" i="5"/>
  <c r="AN234" i="5"/>
  <c r="AO33" i="5"/>
  <c r="AI304" i="5"/>
  <c r="AH167" i="5"/>
  <c r="AH284" i="5"/>
  <c r="AI262" i="5"/>
  <c r="AN172" i="5"/>
  <c r="AP521" i="5"/>
  <c r="AR521" i="5" s="1"/>
  <c r="AP147" i="5"/>
  <c r="AR147" i="5" s="1"/>
  <c r="AO205" i="5"/>
  <c r="AI134" i="5"/>
  <c r="AO390" i="5"/>
  <c r="AH422" i="5"/>
  <c r="AH177" i="5"/>
  <c r="AI180" i="5"/>
  <c r="AN530" i="5"/>
  <c r="AK153" i="5"/>
  <c r="AO228" i="5"/>
  <c r="AN369" i="5"/>
  <c r="AI147" i="5"/>
  <c r="AH445" i="5"/>
  <c r="AH505" i="5"/>
  <c r="AI553" i="5"/>
  <c r="AO185" i="5"/>
  <c r="AH197" i="5"/>
  <c r="AN50" i="5"/>
  <c r="AN302" i="5"/>
  <c r="AN26" i="5"/>
  <c r="AN274" i="5"/>
  <c r="AO487" i="5"/>
  <c r="AH372" i="5"/>
  <c r="AH446" i="5"/>
  <c r="AN293" i="5"/>
  <c r="AO282" i="5"/>
  <c r="AN263" i="5"/>
  <c r="AI520" i="5"/>
  <c r="AN207" i="5"/>
  <c r="AO287" i="5"/>
  <c r="AN486" i="5"/>
  <c r="AI286" i="5"/>
  <c r="AI363" i="5"/>
  <c r="AO147" i="5"/>
  <c r="AH323" i="5"/>
  <c r="AI275" i="5"/>
  <c r="AO498" i="5"/>
  <c r="AH347" i="5"/>
  <c r="AI84" i="5"/>
  <c r="AI104" i="5"/>
  <c r="AH522" i="5"/>
  <c r="AI226" i="5"/>
  <c r="AO69" i="5"/>
  <c r="AN87" i="5"/>
  <c r="AN112" i="5"/>
  <c r="AN285" i="5"/>
  <c r="AH182" i="5"/>
  <c r="AN27" i="5"/>
  <c r="AI193" i="5"/>
  <c r="AH481" i="5"/>
  <c r="AN220" i="5"/>
  <c r="AH72" i="5"/>
  <c r="AN359" i="5"/>
  <c r="AI281" i="5"/>
  <c r="AH425" i="5"/>
  <c r="AI336" i="5"/>
  <c r="AH462" i="5"/>
  <c r="AO362" i="5"/>
  <c r="AH407" i="5"/>
  <c r="AL283" i="5"/>
  <c r="AO41" i="5"/>
  <c r="AH546" i="5"/>
  <c r="AH151" i="5"/>
  <c r="AH254" i="5"/>
  <c r="AI96" i="5"/>
  <c r="AI92" i="5"/>
  <c r="AI438" i="5"/>
  <c r="AH423" i="5"/>
  <c r="AI269" i="5"/>
  <c r="AH376" i="5"/>
  <c r="AI125" i="5"/>
  <c r="AH94" i="5"/>
  <c r="AH107" i="5"/>
  <c r="AI54" i="5"/>
  <c r="AN349" i="5"/>
  <c r="AN312" i="5"/>
  <c r="AI245" i="5"/>
  <c r="AI160" i="5"/>
  <c r="AI36" i="5"/>
  <c r="AO32" i="5"/>
  <c r="AO149" i="5"/>
  <c r="AI214" i="5"/>
  <c r="AH496" i="5"/>
  <c r="AN142" i="5"/>
  <c r="AH442" i="5"/>
  <c r="AN40" i="5"/>
  <c r="AO372" i="5"/>
  <c r="AO164" i="5"/>
  <c r="AI116" i="5"/>
  <c r="AN490" i="5"/>
  <c r="AN355" i="5"/>
  <c r="AH334" i="5"/>
  <c r="AI30" i="5"/>
  <c r="AI235" i="5"/>
  <c r="AI132" i="5"/>
  <c r="AI100" i="5"/>
  <c r="AH233" i="5"/>
  <c r="AH498" i="5"/>
  <c r="AO296" i="5"/>
  <c r="AH106" i="5"/>
  <c r="AI310" i="5"/>
  <c r="AH98" i="5"/>
  <c r="AH317" i="5"/>
  <c r="AH540" i="5"/>
  <c r="AN72" i="5"/>
  <c r="AI410" i="5"/>
  <c r="AI201" i="5"/>
  <c r="AH500" i="5"/>
  <c r="AN232" i="5"/>
  <c r="AH243" i="5"/>
  <c r="AI172" i="5"/>
  <c r="AH45" i="5"/>
  <c r="AO133" i="5"/>
  <c r="AH383" i="5"/>
  <c r="AO521" i="5"/>
  <c r="AI249" i="5"/>
  <c r="AI556" i="5"/>
  <c r="AN343" i="5"/>
  <c r="AI231" i="5"/>
  <c r="AH56" i="5"/>
  <c r="AH448" i="5"/>
  <c r="AN23" i="5"/>
  <c r="AI44" i="5"/>
  <c r="AP552" i="5"/>
  <c r="AQ552" i="5" s="1"/>
  <c r="AO430" i="5"/>
  <c r="AO281" i="5"/>
  <c r="AH217" i="5"/>
  <c r="AI408" i="5"/>
  <c r="AH179" i="5"/>
  <c r="AH468" i="5"/>
  <c r="AH280" i="5"/>
  <c r="AO481" i="5"/>
  <c r="AO168" i="5"/>
  <c r="AO392" i="5"/>
  <c r="AO233" i="5"/>
  <c r="AN497" i="5"/>
  <c r="AO80" i="5"/>
  <c r="AH358" i="5"/>
  <c r="AI547" i="5"/>
  <c r="AI169" i="5"/>
  <c r="AH170" i="5"/>
  <c r="AH403" i="5"/>
  <c r="AO152" i="5"/>
  <c r="AO306" i="5"/>
  <c r="AL147" i="5"/>
  <c r="AH205" i="5"/>
  <c r="AP270" i="5"/>
  <c r="AR270" i="5" s="1"/>
  <c r="AN360" i="5"/>
  <c r="AN341" i="5"/>
  <c r="AH8" i="5"/>
  <c r="AN356" i="5"/>
  <c r="AO231" i="5"/>
  <c r="AN380" i="5"/>
  <c r="AN70" i="5"/>
  <c r="AN475" i="5"/>
  <c r="AH183" i="5"/>
  <c r="AI163" i="5"/>
  <c r="AN270" i="5"/>
  <c r="AO66" i="5"/>
  <c r="AN395" i="5"/>
  <c r="AO410" i="5"/>
  <c r="AH211" i="5"/>
  <c r="AI296" i="5"/>
  <c r="AN221" i="5"/>
  <c r="AI279" i="5"/>
  <c r="AI550" i="5"/>
  <c r="AP133" i="5"/>
  <c r="AR133" i="5" s="1"/>
  <c r="AN278" i="5"/>
  <c r="AH58" i="5"/>
  <c r="AH328" i="5"/>
  <c r="AI487" i="5"/>
  <c r="AH464" i="5"/>
  <c r="AO551" i="5"/>
  <c r="AH41" i="5"/>
  <c r="AI253" i="5"/>
  <c r="AN463" i="5"/>
  <c r="AN194" i="5"/>
  <c r="AO346" i="5"/>
  <c r="AI392" i="5"/>
  <c r="AN169" i="5"/>
  <c r="AO534" i="5"/>
  <c r="AH485" i="5"/>
  <c r="AL539" i="5"/>
  <c r="AH28" i="5"/>
  <c r="AH465" i="5"/>
  <c r="AI453" i="5"/>
  <c r="AN311" i="5"/>
  <c r="AI524" i="5"/>
  <c r="AP307" i="5"/>
  <c r="AR307" i="5" s="1"/>
  <c r="AI386" i="5"/>
  <c r="AI181" i="5"/>
  <c r="AH370" i="5"/>
  <c r="AK169" i="5"/>
  <c r="AI130" i="5"/>
  <c r="AO328" i="5"/>
  <c r="AH526" i="5"/>
  <c r="AO367" i="5"/>
  <c r="AO512" i="5"/>
  <c r="AN25" i="5"/>
  <c r="AI467" i="5"/>
  <c r="AI455" i="5"/>
  <c r="AO322" i="5"/>
  <c r="AI21" i="5"/>
  <c r="AO419" i="5"/>
  <c r="AH477" i="5"/>
  <c r="AH466" i="5"/>
  <c r="AN477" i="5"/>
  <c r="AH140" i="5"/>
  <c r="AH37" i="5"/>
  <c r="AI441" i="5"/>
  <c r="AH443" i="5"/>
  <c r="AH215" i="5"/>
  <c r="AH374" i="5"/>
  <c r="AH93" i="5"/>
  <c r="AI188" i="5"/>
  <c r="AH209" i="5"/>
  <c r="AH168" i="5"/>
  <c r="AI168" i="5"/>
  <c r="AI128" i="5"/>
  <c r="AI67" i="5"/>
  <c r="AO210" i="5"/>
  <c r="AI242" i="5"/>
  <c r="AH395" i="5"/>
  <c r="AH483" i="5"/>
  <c r="AH223" i="5"/>
  <c r="AH447" i="5"/>
  <c r="AP169" i="5"/>
  <c r="AR169" i="5" s="1"/>
  <c r="AO556" i="5"/>
  <c r="AH535" i="5"/>
  <c r="AO8" i="5"/>
  <c r="AO98" i="5"/>
  <c r="AI49" i="5"/>
  <c r="AI137" i="5"/>
  <c r="AO388" i="5"/>
  <c r="AN28" i="5"/>
  <c r="AL187" i="5"/>
  <c r="AH159" i="5"/>
  <c r="AO204" i="5"/>
  <c r="AN243" i="5"/>
  <c r="AH352" i="5"/>
  <c r="AI139" i="5"/>
  <c r="AH76" i="5"/>
  <c r="AO335" i="5"/>
  <c r="AI38" i="5"/>
  <c r="AH238" i="5"/>
  <c r="AH348" i="5"/>
  <c r="AH557" i="5"/>
  <c r="AO537" i="5"/>
  <c r="AI135" i="5"/>
  <c r="AI506" i="5"/>
  <c r="AI63" i="5"/>
  <c r="AH333" i="5"/>
  <c r="AH273" i="5"/>
  <c r="AO89" i="5"/>
  <c r="AN129" i="5"/>
  <c r="AH559" i="5"/>
  <c r="AI478" i="5"/>
  <c r="AN109" i="5"/>
  <c r="AI204" i="5"/>
  <c r="AH61" i="5"/>
  <c r="AI61" i="5"/>
  <c r="AP109" i="5"/>
  <c r="AR109" i="5" s="1"/>
  <c r="AO79" i="5"/>
  <c r="AH402" i="5"/>
  <c r="AO197" i="5"/>
  <c r="AI499" i="5"/>
  <c r="AH59" i="5"/>
  <c r="AO38" i="5"/>
  <c r="AP187" i="5"/>
  <c r="AR187" i="5" s="1"/>
  <c r="AO283" i="5"/>
  <c r="AH185" i="5"/>
  <c r="AH207" i="5"/>
  <c r="AI207" i="5"/>
  <c r="AP382" i="5"/>
  <c r="AQ382" i="5" s="1"/>
  <c r="AP148" i="5"/>
  <c r="AQ148" i="5" s="1"/>
  <c r="AP540" i="5"/>
  <c r="AR540" i="5" s="1"/>
  <c r="AP313" i="5"/>
  <c r="AR313" i="5" s="1"/>
  <c r="AI274" i="5"/>
  <c r="AO167" i="5"/>
  <c r="AH437" i="5"/>
  <c r="AI516" i="5"/>
  <c r="AI256" i="5"/>
  <c r="AO139" i="5"/>
  <c r="AH459" i="5"/>
  <c r="AH469" i="5"/>
  <c r="AN259" i="5"/>
  <c r="AH33" i="5"/>
  <c r="AH322" i="5"/>
  <c r="AO118" i="5"/>
  <c r="AH89" i="5"/>
  <c r="AN39" i="5"/>
  <c r="AI314" i="5"/>
  <c r="AO211" i="5"/>
  <c r="AI548" i="5"/>
  <c r="AI176" i="5"/>
  <c r="AI23" i="5"/>
  <c r="AN42" i="5"/>
  <c r="AP176" i="5"/>
  <c r="AQ176" i="5" s="1"/>
  <c r="AO549" i="5"/>
  <c r="AO31" i="5"/>
  <c r="AO145" i="5"/>
  <c r="AH46" i="5"/>
  <c r="AH292" i="5"/>
  <c r="AO186" i="5"/>
  <c r="AI131" i="5"/>
  <c r="AN552" i="5"/>
  <c r="AN223" i="5"/>
  <c r="AN136" i="5"/>
  <c r="AN457" i="5"/>
  <c r="AH108" i="5"/>
  <c r="AH315" i="5"/>
  <c r="AI230" i="5"/>
  <c r="AH230" i="5"/>
  <c r="AH224" i="5"/>
  <c r="AI224" i="5"/>
  <c r="AI199" i="5"/>
  <c r="AH396" i="5"/>
  <c r="AH327" i="5"/>
  <c r="AO455" i="5"/>
  <c r="AH213" i="5"/>
  <c r="AH367" i="5"/>
  <c r="AI195" i="5"/>
  <c r="AP26" i="5"/>
  <c r="AR26" i="5" s="1"/>
  <c r="AP465" i="5"/>
  <c r="AQ465" i="5" s="1"/>
  <c r="AP383" i="5"/>
  <c r="AR383" i="5" s="1"/>
  <c r="AN325" i="5"/>
  <c r="AO347" i="5"/>
  <c r="AO163" i="5"/>
  <c r="AN385" i="5"/>
  <c r="AH293" i="5"/>
  <c r="AI293" i="5"/>
  <c r="AH251" i="5"/>
  <c r="AI251" i="5"/>
  <c r="AN43" i="5"/>
  <c r="AH124" i="5"/>
  <c r="AI124" i="5"/>
  <c r="AN338" i="5"/>
  <c r="AO92" i="5"/>
  <c r="AN276" i="5"/>
  <c r="AI272" i="5"/>
  <c r="AH272" i="5"/>
  <c r="AI268" i="5"/>
  <c r="AH268" i="5"/>
  <c r="AO493" i="5"/>
  <c r="AP141" i="5"/>
  <c r="AR141" i="5" s="1"/>
  <c r="AP356" i="5"/>
  <c r="AR356" i="5" s="1"/>
  <c r="AP227" i="5"/>
  <c r="AR227" i="5" s="1"/>
  <c r="AO426" i="5"/>
  <c r="AO383" i="5"/>
  <c r="AI258" i="5"/>
  <c r="AK51" i="5"/>
  <c r="AN156" i="5"/>
  <c r="AO179" i="5"/>
  <c r="AH393" i="5"/>
  <c r="AH339" i="5"/>
  <c r="AH297" i="5"/>
  <c r="AP234" i="5"/>
  <c r="AR234" i="5" s="1"/>
  <c r="AN130" i="5"/>
  <c r="AK273" i="5"/>
  <c r="AO505" i="5"/>
  <c r="AO536" i="5"/>
  <c r="AO465" i="5"/>
  <c r="AH362" i="5"/>
  <c r="AI203" i="5"/>
  <c r="AL465" i="5"/>
  <c r="AP283" i="5"/>
  <c r="AR283" i="5" s="1"/>
  <c r="AI105" i="5"/>
  <c r="AN47" i="5"/>
  <c r="AO446" i="5"/>
  <c r="AO474" i="5"/>
  <c r="AN532" i="5"/>
  <c r="AO125" i="5"/>
  <c r="AI532" i="5"/>
  <c r="AN354" i="5"/>
  <c r="AP43" i="5"/>
  <c r="AR43" i="5" s="1"/>
  <c r="AH19" i="5"/>
  <c r="AH411" i="5"/>
  <c r="AI475" i="5"/>
  <c r="AH475" i="5"/>
  <c r="AO45" i="5"/>
  <c r="AH216" i="5"/>
  <c r="AN437" i="5"/>
  <c r="AP394" i="5"/>
  <c r="AQ394" i="5" s="1"/>
  <c r="AN547" i="5"/>
  <c r="AN423" i="5"/>
  <c r="AH22" i="5"/>
  <c r="AN265" i="5"/>
  <c r="AP516" i="5"/>
  <c r="AQ516" i="5" s="1"/>
  <c r="AP281" i="5"/>
  <c r="AQ281" i="5" s="1"/>
  <c r="AK43" i="5"/>
  <c r="AO68" i="5"/>
  <c r="AO284" i="5"/>
  <c r="AI298" i="5"/>
  <c r="AH298" i="5"/>
  <c r="AP379" i="5"/>
  <c r="AR379" i="5" s="1"/>
  <c r="AH110" i="5"/>
  <c r="AK483" i="5"/>
  <c r="W12" i="5"/>
  <c r="Y12" i="5" s="1"/>
  <c r="AH513" i="5"/>
  <c r="AH227" i="5"/>
  <c r="AP51" i="5"/>
  <c r="AR51" i="5" s="1"/>
  <c r="AN128" i="5"/>
  <c r="AG12" i="5"/>
  <c r="AH12" i="5" s="1"/>
  <c r="AN352" i="5"/>
  <c r="AI295" i="5"/>
  <c r="AH295" i="5"/>
  <c r="AO431" i="5"/>
  <c r="AH247" i="5"/>
  <c r="AI247" i="5"/>
  <c r="AN435" i="5"/>
  <c r="AJ12" i="5"/>
  <c r="AK12" i="5" s="1"/>
  <c r="AN298" i="5"/>
  <c r="AO434" i="5"/>
  <c r="AO458" i="5"/>
  <c r="AH488" i="5"/>
  <c r="AN62" i="5"/>
  <c r="AH301" i="5"/>
  <c r="AO71" i="5"/>
  <c r="AN543" i="5"/>
  <c r="AL379" i="5"/>
  <c r="Q12" i="5"/>
  <c r="R12" i="5" s="1"/>
  <c r="AO488" i="5"/>
  <c r="AN137" i="5"/>
  <c r="AI555" i="5"/>
  <c r="AI509" i="5"/>
  <c r="AH266" i="5"/>
  <c r="AO97" i="5"/>
  <c r="AN161" i="5"/>
  <c r="AO326" i="5"/>
  <c r="AO206" i="5"/>
  <c r="AN195" i="5"/>
  <c r="AP548" i="5"/>
  <c r="AR548" i="5" s="1"/>
  <c r="AP510" i="5"/>
  <c r="AQ510" i="5" s="1"/>
  <c r="AN294" i="5"/>
  <c r="AO533" i="5"/>
  <c r="AN318" i="5"/>
  <c r="AM12" i="5"/>
  <c r="AO12" i="5" s="1"/>
  <c r="AH171" i="5"/>
  <c r="AN421" i="5"/>
  <c r="AN176" i="5"/>
  <c r="AO173" i="5"/>
  <c r="AP129" i="5"/>
  <c r="AR129" i="5" s="1"/>
  <c r="AP222" i="5"/>
  <c r="AQ222" i="5" s="1"/>
  <c r="AP539" i="5"/>
  <c r="AR539" i="5" s="1"/>
  <c r="AO495" i="5"/>
  <c r="AN418" i="5"/>
  <c r="AH346" i="5"/>
  <c r="AO175" i="5"/>
  <c r="AO96" i="5"/>
  <c r="AN374" i="5"/>
  <c r="AN324" i="5"/>
  <c r="AO492" i="5"/>
  <c r="AN224" i="5"/>
  <c r="AN162" i="5"/>
  <c r="AH120" i="5"/>
  <c r="AH373" i="5"/>
  <c r="AI252" i="5"/>
  <c r="AP386" i="5"/>
  <c r="AQ386" i="5" s="1"/>
  <c r="AP437" i="5"/>
  <c r="AQ437" i="5" s="1"/>
  <c r="AI435" i="5"/>
  <c r="AH435" i="5"/>
  <c r="AH271" i="5"/>
  <c r="AI271" i="5"/>
  <c r="V209" i="5"/>
  <c r="U129" i="5"/>
  <c r="U62" i="5"/>
  <c r="V144" i="5"/>
  <c r="V189" i="5"/>
  <c r="V193" i="5"/>
  <c r="V116" i="5"/>
  <c r="V96" i="5"/>
  <c r="U96" i="4"/>
  <c r="AH96" i="4" s="1"/>
  <c r="V98" i="4"/>
  <c r="W98" i="4" s="1"/>
  <c r="Y98" i="4" s="1"/>
  <c r="AS24" i="4"/>
  <c r="V103" i="4"/>
  <c r="W103" i="4" s="1"/>
  <c r="U13" i="4"/>
  <c r="AH13" i="4" s="1"/>
  <c r="V150" i="4"/>
  <c r="W150" i="4" s="1"/>
  <c r="X150" i="4" s="1"/>
  <c r="U126" i="4"/>
  <c r="AH126" i="4" s="1"/>
  <c r="U99" i="4"/>
  <c r="AH99" i="4" s="1"/>
  <c r="U47" i="4"/>
  <c r="AH47" i="4" s="1"/>
  <c r="AS99" i="4"/>
  <c r="V147" i="4"/>
  <c r="AM147" i="4" s="1"/>
  <c r="AN147" i="4" s="1"/>
  <c r="U119" i="4"/>
  <c r="AH119" i="4" s="1"/>
  <c r="AS41" i="4"/>
  <c r="V36" i="4"/>
  <c r="AM36" i="4" s="1"/>
  <c r="AN36" i="4" s="1"/>
  <c r="AS23" i="4"/>
  <c r="V114" i="4"/>
  <c r="AM114" i="4" s="1"/>
  <c r="AN114" i="4" s="1"/>
  <c r="AS147" i="4"/>
  <c r="V88" i="4"/>
  <c r="AM88" i="4" s="1"/>
  <c r="AN88" i="4" s="1"/>
  <c r="U60" i="4"/>
  <c r="AH60" i="4" s="1"/>
  <c r="U69" i="4"/>
  <c r="AH69" i="4" s="1"/>
  <c r="U114" i="4"/>
  <c r="AH114" i="4" s="1"/>
  <c r="AS114" i="4"/>
  <c r="V156" i="4"/>
  <c r="AM156" i="4" s="1"/>
  <c r="AN156" i="4" s="1"/>
  <c r="AS88" i="4"/>
  <c r="AS53" i="4"/>
  <c r="U19" i="4"/>
  <c r="AH19" i="4" s="1"/>
  <c r="U88" i="4"/>
  <c r="AH88" i="4" s="1"/>
  <c r="U53" i="4"/>
  <c r="AH53" i="4" s="1"/>
  <c r="AS19" i="4"/>
  <c r="U112" i="4"/>
  <c r="AH112" i="4" s="1"/>
  <c r="V69" i="4"/>
  <c r="AM69" i="4" s="1"/>
  <c r="AN69" i="4" s="1"/>
  <c r="V19" i="4"/>
  <c r="AM19" i="4" s="1"/>
  <c r="AN19" i="4" s="1"/>
  <c r="AS102" i="4"/>
  <c r="AS89" i="4"/>
  <c r="V112" i="4"/>
  <c r="AM112" i="4" s="1"/>
  <c r="AN112" i="4" s="1"/>
  <c r="AS144" i="4"/>
  <c r="V137" i="4"/>
  <c r="AM137" i="4" s="1"/>
  <c r="AN137" i="4" s="1"/>
  <c r="AS91" i="4"/>
  <c r="AS40" i="4"/>
  <c r="V89" i="4"/>
  <c r="W89" i="4" s="1"/>
  <c r="Y89" i="4" s="1"/>
  <c r="U137" i="4"/>
  <c r="AH137" i="4" s="1"/>
  <c r="V23" i="4"/>
  <c r="W23" i="4" s="1"/>
  <c r="U89" i="4"/>
  <c r="AH89" i="4" s="1"/>
  <c r="V119" i="4"/>
  <c r="AM119" i="4" s="1"/>
  <c r="AN119" i="4" s="1"/>
  <c r="V41" i="4"/>
  <c r="W41" i="4" s="1"/>
  <c r="Y41" i="4" s="1"/>
  <c r="Z41" i="4" s="1"/>
  <c r="AF41" i="4" s="1"/>
  <c r="AS36" i="4"/>
  <c r="U23" i="4"/>
  <c r="AH23" i="4" s="1"/>
  <c r="V143" i="4"/>
  <c r="AM143" i="4" s="1"/>
  <c r="V40" i="4"/>
  <c r="W40" i="4" s="1"/>
  <c r="Y40" i="4" s="1"/>
  <c r="U147" i="4"/>
  <c r="AH147" i="4" s="1"/>
  <c r="U40" i="4"/>
  <c r="AH40" i="4" s="1"/>
  <c r="AH206" i="5"/>
  <c r="AI206" i="5"/>
  <c r="AI479" i="5"/>
  <c r="AH479" i="5"/>
  <c r="AH471" i="5"/>
  <c r="AI471" i="5"/>
  <c r="S526" i="5"/>
  <c r="AO209" i="5"/>
  <c r="AN462" i="5"/>
  <c r="AP371" i="5"/>
  <c r="AQ371" i="5" s="1"/>
  <c r="AN240" i="5"/>
  <c r="V219" i="5"/>
  <c r="AN467" i="5"/>
  <c r="AS126" i="4"/>
  <c r="U38" i="4"/>
  <c r="AH38" i="4" s="1"/>
  <c r="V102" i="4"/>
  <c r="W102" i="4" s="1"/>
  <c r="Y102" i="4" s="1"/>
  <c r="AO58" i="5"/>
  <c r="AN61" i="5"/>
  <c r="U77" i="5"/>
  <c r="AO132" i="5"/>
  <c r="AO114" i="5"/>
  <c r="AO106" i="5"/>
  <c r="V49" i="4"/>
  <c r="AM49" i="4" s="1"/>
  <c r="AN49" i="4" s="1"/>
  <c r="V47" i="4"/>
  <c r="AM47" i="4" s="1"/>
  <c r="AN47" i="4" s="1"/>
  <c r="AO433" i="5"/>
  <c r="U71" i="4"/>
  <c r="AH71" i="4" s="1"/>
  <c r="V91" i="4"/>
  <c r="AM91" i="4" s="1"/>
  <c r="AN91" i="4" s="1"/>
  <c r="V127" i="4"/>
  <c r="AM127" i="4" s="1"/>
  <c r="AN127" i="4" s="1"/>
  <c r="AS38" i="4"/>
  <c r="U141" i="4"/>
  <c r="AH141" i="4" s="1"/>
  <c r="U73" i="4"/>
  <c r="AH73" i="4" s="1"/>
  <c r="V29" i="4"/>
  <c r="AM29" i="4" s="1"/>
  <c r="AN29" i="4" s="1"/>
  <c r="AL371" i="5"/>
  <c r="AN81" i="5"/>
  <c r="AS97" i="4"/>
  <c r="U49" i="4"/>
  <c r="AH49" i="4" s="1"/>
  <c r="U86" i="5"/>
  <c r="AS47" i="4"/>
  <c r="AS71" i="4"/>
  <c r="AS111" i="4"/>
  <c r="U70" i="4"/>
  <c r="AH70" i="4" s="1"/>
  <c r="U127" i="4"/>
  <c r="AH127" i="4" s="1"/>
  <c r="V38" i="4"/>
  <c r="W38" i="4" s="1"/>
  <c r="V136" i="5"/>
  <c r="AO491" i="5"/>
  <c r="AS11" i="4"/>
  <c r="V182" i="5"/>
  <c r="U29" i="4"/>
  <c r="AH29" i="4" s="1"/>
  <c r="AO24" i="5"/>
  <c r="AN384" i="5"/>
  <c r="AN444" i="5"/>
  <c r="AO447" i="5"/>
  <c r="AS49" i="4"/>
  <c r="V116" i="4"/>
  <c r="W116" i="4" s="1"/>
  <c r="V111" i="4"/>
  <c r="W111" i="4" s="1"/>
  <c r="Y111" i="4" s="1"/>
  <c r="AN140" i="5"/>
  <c r="U100" i="4"/>
  <c r="AH100" i="4" s="1"/>
  <c r="AN267" i="5"/>
  <c r="AO555" i="5"/>
  <c r="V18" i="4"/>
  <c r="AM18" i="4" s="1"/>
  <c r="AN18" i="4" s="1"/>
  <c r="V97" i="4"/>
  <c r="W97" i="4" s="1"/>
  <c r="Y97" i="4" s="1"/>
  <c r="AS29" i="4"/>
  <c r="AO550" i="5"/>
  <c r="AP166" i="5"/>
  <c r="AQ166" i="5" s="1"/>
  <c r="AP65" i="5"/>
  <c r="AQ65" i="5" s="1"/>
  <c r="U55" i="4"/>
  <c r="AH55" i="4" s="1"/>
  <c r="AN396" i="5"/>
  <c r="U97" i="4"/>
  <c r="AH97" i="4" s="1"/>
  <c r="V167" i="5"/>
  <c r="AN412" i="5"/>
  <c r="AO450" i="5"/>
  <c r="U116" i="4"/>
  <c r="AH116" i="4" s="1"/>
  <c r="U30" i="4"/>
  <c r="AH30" i="4" s="1"/>
  <c r="U111" i="4"/>
  <c r="AH111" i="4" s="1"/>
  <c r="AS100" i="4"/>
  <c r="AO504" i="5"/>
  <c r="AN65" i="5"/>
  <c r="AO49" i="5"/>
  <c r="AN557" i="5"/>
  <c r="Y365" i="5"/>
  <c r="U76" i="4"/>
  <c r="AH76" i="4" s="1"/>
  <c r="AP491" i="5"/>
  <c r="AR491" i="5" s="1"/>
  <c r="AS55" i="4"/>
  <c r="AO116" i="5"/>
  <c r="V103" i="5"/>
  <c r="AS60" i="4"/>
  <c r="AN397" i="5"/>
  <c r="AS116" i="4"/>
  <c r="V86" i="4"/>
  <c r="W86" i="4" s="1"/>
  <c r="V100" i="4"/>
  <c r="AM100" i="4" s="1"/>
  <c r="AN100" i="4" s="1"/>
  <c r="AS70" i="4"/>
  <c r="U10" i="4"/>
  <c r="AH10" i="4" s="1"/>
  <c r="AS76" i="4"/>
  <c r="V55" i="4"/>
  <c r="AM55" i="4" s="1"/>
  <c r="AN55" i="4" s="1"/>
  <c r="V11" i="4"/>
  <c r="AM11" i="4" s="1"/>
  <c r="AN11" i="4" s="1"/>
  <c r="V60" i="4"/>
  <c r="W60" i="4" s="1"/>
  <c r="Y60" i="4" s="1"/>
  <c r="U68" i="4"/>
  <c r="AH68" i="4" s="1"/>
  <c r="V126" i="4"/>
  <c r="W126" i="4" s="1"/>
  <c r="X126" i="4" s="1"/>
  <c r="U86" i="4"/>
  <c r="AH86" i="4" s="1"/>
  <c r="V30" i="4"/>
  <c r="AM30" i="4" s="1"/>
  <c r="AN30" i="4" s="1"/>
  <c r="V70" i="4"/>
  <c r="W70" i="4" s="1"/>
  <c r="Y70" i="4" s="1"/>
  <c r="U102" i="4"/>
  <c r="AH102" i="4" s="1"/>
  <c r="AO225" i="5"/>
  <c r="AP273" i="5"/>
  <c r="AR273" i="5" s="1"/>
  <c r="V23" i="5"/>
  <c r="AS25" i="4"/>
  <c r="V104" i="5"/>
  <c r="AO432" i="5"/>
  <c r="U48" i="4"/>
  <c r="AH48" i="4" s="1"/>
  <c r="AO252" i="5"/>
  <c r="AO264" i="5"/>
  <c r="V106" i="4"/>
  <c r="AM106" i="4" s="1"/>
  <c r="AN106" i="4" s="1"/>
  <c r="V46" i="5"/>
  <c r="AN199" i="5"/>
  <c r="AO56" i="5"/>
  <c r="AN406" i="5"/>
  <c r="AS52" i="4"/>
  <c r="AO212" i="5"/>
  <c r="AO88" i="5"/>
  <c r="V146" i="4"/>
  <c r="AM146" i="4" s="1"/>
  <c r="AN146" i="4" s="1"/>
  <c r="AP25" i="5"/>
  <c r="AQ25" i="5" s="1"/>
  <c r="AP287" i="5"/>
  <c r="AR287" i="5" s="1"/>
  <c r="AP410" i="5"/>
  <c r="AQ410" i="5" s="1"/>
  <c r="AP135" i="5"/>
  <c r="AR135" i="5" s="1"/>
  <c r="AP380" i="5"/>
  <c r="AQ380" i="5" s="1"/>
  <c r="AP153" i="5"/>
  <c r="AQ153" i="5" s="1"/>
  <c r="AS48" i="4"/>
  <c r="U106" i="4"/>
  <c r="AH106" i="4" s="1"/>
  <c r="AS31" i="4"/>
  <c r="AO371" i="5"/>
  <c r="AN363" i="5"/>
  <c r="AP225" i="5"/>
  <c r="AR225" i="5" s="1"/>
  <c r="AO239" i="5"/>
  <c r="AN420" i="5"/>
  <c r="V60" i="5"/>
  <c r="V48" i="5"/>
  <c r="V147" i="5"/>
  <c r="V75" i="4"/>
  <c r="AM75" i="4" s="1"/>
  <c r="AN75" i="4" s="1"/>
  <c r="U95" i="4"/>
  <c r="AH95" i="4" s="1"/>
  <c r="AS146" i="4"/>
  <c r="AP105" i="5"/>
  <c r="AQ105" i="5" s="1"/>
  <c r="V234" i="5"/>
  <c r="AP214" i="5"/>
  <c r="AR214" i="5" s="1"/>
  <c r="AP527" i="5"/>
  <c r="AR527" i="5" s="1"/>
  <c r="AP199" i="5"/>
  <c r="AQ199" i="5" s="1"/>
  <c r="AP250" i="5"/>
  <c r="AR250" i="5" s="1"/>
  <c r="AS110" i="4"/>
  <c r="U75" i="4"/>
  <c r="AH75" i="4" s="1"/>
  <c r="AS95" i="4"/>
  <c r="AO415" i="5"/>
  <c r="AN415" i="5"/>
  <c r="V74" i="4"/>
  <c r="AM74" i="4" s="1"/>
  <c r="AN74" i="4" s="1"/>
  <c r="U25" i="4"/>
  <c r="AH25" i="4" s="1"/>
  <c r="V110" i="4"/>
  <c r="W110" i="4" s="1"/>
  <c r="Y110" i="4" s="1"/>
  <c r="AL225" i="5"/>
  <c r="AO451" i="5"/>
  <c r="AN451" i="5"/>
  <c r="AS7" i="4"/>
  <c r="V118" i="4"/>
  <c r="AM118" i="4" s="1"/>
  <c r="AO331" i="5"/>
  <c r="AN331" i="5"/>
  <c r="AI388" i="5"/>
  <c r="AH388" i="5"/>
  <c r="AH331" i="5"/>
  <c r="AI331" i="5"/>
  <c r="AH52" i="5"/>
  <c r="AI52" i="5"/>
  <c r="AH263" i="5"/>
  <c r="AI263" i="5"/>
  <c r="AN51" i="5"/>
  <c r="AO51" i="5"/>
  <c r="AP556" i="5"/>
  <c r="AQ556" i="5" s="1"/>
  <c r="AP58" i="5"/>
  <c r="AQ58" i="5" s="1"/>
  <c r="AP175" i="5"/>
  <c r="AQ175" i="5" s="1"/>
  <c r="AP130" i="5"/>
  <c r="AQ130" i="5" s="1"/>
  <c r="V25" i="4"/>
  <c r="AM25" i="4" s="1"/>
  <c r="AN25" i="4" s="1"/>
  <c r="U257" i="5"/>
  <c r="AS75" i="4"/>
  <c r="V63" i="4"/>
  <c r="AM63" i="4" s="1"/>
  <c r="AN63" i="4" s="1"/>
  <c r="S480" i="5"/>
  <c r="V35" i="4"/>
  <c r="AM35" i="4" s="1"/>
  <c r="AN35" i="4" s="1"/>
  <c r="V76" i="4"/>
  <c r="AM76" i="4" s="1"/>
  <c r="AN76" i="4" s="1"/>
  <c r="AI399" i="5"/>
  <c r="AH399" i="5"/>
  <c r="AH329" i="5"/>
  <c r="AI329" i="5"/>
  <c r="AO499" i="5"/>
  <c r="AN499" i="5"/>
  <c r="AP333" i="5"/>
  <c r="AQ333" i="5" s="1"/>
  <c r="U63" i="4"/>
  <c r="AH63" i="4" s="1"/>
  <c r="AS35" i="4"/>
  <c r="V9" i="4"/>
  <c r="AM9" i="4" s="1"/>
  <c r="AN9" i="4" s="1"/>
  <c r="AI369" i="5"/>
  <c r="AH369" i="5"/>
  <c r="AI241" i="5"/>
  <c r="AH241" i="5"/>
  <c r="AH431" i="5"/>
  <c r="AI431" i="5"/>
  <c r="AN427" i="5"/>
  <c r="AO427" i="5"/>
  <c r="AN539" i="5"/>
  <c r="AO539" i="5"/>
  <c r="AP354" i="5"/>
  <c r="AQ354" i="5" s="1"/>
  <c r="AP450" i="5"/>
  <c r="AQ450" i="5" s="1"/>
  <c r="AP324" i="5"/>
  <c r="AQ324" i="5" s="1"/>
  <c r="U35" i="4"/>
  <c r="AH35" i="4" s="1"/>
  <c r="AS63" i="4"/>
  <c r="U12" i="4"/>
  <c r="AH12" i="4" s="1"/>
  <c r="U9" i="4"/>
  <c r="AH9" i="4" s="1"/>
  <c r="AO305" i="5"/>
  <c r="AH53" i="5"/>
  <c r="AI53" i="5"/>
  <c r="AI95" i="5"/>
  <c r="AH95" i="5"/>
  <c r="AI191" i="5"/>
  <c r="AH191" i="5"/>
  <c r="AN73" i="5"/>
  <c r="AO73" i="5"/>
  <c r="AP432" i="5"/>
  <c r="AQ432" i="5" s="1"/>
  <c r="AP69" i="5"/>
  <c r="AQ69" i="5" s="1"/>
  <c r="AP390" i="5"/>
  <c r="AQ390" i="5" s="1"/>
  <c r="AP178" i="5"/>
  <c r="AR178" i="5" s="1"/>
  <c r="AP355" i="5"/>
  <c r="AR355" i="5" s="1"/>
  <c r="AP217" i="5"/>
  <c r="AR217" i="5" s="1"/>
  <c r="AP290" i="5"/>
  <c r="AR290" i="5" s="1"/>
  <c r="AP365" i="5"/>
  <c r="AQ365" i="5" s="1"/>
  <c r="AP396" i="5"/>
  <c r="AR396" i="5" s="1"/>
  <c r="AP314" i="5"/>
  <c r="AR314" i="5" s="1"/>
  <c r="AP301" i="5"/>
  <c r="AR301" i="5" s="1"/>
  <c r="AP528" i="5"/>
  <c r="AR528" i="5" s="1"/>
  <c r="AP173" i="5"/>
  <c r="AR173" i="5" s="1"/>
  <c r="U74" i="4"/>
  <c r="AH74" i="4" s="1"/>
  <c r="AS106" i="4"/>
  <c r="V31" i="4"/>
  <c r="AM31" i="4" s="1"/>
  <c r="AN31" i="4" s="1"/>
  <c r="U110" i="4"/>
  <c r="AH110" i="4" s="1"/>
  <c r="AP348" i="5"/>
  <c r="AQ348" i="5" s="1"/>
  <c r="AP387" i="5"/>
  <c r="AQ387" i="5" s="1"/>
  <c r="AK105" i="5"/>
  <c r="V123" i="4"/>
  <c r="AM123" i="4" s="1"/>
  <c r="AN123" i="4" s="1"/>
  <c r="R554" i="5"/>
  <c r="AS12" i="4"/>
  <c r="AS9" i="4"/>
  <c r="U84" i="4"/>
  <c r="AH84" i="4" s="1"/>
  <c r="AI543" i="5"/>
  <c r="AH543" i="5"/>
  <c r="AH150" i="5"/>
  <c r="AI150" i="5"/>
  <c r="AI43" i="5"/>
  <c r="AH43" i="5"/>
  <c r="AN313" i="5"/>
  <c r="AO313" i="5"/>
  <c r="AO108" i="5"/>
  <c r="AN108" i="5"/>
  <c r="AP494" i="5"/>
  <c r="AQ494" i="5" s="1"/>
  <c r="AP520" i="5"/>
  <c r="AR520" i="5" s="1"/>
  <c r="AP48" i="5"/>
  <c r="AR48" i="5" s="1"/>
  <c r="AP267" i="5"/>
  <c r="AQ267" i="5" s="1"/>
  <c r="AP338" i="5"/>
  <c r="AR338" i="5" s="1"/>
  <c r="AP332" i="5"/>
  <c r="AQ332" i="5" s="1"/>
  <c r="AP157" i="5"/>
  <c r="AQ157" i="5" s="1"/>
  <c r="AP304" i="5"/>
  <c r="AR304" i="5" s="1"/>
  <c r="V48" i="4"/>
  <c r="AM48" i="4" s="1"/>
  <c r="AN48" i="4" s="1"/>
  <c r="AS74" i="4"/>
  <c r="U31" i="4"/>
  <c r="AH31" i="4" s="1"/>
  <c r="AP434" i="5"/>
  <c r="AQ434" i="5" s="1"/>
  <c r="U7" i="4"/>
  <c r="AH7" i="4" s="1"/>
  <c r="U123" i="4"/>
  <c r="AH123" i="4" s="1"/>
  <c r="V52" i="4"/>
  <c r="W52" i="4" s="1"/>
  <c r="AN273" i="5"/>
  <c r="AO416" i="5"/>
  <c r="AH325" i="5"/>
  <c r="AI325" i="5"/>
  <c r="AI541" i="5"/>
  <c r="AH541" i="5"/>
  <c r="AP405" i="5"/>
  <c r="AQ405" i="5" s="1"/>
  <c r="AP212" i="5"/>
  <c r="AR212" i="5" s="1"/>
  <c r="AP461" i="5"/>
  <c r="AQ461" i="5" s="1"/>
  <c r="V7" i="4"/>
  <c r="AM7" i="4" s="1"/>
  <c r="AN7" i="4" s="1"/>
  <c r="AS123" i="4"/>
  <c r="U52" i="4"/>
  <c r="AH52" i="4" s="1"/>
  <c r="V95" i="4"/>
  <c r="W95" i="4" s="1"/>
  <c r="AH430" i="5"/>
  <c r="AI430" i="5"/>
  <c r="AI342" i="5"/>
  <c r="AH342" i="5"/>
  <c r="AN171" i="5"/>
  <c r="AO171" i="5"/>
  <c r="B24" i="2"/>
  <c r="R88" i="5"/>
  <c r="R328" i="5"/>
  <c r="Y65" i="5"/>
  <c r="Y135" i="5"/>
  <c r="Y181" i="5"/>
  <c r="Y416" i="5"/>
  <c r="X206" i="5"/>
  <c r="X204" i="5"/>
  <c r="X74" i="5"/>
  <c r="Z560" i="5"/>
  <c r="AA560" i="5" s="1"/>
  <c r="Z552" i="5"/>
  <c r="AB552" i="5" s="1"/>
  <c r="Z544" i="5"/>
  <c r="AB544" i="5" s="1"/>
  <c r="Z536" i="5"/>
  <c r="Z528" i="5"/>
  <c r="Z520" i="5"/>
  <c r="AB520" i="5" s="1"/>
  <c r="Z512" i="5"/>
  <c r="Z504" i="5"/>
  <c r="AB504" i="5" s="1"/>
  <c r="Z496" i="5"/>
  <c r="Z488" i="5"/>
  <c r="AB488" i="5" s="1"/>
  <c r="Z480" i="5"/>
  <c r="AB480" i="5" s="1"/>
  <c r="Z472" i="5"/>
  <c r="AA472" i="5" s="1"/>
  <c r="Z464" i="5"/>
  <c r="AA464" i="5" s="1"/>
  <c r="Z456" i="5"/>
  <c r="AA456" i="5" s="1"/>
  <c r="Z448" i="5"/>
  <c r="AA448" i="5" s="1"/>
  <c r="Z440" i="5"/>
  <c r="Z432" i="5"/>
  <c r="Z424" i="5"/>
  <c r="AB424" i="5" s="1"/>
  <c r="Z416" i="5"/>
  <c r="AA416" i="5" s="1"/>
  <c r="Z408" i="5"/>
  <c r="AB408" i="5" s="1"/>
  <c r="Z400" i="5"/>
  <c r="AA400" i="5" s="1"/>
  <c r="Z392" i="5"/>
  <c r="AB392" i="5" s="1"/>
  <c r="Z384" i="5"/>
  <c r="AA384" i="5" s="1"/>
  <c r="Z376" i="5"/>
  <c r="AB376" i="5" s="1"/>
  <c r="Z368" i="5"/>
  <c r="AA368" i="5" s="1"/>
  <c r="Z360" i="5"/>
  <c r="AA360" i="5" s="1"/>
  <c r="Z352" i="5"/>
  <c r="AB352" i="5" s="1"/>
  <c r="Z344" i="5"/>
  <c r="Z336" i="5"/>
  <c r="AB336" i="5" s="1"/>
  <c r="Z328" i="5"/>
  <c r="AB328" i="5" s="1"/>
  <c r="Z320" i="5"/>
  <c r="AA320" i="5" s="1"/>
  <c r="Z312" i="5"/>
  <c r="AA312" i="5" s="1"/>
  <c r="Z304" i="5"/>
  <c r="AB304" i="5" s="1"/>
  <c r="Z296" i="5"/>
  <c r="AB296" i="5" s="1"/>
  <c r="Z288" i="5"/>
  <c r="AA288" i="5" s="1"/>
  <c r="Z280" i="5"/>
  <c r="Z272" i="5"/>
  <c r="AA272" i="5" s="1"/>
  <c r="Z264" i="5"/>
  <c r="Z256" i="5"/>
  <c r="AB256" i="5" s="1"/>
  <c r="Z248" i="5"/>
  <c r="Z240" i="5"/>
  <c r="Z232" i="5"/>
  <c r="Z224" i="5"/>
  <c r="AB224" i="5" s="1"/>
  <c r="Z216" i="5"/>
  <c r="Z208" i="5"/>
  <c r="AA208" i="5" s="1"/>
  <c r="Z200" i="5"/>
  <c r="Z192" i="5"/>
  <c r="AB192" i="5" s="1"/>
  <c r="Z184" i="5"/>
  <c r="Z176" i="5"/>
  <c r="AB176" i="5" s="1"/>
  <c r="Z168" i="5"/>
  <c r="AB168" i="5" s="1"/>
  <c r="Z160" i="5"/>
  <c r="AB160" i="5" s="1"/>
  <c r="Z152" i="5"/>
  <c r="AB152" i="5" s="1"/>
  <c r="Z144" i="5"/>
  <c r="AA144" i="5" s="1"/>
  <c r="Z136" i="5"/>
  <c r="Z128" i="5"/>
  <c r="AA128" i="5" s="1"/>
  <c r="Z112" i="5"/>
  <c r="AA112" i="5" s="1"/>
  <c r="Z96" i="5"/>
  <c r="AA96" i="5" s="1"/>
  <c r="Z80" i="5"/>
  <c r="AA80" i="5" s="1"/>
  <c r="Z56" i="5"/>
  <c r="AB56" i="5" s="1"/>
  <c r="Z34" i="5"/>
  <c r="AA34" i="5" s="1"/>
  <c r="Z29" i="5"/>
  <c r="AB29" i="5" s="1"/>
  <c r="Z559" i="5"/>
  <c r="Z551" i="5"/>
  <c r="AB551" i="5" s="1"/>
  <c r="Z543" i="5"/>
  <c r="AB543" i="5" s="1"/>
  <c r="Z535" i="5"/>
  <c r="AA535" i="5" s="1"/>
  <c r="Z527" i="5"/>
  <c r="AA527" i="5" s="1"/>
  <c r="Z519" i="5"/>
  <c r="AB519" i="5" s="1"/>
  <c r="Z511" i="5"/>
  <c r="AA511" i="5" s="1"/>
  <c r="Z503" i="5"/>
  <c r="AB503" i="5" s="1"/>
  <c r="Z495" i="5"/>
  <c r="AB495" i="5" s="1"/>
  <c r="Z487" i="5"/>
  <c r="AA487" i="5" s="1"/>
  <c r="Z479" i="5"/>
  <c r="Z471" i="5"/>
  <c r="AA471" i="5" s="1"/>
  <c r="Z463" i="5"/>
  <c r="AA463" i="5" s="1"/>
  <c r="Z455" i="5"/>
  <c r="AB455" i="5" s="1"/>
  <c r="Z447" i="5"/>
  <c r="AA447" i="5" s="1"/>
  <c r="Z439" i="5"/>
  <c r="AA439" i="5" s="1"/>
  <c r="Z431" i="5"/>
  <c r="AA431" i="5" s="1"/>
  <c r="Z423" i="5"/>
  <c r="AB423" i="5" s="1"/>
  <c r="Z415" i="5"/>
  <c r="AB415" i="5" s="1"/>
  <c r="Z407" i="5"/>
  <c r="AB407" i="5" s="1"/>
  <c r="Z399" i="5"/>
  <c r="Z391" i="5"/>
  <c r="AB391" i="5" s="1"/>
  <c r="Z383" i="5"/>
  <c r="AB383" i="5" s="1"/>
  <c r="Z375" i="5"/>
  <c r="AB375" i="5" s="1"/>
  <c r="Z367" i="5"/>
  <c r="AA367" i="5" s="1"/>
  <c r="Z359" i="5"/>
  <c r="AA359" i="5" s="1"/>
  <c r="Z351" i="5"/>
  <c r="AA351" i="5" s="1"/>
  <c r="Z343" i="5"/>
  <c r="AB343" i="5" s="1"/>
  <c r="Z335" i="5"/>
  <c r="AA335" i="5" s="1"/>
  <c r="Z327" i="5"/>
  <c r="AA327" i="5" s="1"/>
  <c r="Z319" i="5"/>
  <c r="AB319" i="5" s="1"/>
  <c r="Z311" i="5"/>
  <c r="AB311" i="5" s="1"/>
  <c r="Z303" i="5"/>
  <c r="AB303" i="5" s="1"/>
  <c r="Z295" i="5"/>
  <c r="Z287" i="5"/>
  <c r="AA287" i="5" s="1"/>
  <c r="Z279" i="5"/>
  <c r="Z271" i="5"/>
  <c r="AA271" i="5" s="1"/>
  <c r="Z263" i="5"/>
  <c r="AB263" i="5" s="1"/>
  <c r="Z255" i="5"/>
  <c r="AA255" i="5" s="1"/>
  <c r="Z247" i="5"/>
  <c r="AA247" i="5" s="1"/>
  <c r="Z239" i="5"/>
  <c r="AB239" i="5" s="1"/>
  <c r="Z231" i="5"/>
  <c r="AB231" i="5" s="1"/>
  <c r="Z223" i="5"/>
  <c r="AB223" i="5" s="1"/>
  <c r="Z215" i="5"/>
  <c r="AA215" i="5" s="1"/>
  <c r="Z207" i="5"/>
  <c r="AB207" i="5" s="1"/>
  <c r="Z199" i="5"/>
  <c r="AB199" i="5" s="1"/>
  <c r="Z191" i="5"/>
  <c r="AA191" i="5" s="1"/>
  <c r="Z183" i="5"/>
  <c r="Z175" i="5"/>
  <c r="AB175" i="5" s="1"/>
  <c r="Z167" i="5"/>
  <c r="AB167" i="5" s="1"/>
  <c r="Z159" i="5"/>
  <c r="AA159" i="5" s="1"/>
  <c r="Z151" i="5"/>
  <c r="AA151" i="5" s="1"/>
  <c r="Z143" i="5"/>
  <c r="AA143" i="5" s="1"/>
  <c r="Z135" i="5"/>
  <c r="AA135" i="5" s="1"/>
  <c r="Z127" i="5"/>
  <c r="Z119" i="5"/>
  <c r="AB119" i="5" s="1"/>
  <c r="Z111" i="5"/>
  <c r="AB111" i="5" s="1"/>
  <c r="Z103" i="5"/>
  <c r="AA103" i="5" s="1"/>
  <c r="Z95" i="5"/>
  <c r="AB95" i="5" s="1"/>
  <c r="Z87" i="5"/>
  <c r="AB87" i="5" s="1"/>
  <c r="Z79" i="5"/>
  <c r="AB79" i="5" s="1"/>
  <c r="Z71" i="5"/>
  <c r="AA71" i="5" s="1"/>
  <c r="Z63" i="5"/>
  <c r="AB63" i="5" s="1"/>
  <c r="Z55" i="5"/>
  <c r="AB55" i="5" s="1"/>
  <c r="Z47" i="5"/>
  <c r="AB47" i="5" s="1"/>
  <c r="Z39" i="5"/>
  <c r="AA39" i="5" s="1"/>
  <c r="Z33" i="5"/>
  <c r="Z25" i="5"/>
  <c r="AA25" i="5" s="1"/>
  <c r="Z12" i="5"/>
  <c r="Z166" i="5"/>
  <c r="AA166" i="5" s="1"/>
  <c r="Z150" i="5"/>
  <c r="AA150" i="5" s="1"/>
  <c r="Z134" i="5"/>
  <c r="Z118" i="5"/>
  <c r="AB118" i="5" s="1"/>
  <c r="Z102" i="5"/>
  <c r="Z78" i="5"/>
  <c r="Z62" i="5"/>
  <c r="AB62" i="5" s="1"/>
  <c r="Z54" i="5"/>
  <c r="AA54" i="5" s="1"/>
  <c r="Z32" i="5"/>
  <c r="AB32" i="5" s="1"/>
  <c r="Z10" i="5"/>
  <c r="AB10" i="5" s="1"/>
  <c r="Z131" i="5"/>
  <c r="AA131" i="5" s="1"/>
  <c r="Z91" i="5"/>
  <c r="AA91" i="5" s="1"/>
  <c r="Z43" i="5"/>
  <c r="AB43" i="5" s="1"/>
  <c r="Z558" i="5"/>
  <c r="Z550" i="5"/>
  <c r="AB550" i="5" s="1"/>
  <c r="Z542" i="5"/>
  <c r="AA542" i="5" s="1"/>
  <c r="Z534" i="5"/>
  <c r="Z526" i="5"/>
  <c r="AA526" i="5" s="1"/>
  <c r="Z518" i="5"/>
  <c r="AB518" i="5" s="1"/>
  <c r="Z510" i="5"/>
  <c r="AB510" i="5" s="1"/>
  <c r="Z502" i="5"/>
  <c r="AB502" i="5" s="1"/>
  <c r="Z494" i="5"/>
  <c r="AB494" i="5" s="1"/>
  <c r="Z486" i="5"/>
  <c r="AB486" i="5" s="1"/>
  <c r="Z478" i="5"/>
  <c r="AB478" i="5" s="1"/>
  <c r="Z470" i="5"/>
  <c r="AB470" i="5" s="1"/>
  <c r="Z462" i="5"/>
  <c r="AB462" i="5" s="1"/>
  <c r="Z454" i="5"/>
  <c r="AB454" i="5" s="1"/>
  <c r="Z446" i="5"/>
  <c r="Z438" i="5"/>
  <c r="AB438" i="5" s="1"/>
  <c r="Z430" i="5"/>
  <c r="AA430" i="5" s="1"/>
  <c r="Z422" i="5"/>
  <c r="AB422" i="5" s="1"/>
  <c r="Z414" i="5"/>
  <c r="AB414" i="5" s="1"/>
  <c r="Z406" i="5"/>
  <c r="AA406" i="5" s="1"/>
  <c r="Z398" i="5"/>
  <c r="Z390" i="5"/>
  <c r="AA390" i="5" s="1"/>
  <c r="Z382" i="5"/>
  <c r="AB382" i="5" s="1"/>
  <c r="Z374" i="5"/>
  <c r="AB374" i="5" s="1"/>
  <c r="Z366" i="5"/>
  <c r="AA366" i="5" s="1"/>
  <c r="Z358" i="5"/>
  <c r="AB358" i="5" s="1"/>
  <c r="Z350" i="5"/>
  <c r="AA350" i="5" s="1"/>
  <c r="Z342" i="5"/>
  <c r="Z334" i="5"/>
  <c r="AB334" i="5" s="1"/>
  <c r="Z326" i="5"/>
  <c r="AA326" i="5" s="1"/>
  <c r="Z318" i="5"/>
  <c r="AB318" i="5" s="1"/>
  <c r="Z310" i="5"/>
  <c r="Z302" i="5"/>
  <c r="AA302" i="5" s="1"/>
  <c r="Z294" i="5"/>
  <c r="AB294" i="5" s="1"/>
  <c r="Z286" i="5"/>
  <c r="AB286" i="5" s="1"/>
  <c r="Z278" i="5"/>
  <c r="AA278" i="5" s="1"/>
  <c r="Z270" i="5"/>
  <c r="AA270" i="5" s="1"/>
  <c r="Z262" i="5"/>
  <c r="AA262" i="5" s="1"/>
  <c r="Z254" i="5"/>
  <c r="AA254" i="5" s="1"/>
  <c r="Z246" i="5"/>
  <c r="AA246" i="5" s="1"/>
  <c r="Z238" i="5"/>
  <c r="Z230" i="5"/>
  <c r="AA230" i="5" s="1"/>
  <c r="Z222" i="5"/>
  <c r="AB222" i="5" s="1"/>
  <c r="Z214" i="5"/>
  <c r="AA214" i="5" s="1"/>
  <c r="Z206" i="5"/>
  <c r="AA206" i="5" s="1"/>
  <c r="Z198" i="5"/>
  <c r="Z190" i="5"/>
  <c r="AB190" i="5" s="1"/>
  <c r="Z182" i="5"/>
  <c r="Z174" i="5"/>
  <c r="AA174" i="5" s="1"/>
  <c r="Z158" i="5"/>
  <c r="Z142" i="5"/>
  <c r="AB142" i="5" s="1"/>
  <c r="Z126" i="5"/>
  <c r="Z110" i="5"/>
  <c r="AA110" i="5" s="1"/>
  <c r="Z94" i="5"/>
  <c r="AA94" i="5" s="1"/>
  <c r="Z86" i="5"/>
  <c r="AA86" i="5" s="1"/>
  <c r="Z70" i="5"/>
  <c r="AB70" i="5" s="1"/>
  <c r="Z46" i="5"/>
  <c r="Z38" i="5"/>
  <c r="AA38" i="5" s="1"/>
  <c r="Z24" i="5"/>
  <c r="Z147" i="5"/>
  <c r="Z107" i="5"/>
  <c r="AB107" i="5" s="1"/>
  <c r="Z67" i="5"/>
  <c r="Z7" i="5"/>
  <c r="AB7" i="5" s="1"/>
  <c r="Z557" i="5"/>
  <c r="AA557" i="5" s="1"/>
  <c r="Z549" i="5"/>
  <c r="AB549" i="5" s="1"/>
  <c r="Z541" i="5"/>
  <c r="Z533" i="5"/>
  <c r="AA533" i="5" s="1"/>
  <c r="Z525" i="5"/>
  <c r="AA525" i="5" s="1"/>
  <c r="Z517" i="5"/>
  <c r="AB517" i="5" s="1"/>
  <c r="Z509" i="5"/>
  <c r="AA509" i="5" s="1"/>
  <c r="Z501" i="5"/>
  <c r="AB501" i="5" s="1"/>
  <c r="Z493" i="5"/>
  <c r="AA493" i="5" s="1"/>
  <c r="Z485" i="5"/>
  <c r="AA485" i="5" s="1"/>
  <c r="Z477" i="5"/>
  <c r="AA477" i="5" s="1"/>
  <c r="Z469" i="5"/>
  <c r="AA469" i="5" s="1"/>
  <c r="Z461" i="5"/>
  <c r="AB461" i="5" s="1"/>
  <c r="Z453" i="5"/>
  <c r="AA453" i="5" s="1"/>
  <c r="Z445" i="5"/>
  <c r="AB445" i="5" s="1"/>
  <c r="Z437" i="5"/>
  <c r="AA437" i="5" s="1"/>
  <c r="Z429" i="5"/>
  <c r="AA429" i="5" s="1"/>
  <c r="Z421" i="5"/>
  <c r="AA421" i="5" s="1"/>
  <c r="Z413" i="5"/>
  <c r="AA413" i="5" s="1"/>
  <c r="Z405" i="5"/>
  <c r="AB405" i="5" s="1"/>
  <c r="Z397" i="5"/>
  <c r="AB397" i="5" s="1"/>
  <c r="Z389" i="5"/>
  <c r="AA389" i="5" s="1"/>
  <c r="Z381" i="5"/>
  <c r="Z373" i="5"/>
  <c r="AB373" i="5" s="1"/>
  <c r="Z365" i="5"/>
  <c r="Z357" i="5"/>
  <c r="AA357" i="5" s="1"/>
  <c r="Z349" i="5"/>
  <c r="Z341" i="5"/>
  <c r="AA341" i="5" s="1"/>
  <c r="Z333" i="5"/>
  <c r="AB333" i="5" s="1"/>
  <c r="Z325" i="5"/>
  <c r="Z317" i="5"/>
  <c r="AB317" i="5" s="1"/>
  <c r="Z309" i="5"/>
  <c r="AA309" i="5" s="1"/>
  <c r="Z301" i="5"/>
  <c r="AA301" i="5" s="1"/>
  <c r="Z293" i="5"/>
  <c r="AA293" i="5" s="1"/>
  <c r="Z285" i="5"/>
  <c r="Z277" i="5"/>
  <c r="AB277" i="5" s="1"/>
  <c r="Z269" i="5"/>
  <c r="AB269" i="5" s="1"/>
  <c r="Z261" i="5"/>
  <c r="AA261" i="5" s="1"/>
  <c r="Z253" i="5"/>
  <c r="Z245" i="5"/>
  <c r="Z237" i="5"/>
  <c r="Z229" i="5"/>
  <c r="Z221" i="5"/>
  <c r="AB221" i="5" s="1"/>
  <c r="Z213" i="5"/>
  <c r="AB213" i="5" s="1"/>
  <c r="Z205" i="5"/>
  <c r="AB205" i="5" s="1"/>
  <c r="Z197" i="5"/>
  <c r="Z189" i="5"/>
  <c r="AA189" i="5" s="1"/>
  <c r="Z181" i="5"/>
  <c r="AA181" i="5" s="1"/>
  <c r="Z173" i="5"/>
  <c r="Z165" i="5"/>
  <c r="AA165" i="5" s="1"/>
  <c r="Z157" i="5"/>
  <c r="AB157" i="5" s="1"/>
  <c r="Z149" i="5"/>
  <c r="AB149" i="5" s="1"/>
  <c r="Z141" i="5"/>
  <c r="Z133" i="5"/>
  <c r="AA133" i="5" s="1"/>
  <c r="Z125" i="5"/>
  <c r="AB125" i="5" s="1"/>
  <c r="Z117" i="5"/>
  <c r="AA117" i="5" s="1"/>
  <c r="Z109" i="5"/>
  <c r="AA109" i="5" s="1"/>
  <c r="Z101" i="5"/>
  <c r="AA101" i="5" s="1"/>
  <c r="Z93" i="5"/>
  <c r="AA93" i="5" s="1"/>
  <c r="Z85" i="5"/>
  <c r="AA85" i="5" s="1"/>
  <c r="Z77" i="5"/>
  <c r="AA77" i="5" s="1"/>
  <c r="Z69" i="5"/>
  <c r="AB69" i="5" s="1"/>
  <c r="Z61" i="5"/>
  <c r="AA61" i="5" s="1"/>
  <c r="Z53" i="5"/>
  <c r="AB53" i="5" s="1"/>
  <c r="Z45" i="5"/>
  <c r="Z37" i="5"/>
  <c r="AA37" i="5" s="1"/>
  <c r="Z31" i="5"/>
  <c r="AA31" i="5" s="1"/>
  <c r="Z23" i="5"/>
  <c r="AB23" i="5" s="1"/>
  <c r="Z148" i="5"/>
  <c r="AB148" i="5" s="1"/>
  <c r="Z132" i="5"/>
  <c r="AA132" i="5" s="1"/>
  <c r="Z124" i="5"/>
  <c r="AA124" i="5" s="1"/>
  <c r="Z108" i="5"/>
  <c r="AB108" i="5" s="1"/>
  <c r="Z92" i="5"/>
  <c r="AA92" i="5" s="1"/>
  <c r="Z84" i="5"/>
  <c r="AB84" i="5" s="1"/>
  <c r="Z68" i="5"/>
  <c r="Z52" i="5"/>
  <c r="AB52" i="5" s="1"/>
  <c r="Z36" i="5"/>
  <c r="AB36" i="5" s="1"/>
  <c r="Z22" i="5"/>
  <c r="Z171" i="5"/>
  <c r="AA171" i="5" s="1"/>
  <c r="Z139" i="5"/>
  <c r="AA139" i="5" s="1"/>
  <c r="Z123" i="5"/>
  <c r="AA123" i="5" s="1"/>
  <c r="Z83" i="5"/>
  <c r="AA83" i="5" s="1"/>
  <c r="Z51" i="5"/>
  <c r="AA51" i="5" s="1"/>
  <c r="Z556" i="5"/>
  <c r="Z548" i="5"/>
  <c r="AB548" i="5" s="1"/>
  <c r="Z540" i="5"/>
  <c r="AB540" i="5" s="1"/>
  <c r="Z532" i="5"/>
  <c r="AA532" i="5" s="1"/>
  <c r="Z524" i="5"/>
  <c r="AA524" i="5" s="1"/>
  <c r="Z516" i="5"/>
  <c r="AB516" i="5" s="1"/>
  <c r="Z508" i="5"/>
  <c r="Z500" i="5"/>
  <c r="Z492" i="5"/>
  <c r="AB492" i="5" s="1"/>
  <c r="Z484" i="5"/>
  <c r="AB484" i="5" s="1"/>
  <c r="Z476" i="5"/>
  <c r="Z468" i="5"/>
  <c r="AB468" i="5" s="1"/>
  <c r="Z460" i="5"/>
  <c r="AA460" i="5" s="1"/>
  <c r="Z452" i="5"/>
  <c r="AA452" i="5" s="1"/>
  <c r="Z444" i="5"/>
  <c r="AB444" i="5" s="1"/>
  <c r="Z436" i="5"/>
  <c r="AA436" i="5" s="1"/>
  <c r="Z428" i="5"/>
  <c r="AB428" i="5" s="1"/>
  <c r="Z420" i="5"/>
  <c r="AB420" i="5" s="1"/>
  <c r="Z412" i="5"/>
  <c r="AA412" i="5" s="1"/>
  <c r="Z404" i="5"/>
  <c r="AB404" i="5" s="1"/>
  <c r="Z396" i="5"/>
  <c r="AA396" i="5" s="1"/>
  <c r="Z388" i="5"/>
  <c r="AA388" i="5" s="1"/>
  <c r="Z380" i="5"/>
  <c r="AA380" i="5" s="1"/>
  <c r="Z372" i="5"/>
  <c r="AB372" i="5" s="1"/>
  <c r="Z364" i="5"/>
  <c r="AB364" i="5" s="1"/>
  <c r="Z356" i="5"/>
  <c r="AA356" i="5" s="1"/>
  <c r="Z348" i="5"/>
  <c r="AA348" i="5" s="1"/>
  <c r="Z340" i="5"/>
  <c r="AB340" i="5" s="1"/>
  <c r="Z332" i="5"/>
  <c r="AA332" i="5" s="1"/>
  <c r="Z324" i="5"/>
  <c r="AB324" i="5" s="1"/>
  <c r="Z316" i="5"/>
  <c r="AA316" i="5" s="1"/>
  <c r="Z308" i="5"/>
  <c r="Z300" i="5"/>
  <c r="Z292" i="5"/>
  <c r="AA292" i="5" s="1"/>
  <c r="Z284" i="5"/>
  <c r="AB284" i="5" s="1"/>
  <c r="Z276" i="5"/>
  <c r="AB276" i="5" s="1"/>
  <c r="Z268" i="5"/>
  <c r="AA268" i="5" s="1"/>
  <c r="Z260" i="5"/>
  <c r="AB260" i="5" s="1"/>
  <c r="Z252" i="5"/>
  <c r="AB252" i="5" s="1"/>
  <c r="Z244" i="5"/>
  <c r="AB244" i="5" s="1"/>
  <c r="Z236" i="5"/>
  <c r="AB236" i="5" s="1"/>
  <c r="Z228" i="5"/>
  <c r="AA228" i="5" s="1"/>
  <c r="Z220" i="5"/>
  <c r="AA220" i="5" s="1"/>
  <c r="Z212" i="5"/>
  <c r="AB212" i="5" s="1"/>
  <c r="Z204" i="5"/>
  <c r="Z196" i="5"/>
  <c r="AA196" i="5" s="1"/>
  <c r="Z188" i="5"/>
  <c r="AB188" i="5" s="1"/>
  <c r="Z180" i="5"/>
  <c r="AB180" i="5" s="1"/>
  <c r="Z172" i="5"/>
  <c r="AB172" i="5" s="1"/>
  <c r="Z164" i="5"/>
  <c r="AB164" i="5" s="1"/>
  <c r="Z156" i="5"/>
  <c r="AA156" i="5" s="1"/>
  <c r="Z140" i="5"/>
  <c r="AB140" i="5" s="1"/>
  <c r="Z116" i="5"/>
  <c r="AB116" i="5" s="1"/>
  <c r="Z100" i="5"/>
  <c r="AB100" i="5" s="1"/>
  <c r="Z76" i="5"/>
  <c r="AA76" i="5" s="1"/>
  <c r="Z60" i="5"/>
  <c r="AB60" i="5" s="1"/>
  <c r="Z44" i="5"/>
  <c r="Z30" i="5"/>
  <c r="AA30" i="5" s="1"/>
  <c r="Z8" i="5"/>
  <c r="AA8" i="5" s="1"/>
  <c r="Z155" i="5"/>
  <c r="AB155" i="5" s="1"/>
  <c r="Z99" i="5"/>
  <c r="Z59" i="5"/>
  <c r="AB59" i="5" s="1"/>
  <c r="Z555" i="5"/>
  <c r="Z547" i="5"/>
  <c r="AB547" i="5" s="1"/>
  <c r="Z539" i="5"/>
  <c r="AB539" i="5" s="1"/>
  <c r="Z531" i="5"/>
  <c r="AB531" i="5" s="1"/>
  <c r="Z523" i="5"/>
  <c r="AB523" i="5" s="1"/>
  <c r="Z515" i="5"/>
  <c r="AB515" i="5" s="1"/>
  <c r="Z507" i="5"/>
  <c r="AA507" i="5" s="1"/>
  <c r="Z499" i="5"/>
  <c r="AB499" i="5" s="1"/>
  <c r="Z491" i="5"/>
  <c r="AA491" i="5" s="1"/>
  <c r="Z483" i="5"/>
  <c r="Z475" i="5"/>
  <c r="AB475" i="5" s="1"/>
  <c r="Z467" i="5"/>
  <c r="AB467" i="5" s="1"/>
  <c r="Z459" i="5"/>
  <c r="AA459" i="5" s="1"/>
  <c r="Z451" i="5"/>
  <c r="Z443" i="5"/>
  <c r="AA443" i="5" s="1"/>
  <c r="Z435" i="5"/>
  <c r="AB435" i="5" s="1"/>
  <c r="Z427" i="5"/>
  <c r="Z419" i="5"/>
  <c r="AA419" i="5" s="1"/>
  <c r="Z411" i="5"/>
  <c r="AA411" i="5" s="1"/>
  <c r="Z403" i="5"/>
  <c r="AA403" i="5" s="1"/>
  <c r="Z395" i="5"/>
  <c r="Z387" i="5"/>
  <c r="AB387" i="5" s="1"/>
  <c r="Z379" i="5"/>
  <c r="AA379" i="5" s="1"/>
  <c r="Z371" i="5"/>
  <c r="AA371" i="5" s="1"/>
  <c r="Z363" i="5"/>
  <c r="AB363" i="5" s="1"/>
  <c r="Z355" i="5"/>
  <c r="AB355" i="5" s="1"/>
  <c r="Z347" i="5"/>
  <c r="AA347" i="5" s="1"/>
  <c r="Z339" i="5"/>
  <c r="Z331" i="5"/>
  <c r="AA331" i="5" s="1"/>
  <c r="Z323" i="5"/>
  <c r="Z315" i="5"/>
  <c r="AB315" i="5" s="1"/>
  <c r="Z307" i="5"/>
  <c r="AA307" i="5" s="1"/>
  <c r="Z299" i="5"/>
  <c r="AA299" i="5" s="1"/>
  <c r="Z291" i="5"/>
  <c r="AA291" i="5" s="1"/>
  <c r="Z283" i="5"/>
  <c r="AB283" i="5" s="1"/>
  <c r="Z275" i="5"/>
  <c r="AB275" i="5" s="1"/>
  <c r="Z267" i="5"/>
  <c r="AB267" i="5" s="1"/>
  <c r="Z259" i="5"/>
  <c r="AA259" i="5" s="1"/>
  <c r="Z251" i="5"/>
  <c r="AB251" i="5" s="1"/>
  <c r="Z243" i="5"/>
  <c r="AB243" i="5" s="1"/>
  <c r="Z235" i="5"/>
  <c r="AA235" i="5" s="1"/>
  <c r="Z227" i="5"/>
  <c r="AB227" i="5" s="1"/>
  <c r="Z219" i="5"/>
  <c r="AA219" i="5" s="1"/>
  <c r="Z211" i="5"/>
  <c r="AA211" i="5" s="1"/>
  <c r="Z203" i="5"/>
  <c r="AA203" i="5" s="1"/>
  <c r="Z195" i="5"/>
  <c r="AA195" i="5" s="1"/>
  <c r="Z187" i="5"/>
  <c r="AB187" i="5" s="1"/>
  <c r="Z179" i="5"/>
  <c r="AA179" i="5" s="1"/>
  <c r="Z163" i="5"/>
  <c r="AA163" i="5" s="1"/>
  <c r="Z115" i="5"/>
  <c r="Z75" i="5"/>
  <c r="Z554" i="5"/>
  <c r="AA554" i="5" s="1"/>
  <c r="Z546" i="5"/>
  <c r="AA546" i="5" s="1"/>
  <c r="Z538" i="5"/>
  <c r="AB538" i="5" s="1"/>
  <c r="Z530" i="5"/>
  <c r="Z522" i="5"/>
  <c r="AA522" i="5" s="1"/>
  <c r="Z514" i="5"/>
  <c r="AB514" i="5" s="1"/>
  <c r="Z506" i="5"/>
  <c r="AB506" i="5" s="1"/>
  <c r="Z498" i="5"/>
  <c r="AA498" i="5" s="1"/>
  <c r="Z490" i="5"/>
  <c r="AB490" i="5" s="1"/>
  <c r="Z482" i="5"/>
  <c r="Z474" i="5"/>
  <c r="AA474" i="5" s="1"/>
  <c r="Z466" i="5"/>
  <c r="Z458" i="5"/>
  <c r="AA458" i="5" s="1"/>
  <c r="Z450" i="5"/>
  <c r="Z442" i="5"/>
  <c r="AB442" i="5" s="1"/>
  <c r="Z434" i="5"/>
  <c r="Z426" i="5"/>
  <c r="AA426" i="5" s="1"/>
  <c r="Z418" i="5"/>
  <c r="AB418" i="5" s="1"/>
  <c r="Z410" i="5"/>
  <c r="AB410" i="5" s="1"/>
  <c r="Z402" i="5"/>
  <c r="AB402" i="5" s="1"/>
  <c r="Z394" i="5"/>
  <c r="AB394" i="5" s="1"/>
  <c r="Z386" i="5"/>
  <c r="AA386" i="5" s="1"/>
  <c r="Z378" i="5"/>
  <c r="Z370" i="5"/>
  <c r="AA370" i="5" s="1"/>
  <c r="Z362" i="5"/>
  <c r="AA362" i="5" s="1"/>
  <c r="Z354" i="5"/>
  <c r="AA354" i="5" s="1"/>
  <c r="Z346" i="5"/>
  <c r="AB346" i="5" s="1"/>
  <c r="Z338" i="5"/>
  <c r="AB338" i="5" s="1"/>
  <c r="Z330" i="5"/>
  <c r="AB330" i="5" s="1"/>
  <c r="Z322" i="5"/>
  <c r="AA322" i="5" s="1"/>
  <c r="Z314" i="5"/>
  <c r="AB314" i="5" s="1"/>
  <c r="Z306" i="5"/>
  <c r="AB306" i="5" s="1"/>
  <c r="Z298" i="5"/>
  <c r="AA298" i="5" s="1"/>
  <c r="Z290" i="5"/>
  <c r="AB290" i="5" s="1"/>
  <c r="Z282" i="5"/>
  <c r="AB282" i="5" s="1"/>
  <c r="Z274" i="5"/>
  <c r="AA274" i="5" s="1"/>
  <c r="Z266" i="5"/>
  <c r="Z258" i="5"/>
  <c r="AB258" i="5" s="1"/>
  <c r="Z250" i="5"/>
  <c r="AB250" i="5" s="1"/>
  <c r="Z242" i="5"/>
  <c r="AA242" i="5" s="1"/>
  <c r="Z234" i="5"/>
  <c r="Z226" i="5"/>
  <c r="AA226" i="5" s="1"/>
  <c r="Z218" i="5"/>
  <c r="Z210" i="5"/>
  <c r="Z202" i="5"/>
  <c r="AA202" i="5" s="1"/>
  <c r="Z194" i="5"/>
  <c r="AB194" i="5" s="1"/>
  <c r="Z186" i="5"/>
  <c r="Z178" i="5"/>
  <c r="Z170" i="5"/>
  <c r="AB170" i="5" s="1"/>
  <c r="Z162" i="5"/>
  <c r="AB162" i="5" s="1"/>
  <c r="Z154" i="5"/>
  <c r="AA154" i="5" s="1"/>
  <c r="Z146" i="5"/>
  <c r="AB146" i="5" s="1"/>
  <c r="Z138" i="5"/>
  <c r="AB138" i="5" s="1"/>
  <c r="Z130" i="5"/>
  <c r="AA130" i="5" s="1"/>
  <c r="Z122" i="5"/>
  <c r="Z114" i="5"/>
  <c r="AB114" i="5" s="1"/>
  <c r="Z106" i="5"/>
  <c r="AB106" i="5" s="1"/>
  <c r="Z98" i="5"/>
  <c r="AA98" i="5" s="1"/>
  <c r="Z90" i="5"/>
  <c r="AB90" i="5" s="1"/>
  <c r="Z82" i="5"/>
  <c r="AB82" i="5" s="1"/>
  <c r="Z74" i="5"/>
  <c r="AA74" i="5" s="1"/>
  <c r="Z66" i="5"/>
  <c r="AB66" i="5" s="1"/>
  <c r="Z58" i="5"/>
  <c r="Z50" i="5"/>
  <c r="AB50" i="5" s="1"/>
  <c r="Z42" i="5"/>
  <c r="AA42" i="5" s="1"/>
  <c r="Z35" i="5"/>
  <c r="Z28" i="5"/>
  <c r="AB28" i="5" s="1"/>
  <c r="Z20" i="5"/>
  <c r="Z121" i="5"/>
  <c r="AA121" i="5" s="1"/>
  <c r="Z105" i="5"/>
  <c r="AA105" i="5" s="1"/>
  <c r="Z89" i="5"/>
  <c r="AB89" i="5" s="1"/>
  <c r="Z73" i="5"/>
  <c r="Z57" i="5"/>
  <c r="AB57" i="5" s="1"/>
  <c r="Z41" i="5"/>
  <c r="AA41" i="5" s="1"/>
  <c r="Z27" i="5"/>
  <c r="AB27" i="5" s="1"/>
  <c r="Z19" i="5"/>
  <c r="AA19" i="5" s="1"/>
  <c r="Z120" i="5"/>
  <c r="AA120" i="5" s="1"/>
  <c r="Z104" i="5"/>
  <c r="AB104" i="5" s="1"/>
  <c r="Z88" i="5"/>
  <c r="AA88" i="5" s="1"/>
  <c r="Z64" i="5"/>
  <c r="AB64" i="5" s="1"/>
  <c r="Z40" i="5"/>
  <c r="AA40" i="5" s="1"/>
  <c r="Z13" i="5"/>
  <c r="Z553" i="5"/>
  <c r="AB553" i="5" s="1"/>
  <c r="Z545" i="5"/>
  <c r="AA545" i="5" s="1"/>
  <c r="Z537" i="5"/>
  <c r="AA537" i="5" s="1"/>
  <c r="Z529" i="5"/>
  <c r="AA529" i="5" s="1"/>
  <c r="Z521" i="5"/>
  <c r="AA521" i="5" s="1"/>
  <c r="Z513" i="5"/>
  <c r="AA513" i="5" s="1"/>
  <c r="Z505" i="5"/>
  <c r="Z497" i="5"/>
  <c r="AB497" i="5" s="1"/>
  <c r="Z489" i="5"/>
  <c r="AB489" i="5" s="1"/>
  <c r="Z481" i="5"/>
  <c r="Z473" i="5"/>
  <c r="AA473" i="5" s="1"/>
  <c r="Z465" i="5"/>
  <c r="Z457" i="5"/>
  <c r="AB457" i="5" s="1"/>
  <c r="Z449" i="5"/>
  <c r="AA449" i="5" s="1"/>
  <c r="Z441" i="5"/>
  <c r="AB441" i="5" s="1"/>
  <c r="Z433" i="5"/>
  <c r="Z425" i="5"/>
  <c r="AA425" i="5" s="1"/>
  <c r="Z417" i="5"/>
  <c r="AA417" i="5" s="1"/>
  <c r="Z409" i="5"/>
  <c r="AB409" i="5" s="1"/>
  <c r="Z401" i="5"/>
  <c r="AA401" i="5" s="1"/>
  <c r="Z393" i="5"/>
  <c r="AA393" i="5" s="1"/>
  <c r="Z385" i="5"/>
  <c r="AB385" i="5" s="1"/>
  <c r="Z377" i="5"/>
  <c r="Z369" i="5"/>
  <c r="AB369" i="5" s="1"/>
  <c r="Z361" i="5"/>
  <c r="AB361" i="5" s="1"/>
  <c r="Z353" i="5"/>
  <c r="Z345" i="5"/>
  <c r="Z337" i="5"/>
  <c r="AB337" i="5" s="1"/>
  <c r="Z329" i="5"/>
  <c r="AB329" i="5" s="1"/>
  <c r="Z321" i="5"/>
  <c r="AB321" i="5" s="1"/>
  <c r="Z313" i="5"/>
  <c r="AB313" i="5" s="1"/>
  <c r="Z305" i="5"/>
  <c r="AB305" i="5" s="1"/>
  <c r="Z297" i="5"/>
  <c r="AB297" i="5" s="1"/>
  <c r="Z289" i="5"/>
  <c r="AB289" i="5" s="1"/>
  <c r="Z281" i="5"/>
  <c r="AB281" i="5" s="1"/>
  <c r="Z273" i="5"/>
  <c r="AB273" i="5" s="1"/>
  <c r="Z265" i="5"/>
  <c r="AB265" i="5" s="1"/>
  <c r="Z257" i="5"/>
  <c r="Z249" i="5"/>
  <c r="AA249" i="5" s="1"/>
  <c r="Z241" i="5"/>
  <c r="AB241" i="5" s="1"/>
  <c r="Z233" i="5"/>
  <c r="AA233" i="5" s="1"/>
  <c r="Z225" i="5"/>
  <c r="AB225" i="5" s="1"/>
  <c r="Z217" i="5"/>
  <c r="AA217" i="5" s="1"/>
  <c r="Z209" i="5"/>
  <c r="AA209" i="5" s="1"/>
  <c r="Z201" i="5"/>
  <c r="AB201" i="5" s="1"/>
  <c r="Z193" i="5"/>
  <c r="AB193" i="5" s="1"/>
  <c r="Z185" i="5"/>
  <c r="AB185" i="5" s="1"/>
  <c r="Z177" i="5"/>
  <c r="AB177" i="5" s="1"/>
  <c r="Z169" i="5"/>
  <c r="AA169" i="5" s="1"/>
  <c r="Z161" i="5"/>
  <c r="AA161" i="5" s="1"/>
  <c r="Z153" i="5"/>
  <c r="AB153" i="5" s="1"/>
  <c r="Z145" i="5"/>
  <c r="Z137" i="5"/>
  <c r="AB137" i="5" s="1"/>
  <c r="Z129" i="5"/>
  <c r="AB129" i="5" s="1"/>
  <c r="Z113" i="5"/>
  <c r="Z97" i="5"/>
  <c r="AB97" i="5" s="1"/>
  <c r="Z81" i="5"/>
  <c r="Z65" i="5"/>
  <c r="Z49" i="5"/>
  <c r="AA49" i="5" s="1"/>
  <c r="Z72" i="5"/>
  <c r="AB72" i="5" s="1"/>
  <c r="Z48" i="5"/>
  <c r="AB48" i="5" s="1"/>
  <c r="Z26" i="5"/>
  <c r="AB26" i="5" s="1"/>
  <c r="Z21" i="5"/>
  <c r="AJ9" i="5"/>
  <c r="AK9" i="5" s="1"/>
  <c r="Z9" i="5"/>
  <c r="S240" i="5"/>
  <c r="R312" i="5"/>
  <c r="T11" i="5"/>
  <c r="U11" i="5" s="1"/>
  <c r="Z11" i="5"/>
  <c r="AB11" i="5" s="1"/>
  <c r="R320" i="5"/>
  <c r="S128" i="5"/>
  <c r="U45" i="5"/>
  <c r="AP38" i="5"/>
  <c r="AR38" i="5" s="1"/>
  <c r="AP110" i="5"/>
  <c r="AR110" i="5" s="1"/>
  <c r="AP47" i="5"/>
  <c r="AR47" i="5" s="1"/>
  <c r="AP92" i="5"/>
  <c r="AQ92" i="5" s="1"/>
  <c r="AP64" i="5"/>
  <c r="AQ64" i="5" s="1"/>
  <c r="V97" i="5"/>
  <c r="AP340" i="5"/>
  <c r="AR340" i="5" s="1"/>
  <c r="R472" i="5"/>
  <c r="V534" i="5"/>
  <c r="Y184" i="5"/>
  <c r="AP189" i="5"/>
  <c r="AQ189" i="5" s="1"/>
  <c r="V145" i="5"/>
  <c r="V54" i="5"/>
  <c r="AP238" i="5"/>
  <c r="AR238" i="5" s="1"/>
  <c r="AP42" i="5"/>
  <c r="AR42" i="5" s="1"/>
  <c r="AP506" i="5"/>
  <c r="AQ506" i="5" s="1"/>
  <c r="U143" i="5"/>
  <c r="S224" i="5"/>
  <c r="Y179" i="5"/>
  <c r="Y326" i="5"/>
  <c r="AP112" i="5"/>
  <c r="AR112" i="5" s="1"/>
  <c r="AP497" i="5"/>
  <c r="AR497" i="5" s="1"/>
  <c r="AP276" i="5"/>
  <c r="AR276" i="5" s="1"/>
  <c r="AP146" i="5"/>
  <c r="AR146" i="5" s="1"/>
  <c r="V99" i="5"/>
  <c r="AL227" i="5"/>
  <c r="S136" i="5"/>
  <c r="R216" i="5"/>
  <c r="R232" i="5"/>
  <c r="Y289" i="5"/>
  <c r="Y51" i="5"/>
  <c r="AP252" i="5"/>
  <c r="AQ252" i="5" s="1"/>
  <c r="AP159" i="5"/>
  <c r="AR159" i="5" s="1"/>
  <c r="AP406" i="5"/>
  <c r="AQ406" i="5" s="1"/>
  <c r="V21" i="5"/>
  <c r="X553" i="5"/>
  <c r="Y554" i="5"/>
  <c r="X465" i="5"/>
  <c r="AN64" i="5"/>
  <c r="Y260" i="5"/>
  <c r="X274" i="5"/>
  <c r="AP119" i="5"/>
  <c r="AQ119" i="5" s="1"/>
  <c r="AP346" i="5"/>
  <c r="AQ346" i="5" s="1"/>
  <c r="AP182" i="5"/>
  <c r="AR182" i="5" s="1"/>
  <c r="V102" i="5"/>
  <c r="AP72" i="5"/>
  <c r="AQ72" i="5" s="1"/>
  <c r="AP54" i="5"/>
  <c r="AR54" i="5" s="1"/>
  <c r="Y448" i="5"/>
  <c r="R280" i="5"/>
  <c r="R152" i="5"/>
  <c r="Y301" i="5"/>
  <c r="Y458" i="5"/>
  <c r="P487" i="5"/>
  <c r="S112" i="5"/>
  <c r="S208" i="5"/>
  <c r="S64" i="5"/>
  <c r="K28" i="2"/>
  <c r="K27" i="2"/>
  <c r="AP486" i="5"/>
  <c r="AQ486" i="5" s="1"/>
  <c r="AP359" i="5"/>
  <c r="AQ359" i="5" s="1"/>
  <c r="AP470" i="5"/>
  <c r="AQ470" i="5" s="1"/>
  <c r="AP245" i="5"/>
  <c r="AR245" i="5" s="1"/>
  <c r="AP418" i="5"/>
  <c r="AQ418" i="5" s="1"/>
  <c r="AP258" i="5"/>
  <c r="AQ258" i="5" s="1"/>
  <c r="AP233" i="5"/>
  <c r="AQ233" i="5" s="1"/>
  <c r="AP476" i="5"/>
  <c r="AR476" i="5" s="1"/>
  <c r="AP536" i="5"/>
  <c r="AR536" i="5" s="1"/>
  <c r="AP560" i="5"/>
  <c r="AQ560" i="5" s="1"/>
  <c r="AP485" i="5"/>
  <c r="AR485" i="5" s="1"/>
  <c r="AP335" i="5"/>
  <c r="AR335" i="5" s="1"/>
  <c r="AP398" i="5"/>
  <c r="AQ398" i="5" s="1"/>
  <c r="N31" i="2"/>
  <c r="AP284" i="5"/>
  <c r="AQ284" i="5" s="1"/>
  <c r="AP24" i="5"/>
  <c r="AR24" i="5" s="1"/>
  <c r="AP306" i="5"/>
  <c r="AR306" i="5" s="1"/>
  <c r="B50" i="5"/>
  <c r="M31" i="2"/>
  <c r="AP512" i="5"/>
  <c r="AQ512" i="5" s="1"/>
  <c r="B153" i="2"/>
  <c r="H39" i="1" s="1"/>
  <c r="L31" i="2"/>
  <c r="AP364" i="5"/>
  <c r="AQ364" i="5" s="1"/>
  <c r="AK451" i="5"/>
  <c r="AP300" i="5"/>
  <c r="AQ300" i="5" s="1"/>
  <c r="M35" i="2"/>
  <c r="N35" i="2" s="1"/>
  <c r="AP492" i="5"/>
  <c r="AQ492" i="5" s="1"/>
  <c r="AP557" i="5"/>
  <c r="AQ557" i="5" s="1"/>
  <c r="AP451" i="5"/>
  <c r="AQ451" i="5" s="1"/>
  <c r="X96" i="5"/>
  <c r="X129" i="5"/>
  <c r="Y437" i="5"/>
  <c r="Y320" i="5"/>
  <c r="X319" i="5"/>
  <c r="R392" i="5"/>
  <c r="X156" i="5"/>
  <c r="X276" i="5"/>
  <c r="X399" i="5"/>
  <c r="Y342" i="5"/>
  <c r="S416" i="5"/>
  <c r="R432" i="5"/>
  <c r="Y35" i="5"/>
  <c r="X432" i="5"/>
  <c r="X451" i="5"/>
  <c r="Y28" i="5"/>
  <c r="X100" i="5"/>
  <c r="X394" i="5"/>
  <c r="Y286" i="5"/>
  <c r="R80" i="5"/>
  <c r="X491" i="5"/>
  <c r="S304" i="5"/>
  <c r="S8" i="5"/>
  <c r="Y211" i="5"/>
  <c r="Y69" i="5"/>
  <c r="X240" i="5"/>
  <c r="X355" i="5"/>
  <c r="Y214" i="5"/>
  <c r="X215" i="5"/>
  <c r="X412" i="5"/>
  <c r="Y126" i="5"/>
  <c r="Y517" i="5"/>
  <c r="X310" i="5"/>
  <c r="R488" i="5"/>
  <c r="S104" i="5"/>
  <c r="S344" i="5"/>
  <c r="R464" i="5"/>
  <c r="R32" i="5"/>
  <c r="R40" i="5"/>
  <c r="R456" i="5"/>
  <c r="R424" i="5"/>
  <c r="R168" i="5"/>
  <c r="X218" i="5"/>
  <c r="X259" i="5"/>
  <c r="X192" i="5"/>
  <c r="X52" i="5"/>
  <c r="X525" i="5"/>
  <c r="Y45" i="5"/>
  <c r="X434" i="5"/>
  <c r="Y531" i="5"/>
  <c r="Y55" i="5"/>
  <c r="Y158" i="5"/>
  <c r="X426" i="5"/>
  <c r="Y314" i="5"/>
  <c r="X95" i="5"/>
  <c r="X43" i="5"/>
  <c r="X518" i="5"/>
  <c r="Y264" i="5"/>
  <c r="S448" i="5"/>
  <c r="Y83" i="5"/>
  <c r="X313" i="5"/>
  <c r="Y389" i="5"/>
  <c r="Y383" i="5"/>
  <c r="R512" i="5"/>
  <c r="Y415" i="5"/>
  <c r="Y120" i="5"/>
  <c r="Y219" i="5"/>
  <c r="X128" i="5"/>
  <c r="X334" i="5"/>
  <c r="X117" i="5"/>
  <c r="X329" i="5"/>
  <c r="X155" i="5"/>
  <c r="X278" i="5"/>
  <c r="Y277" i="5"/>
  <c r="Y106" i="5"/>
  <c r="X533" i="5"/>
  <c r="R256" i="5"/>
  <c r="Y378" i="5"/>
  <c r="X302" i="5"/>
  <c r="V117" i="4"/>
  <c r="W117" i="4" s="1"/>
  <c r="Y117" i="4" s="1"/>
  <c r="AS26" i="4"/>
  <c r="U117" i="4"/>
  <c r="AH117" i="4" s="1"/>
  <c r="U115" i="4"/>
  <c r="AH115" i="4" s="1"/>
  <c r="AS87" i="4"/>
  <c r="AS37" i="4"/>
  <c r="U125" i="4"/>
  <c r="AH125" i="4" s="1"/>
  <c r="AS57" i="4"/>
  <c r="V46" i="4"/>
  <c r="AM46" i="4" s="1"/>
  <c r="AN46" i="4" s="1"/>
  <c r="AS115" i="4"/>
  <c r="V37" i="4"/>
  <c r="AM37" i="4" s="1"/>
  <c r="AN37" i="4" s="1"/>
  <c r="V61" i="4"/>
  <c r="AM61" i="4" s="1"/>
  <c r="AN61" i="4" s="1"/>
  <c r="V125" i="4"/>
  <c r="AM125" i="4" s="1"/>
  <c r="AN125" i="4" s="1"/>
  <c r="U14" i="4"/>
  <c r="AH14" i="4" s="1"/>
  <c r="V26" i="4"/>
  <c r="U37" i="4"/>
  <c r="AH37" i="4" s="1"/>
  <c r="V145" i="4"/>
  <c r="AM145" i="4" s="1"/>
  <c r="AN145" i="4" s="1"/>
  <c r="V57" i="4"/>
  <c r="AM57" i="4" s="1"/>
  <c r="AN57" i="4" s="1"/>
  <c r="U46" i="4"/>
  <c r="AH46" i="4" s="1"/>
  <c r="U20" i="4"/>
  <c r="AH20" i="4" s="1"/>
  <c r="U61" i="4"/>
  <c r="AH61" i="4" s="1"/>
  <c r="AS125" i="4"/>
  <c r="U134" i="4"/>
  <c r="AH134" i="4" s="1"/>
  <c r="U87" i="4"/>
  <c r="AH87" i="4" s="1"/>
  <c r="AS131" i="4"/>
  <c r="U145" i="4"/>
  <c r="AH145" i="4" s="1"/>
  <c r="AS46" i="4"/>
  <c r="U142" i="4"/>
  <c r="AH142" i="4" s="1"/>
  <c r="AS20" i="4"/>
  <c r="AS61" i="4"/>
  <c r="V12" i="4"/>
  <c r="AM12" i="4" s="1"/>
  <c r="AN12" i="4" s="1"/>
  <c r="V115" i="4"/>
  <c r="W115" i="4" s="1"/>
  <c r="Y115" i="4" s="1"/>
  <c r="AS145" i="4"/>
  <c r="V16" i="4"/>
  <c r="W16" i="4" s="1"/>
  <c r="Y16" i="4" s="1"/>
  <c r="AS142" i="4"/>
  <c r="V20" i="4"/>
  <c r="AM20" i="4" s="1"/>
  <c r="AN20" i="4" s="1"/>
  <c r="V14" i="4"/>
  <c r="AM14" i="4" s="1"/>
  <c r="AN14" i="4" s="1"/>
  <c r="V66" i="4"/>
  <c r="AM66" i="4" s="1"/>
  <c r="AN66" i="4" s="1"/>
  <c r="U18" i="4"/>
  <c r="U128" i="4"/>
  <c r="AH128" i="4" s="1"/>
  <c r="U57" i="4"/>
  <c r="AH57" i="4" s="1"/>
  <c r="V142" i="4"/>
  <c r="AM142" i="4" s="1"/>
  <c r="AN142" i="4" s="1"/>
  <c r="U16" i="4"/>
  <c r="AH16" i="4" s="1"/>
  <c r="V134" i="4"/>
  <c r="W134" i="4" s="1"/>
  <c r="V128" i="4"/>
  <c r="W128" i="4" s="1"/>
  <c r="AS14" i="4"/>
  <c r="U66" i="4"/>
  <c r="AH66" i="4" s="1"/>
  <c r="X395" i="5"/>
  <c r="Y363" i="5"/>
  <c r="X363" i="5"/>
  <c r="X167" i="5"/>
  <c r="Y167" i="5"/>
  <c r="S546" i="5"/>
  <c r="R546" i="5"/>
  <c r="Y145" i="5"/>
  <c r="X266" i="5"/>
  <c r="Y266" i="5"/>
  <c r="X479" i="5"/>
  <c r="Y479" i="5"/>
  <c r="Y373" i="5"/>
  <c r="X373" i="5"/>
  <c r="X68" i="5"/>
  <c r="Y68" i="5"/>
  <c r="X154" i="5"/>
  <c r="Y154" i="5"/>
  <c r="X132" i="5"/>
  <c r="Y132" i="5"/>
  <c r="X366" i="5"/>
  <c r="Y366" i="5"/>
  <c r="Y262" i="5"/>
  <c r="X262" i="5"/>
  <c r="R376" i="5"/>
  <c r="S376" i="5"/>
  <c r="Y110" i="5"/>
  <c r="X110" i="5"/>
  <c r="Y282" i="5"/>
  <c r="X282" i="5"/>
  <c r="R368" i="5"/>
  <c r="S368" i="5"/>
  <c r="Y331" i="5"/>
  <c r="X331" i="5"/>
  <c r="Y557" i="5"/>
  <c r="X557" i="5"/>
  <c r="R176" i="5"/>
  <c r="S176" i="5"/>
  <c r="S200" i="5"/>
  <c r="R200" i="5"/>
  <c r="S534" i="5"/>
  <c r="R534" i="5"/>
  <c r="X112" i="5"/>
  <c r="Y112" i="5"/>
  <c r="X456" i="5"/>
  <c r="Y456" i="5"/>
  <c r="X343" i="5"/>
  <c r="Y343" i="5"/>
  <c r="S248" i="5"/>
  <c r="Y427" i="5"/>
  <c r="X427" i="5"/>
  <c r="R384" i="5"/>
  <c r="X29" i="5"/>
  <c r="Y56" i="5"/>
  <c r="X56" i="5"/>
  <c r="Y290" i="5"/>
  <c r="X290" i="5"/>
  <c r="Y272" i="5"/>
  <c r="X272" i="5"/>
  <c r="X85" i="5"/>
  <c r="Y50" i="5"/>
  <c r="X50" i="5"/>
  <c r="X269" i="5"/>
  <c r="Y269" i="5"/>
  <c r="Y125" i="5"/>
  <c r="X125" i="5"/>
  <c r="Y212" i="5"/>
  <c r="X212" i="5"/>
  <c r="R48" i="5"/>
  <c r="X137" i="5"/>
  <c r="Y484" i="5"/>
  <c r="Y441" i="5"/>
  <c r="R408" i="5"/>
  <c r="R72" i="5"/>
  <c r="Y323" i="5"/>
  <c r="X435" i="5"/>
  <c r="Y435" i="5"/>
  <c r="X405" i="5"/>
  <c r="Y405" i="5"/>
  <c r="X453" i="5"/>
  <c r="Y115" i="5"/>
  <c r="Y403" i="5"/>
  <c r="X403" i="5"/>
  <c r="R360" i="5"/>
  <c r="X202" i="5"/>
  <c r="S296" i="5"/>
  <c r="Y82" i="5"/>
  <c r="X200" i="5"/>
  <c r="R504" i="5"/>
  <c r="R336" i="5"/>
  <c r="S144" i="5"/>
  <c r="R496" i="5"/>
  <c r="Y332" i="5"/>
  <c r="X409" i="5"/>
  <c r="X86" i="5"/>
  <c r="Y130" i="5"/>
  <c r="Y321" i="5"/>
  <c r="Y288" i="5"/>
  <c r="X358" i="5"/>
  <c r="X541" i="5"/>
  <c r="Y510" i="5"/>
  <c r="R440" i="5"/>
  <c r="Y386" i="5"/>
  <c r="Y424" i="5"/>
  <c r="R264" i="5"/>
  <c r="X78" i="5"/>
  <c r="Y555" i="5"/>
  <c r="Y98" i="5"/>
  <c r="R24" i="5"/>
  <c r="Y63" i="5"/>
  <c r="X298" i="5"/>
  <c r="Y391" i="5"/>
  <c r="X299" i="5"/>
  <c r="Y72" i="5"/>
  <c r="Y361" i="5"/>
  <c r="X549" i="5"/>
  <c r="X60" i="5"/>
  <c r="X257" i="5"/>
  <c r="Y464" i="5"/>
  <c r="X229" i="5"/>
  <c r="X62" i="5"/>
  <c r="X537" i="5"/>
  <c r="Y542" i="5"/>
  <c r="Y287" i="5"/>
  <c r="X387" i="5"/>
  <c r="Y199" i="5"/>
  <c r="Y119" i="5"/>
  <c r="Y253" i="5"/>
  <c r="X198" i="5"/>
  <c r="Y506" i="5"/>
  <c r="X178" i="5"/>
  <c r="Y486" i="5"/>
  <c r="X505" i="5"/>
  <c r="Y189" i="5"/>
  <c r="Y237" i="5"/>
  <c r="X270" i="5"/>
  <c r="X89" i="5"/>
  <c r="Y454" i="5"/>
  <c r="X275" i="5"/>
  <c r="Y139" i="5"/>
  <c r="Y543" i="5"/>
  <c r="X478" i="5"/>
  <c r="X466" i="5"/>
  <c r="X21" i="5"/>
  <c r="Y281" i="5"/>
  <c r="X551" i="5"/>
  <c r="X23" i="5"/>
  <c r="Y38" i="5"/>
  <c r="X247" i="5"/>
  <c r="Y208" i="5"/>
  <c r="X482" i="5"/>
  <c r="Y433" i="5"/>
  <c r="R400" i="5"/>
  <c r="Y480" i="5"/>
  <c r="X511" i="5"/>
  <c r="S56" i="5"/>
  <c r="S272" i="5"/>
  <c r="Y382" i="5"/>
  <c r="Y473" i="5"/>
  <c r="X341" i="5"/>
  <c r="Y271" i="5"/>
  <c r="X300" i="5"/>
  <c r="Y172" i="5"/>
  <c r="Y460" i="5"/>
  <c r="Y305" i="5"/>
  <c r="X400" i="5"/>
  <c r="Y490" i="5"/>
  <c r="X390" i="5"/>
  <c r="X470" i="5"/>
  <c r="Y153" i="5"/>
  <c r="X222" i="5"/>
  <c r="X509" i="5"/>
  <c r="X393" i="5"/>
  <c r="X550" i="5"/>
  <c r="S120" i="5"/>
  <c r="Y293" i="5"/>
  <c r="X445" i="5"/>
  <c r="Y93" i="5"/>
  <c r="X351" i="5"/>
  <c r="Y353" i="5"/>
  <c r="X481" i="5"/>
  <c r="X223" i="5"/>
  <c r="X519" i="5"/>
  <c r="Y169" i="5"/>
  <c r="Y530" i="5"/>
  <c r="X174" i="5"/>
  <c r="X512" i="5"/>
  <c r="X428" i="5"/>
  <c r="X64" i="5"/>
  <c r="X248" i="5"/>
  <c r="X243" i="5"/>
  <c r="Y57" i="5"/>
  <c r="Y444" i="5"/>
  <c r="Y26" i="5"/>
  <c r="Y233" i="5"/>
  <c r="X58" i="5"/>
  <c r="X273" i="5"/>
  <c r="X475" i="5"/>
  <c r="X194" i="5"/>
  <c r="Y46" i="5"/>
  <c r="Y401" i="5"/>
  <c r="Y312" i="5"/>
  <c r="Y180" i="5"/>
  <c r="Y142" i="5"/>
  <c r="X304" i="5"/>
  <c r="W96" i="4"/>
  <c r="Y96" i="4" s="1"/>
  <c r="Y529" i="5"/>
  <c r="Y425" i="5"/>
  <c r="X498" i="5"/>
  <c r="Y131" i="5"/>
  <c r="W73" i="4"/>
  <c r="X73" i="4" s="1"/>
  <c r="X108" i="5"/>
  <c r="Y77" i="5"/>
  <c r="X102" i="5"/>
  <c r="X438" i="5"/>
  <c r="Y197" i="5"/>
  <c r="Y359" i="5"/>
  <c r="X552" i="5"/>
  <c r="X263" i="5"/>
  <c r="Y152" i="5"/>
  <c r="X535" i="5"/>
  <c r="X472" i="5"/>
  <c r="Y42" i="5"/>
  <c r="X36" i="5"/>
  <c r="X546" i="5"/>
  <c r="Y339" i="5"/>
  <c r="X254" i="5"/>
  <c r="Y196" i="5"/>
  <c r="X73" i="5"/>
  <c r="Y239" i="5"/>
  <c r="Y173" i="5"/>
  <c r="X61" i="5"/>
  <c r="Y296" i="5"/>
  <c r="Y381" i="5"/>
  <c r="Y48" i="5"/>
  <c r="X244" i="5"/>
  <c r="Y99" i="5"/>
  <c r="X258" i="5"/>
  <c r="Y22" i="5"/>
  <c r="X536" i="5"/>
  <c r="Y493" i="5"/>
  <c r="X133" i="5"/>
  <c r="Y284" i="5"/>
  <c r="Y463" i="5"/>
  <c r="Y350" i="5"/>
  <c r="Y357" i="5"/>
  <c r="Y317" i="5"/>
  <c r="Y187" i="5"/>
  <c r="Y485" i="5"/>
  <c r="X280" i="5"/>
  <c r="Y500" i="5"/>
  <c r="X507" i="5"/>
  <c r="Y291" i="5"/>
  <c r="X66" i="5"/>
  <c r="Y520" i="5"/>
  <c r="R184" i="5"/>
  <c r="X477" i="5"/>
  <c r="Y402" i="5"/>
  <c r="Y216" i="5"/>
  <c r="R538" i="5"/>
  <c r="Y440" i="5"/>
  <c r="Y101" i="5"/>
  <c r="X327" i="5"/>
  <c r="Y408" i="5"/>
  <c r="Y436" i="5"/>
  <c r="X191" i="5"/>
  <c r="Y376" i="5"/>
  <c r="X515" i="5"/>
  <c r="Y213" i="5"/>
  <c r="X474" i="5"/>
  <c r="Y84" i="5"/>
  <c r="Y346" i="5"/>
  <c r="X261" i="5"/>
  <c r="Y81" i="5"/>
  <c r="Y175" i="5"/>
  <c r="Y526" i="5"/>
  <c r="X392" i="5"/>
  <c r="X354" i="5"/>
  <c r="Y75" i="5"/>
  <c r="Y97" i="5"/>
  <c r="X372" i="5"/>
  <c r="X442" i="5"/>
  <c r="X249" i="5"/>
  <c r="Y487" i="5"/>
  <c r="Y492" i="5"/>
  <c r="Y410" i="5"/>
  <c r="R192" i="5"/>
  <c r="R160" i="5"/>
  <c r="Y238" i="5"/>
  <c r="Y92" i="5"/>
  <c r="Y148" i="5"/>
  <c r="Y20" i="5"/>
  <c r="Y422" i="5"/>
  <c r="Y59" i="5"/>
  <c r="Y267" i="5"/>
  <c r="X32" i="5"/>
  <c r="X79" i="5"/>
  <c r="X201" i="5"/>
  <c r="R352" i="5"/>
  <c r="Y360" i="5"/>
  <c r="X210" i="5"/>
  <c r="X183" i="5"/>
  <c r="Y385" i="5"/>
  <c r="Y279" i="5"/>
  <c r="X504" i="5"/>
  <c r="X88" i="5"/>
  <c r="X559" i="5"/>
  <c r="X170" i="5"/>
  <c r="X283" i="5"/>
  <c r="Y39" i="5"/>
  <c r="X234" i="5"/>
  <c r="X501" i="5"/>
  <c r="X232" i="5"/>
  <c r="X538" i="5"/>
  <c r="X344" i="5"/>
  <c r="Y503" i="5"/>
  <c r="X165" i="5"/>
  <c r="X168" i="5"/>
  <c r="Y265" i="5"/>
  <c r="Y255" i="5"/>
  <c r="X488" i="5"/>
  <c r="X483" i="5"/>
  <c r="X497" i="5"/>
  <c r="X160" i="5"/>
  <c r="X136" i="5"/>
  <c r="Y423" i="5"/>
  <c r="Y121" i="5"/>
  <c r="X455" i="5"/>
  <c r="X508" i="5"/>
  <c r="X164" i="5"/>
  <c r="X375" i="5"/>
  <c r="X540" i="5"/>
  <c r="Y417" i="5"/>
  <c r="X151" i="5"/>
  <c r="Y76" i="5"/>
  <c r="Y371" i="5"/>
  <c r="Y330" i="5"/>
  <c r="X388" i="5"/>
  <c r="Y252" i="5"/>
  <c r="X532" i="5"/>
  <c r="X27" i="5"/>
  <c r="Y54" i="5"/>
  <c r="X207" i="5"/>
  <c r="X449" i="5"/>
  <c r="Y545" i="5"/>
  <c r="Y380" i="5"/>
  <c r="X104" i="5"/>
  <c r="Y30" i="5"/>
  <c r="X306" i="5"/>
  <c r="Y241" i="5"/>
  <c r="X349" i="5"/>
  <c r="X406" i="5"/>
  <c r="Y70" i="5"/>
  <c r="W140" i="4"/>
  <c r="Y140" i="4" s="1"/>
  <c r="AM140" i="4"/>
  <c r="W105" i="4"/>
  <c r="AM105" i="4"/>
  <c r="AS58" i="4"/>
  <c r="AS149" i="4"/>
  <c r="AS157" i="4"/>
  <c r="AS77" i="4"/>
  <c r="V22" i="4"/>
  <c r="AM22" i="4" s="1"/>
  <c r="AN22" i="4" s="1"/>
  <c r="AS39" i="4"/>
  <c r="V109" i="4"/>
  <c r="AM109" i="4" s="1"/>
  <c r="AN109" i="4" s="1"/>
  <c r="X496" i="5"/>
  <c r="Y217" i="5"/>
  <c r="Y221" i="5"/>
  <c r="X333" i="5"/>
  <c r="Y242" i="5"/>
  <c r="Y220" i="5"/>
  <c r="X471" i="5"/>
  <c r="Y150" i="5"/>
  <c r="X140" i="5"/>
  <c r="U24" i="4"/>
  <c r="AH24" i="4" s="1"/>
  <c r="AL84" i="4"/>
  <c r="AS84" i="4"/>
  <c r="AL155" i="4"/>
  <c r="U155" i="4"/>
  <c r="AL118" i="4"/>
  <c r="AS118" i="4"/>
  <c r="Y122" i="5"/>
  <c r="X122" i="5"/>
  <c r="V83" i="4"/>
  <c r="V67" i="4"/>
  <c r="AM67" i="4" s="1"/>
  <c r="AN67" i="4" s="1"/>
  <c r="X328" i="5"/>
  <c r="R288" i="5"/>
  <c r="V39" i="4"/>
  <c r="AM39" i="4" s="1"/>
  <c r="AN39" i="4" s="1"/>
  <c r="AS109" i="4"/>
  <c r="Y467" i="5"/>
  <c r="Y439" i="5"/>
  <c r="Y188" i="5"/>
  <c r="Y236" i="5"/>
  <c r="Y356" i="5"/>
  <c r="Y268" i="5"/>
  <c r="Y159" i="5"/>
  <c r="X476" i="5"/>
  <c r="U109" i="4"/>
  <c r="AH109" i="4" s="1"/>
  <c r="AL10" i="4"/>
  <c r="V10" i="4"/>
  <c r="AL101" i="4"/>
  <c r="U101" i="4"/>
  <c r="AH101" i="4" s="1"/>
  <c r="V101" i="4"/>
  <c r="AL62" i="4"/>
  <c r="AS62" i="4"/>
  <c r="V62" i="4"/>
  <c r="AS96" i="4"/>
  <c r="AL157" i="4"/>
  <c r="U157" i="4"/>
  <c r="AH157" i="4" s="1"/>
  <c r="AL77" i="4"/>
  <c r="U77" i="4"/>
  <c r="AH77" i="4" s="1"/>
  <c r="U42" i="4"/>
  <c r="AH42" i="4" s="1"/>
  <c r="AS33" i="4"/>
  <c r="U67" i="4"/>
  <c r="AH67" i="4" s="1"/>
  <c r="V15" i="4"/>
  <c r="AM15" i="4" s="1"/>
  <c r="AN15" i="4" s="1"/>
  <c r="AS121" i="4"/>
  <c r="V43" i="4"/>
  <c r="W43" i="4" s="1"/>
  <c r="Y43" i="4" s="1"/>
  <c r="X24" i="5"/>
  <c r="X256" i="5"/>
  <c r="AS135" i="4"/>
  <c r="Y352" i="5"/>
  <c r="U39" i="4"/>
  <c r="AH39" i="4" s="1"/>
  <c r="X123" i="5"/>
  <c r="Y246" i="5"/>
  <c r="Y523" i="5"/>
  <c r="Y190" i="5"/>
  <c r="X34" i="5"/>
  <c r="Y544" i="5"/>
  <c r="Y513" i="5"/>
  <c r="X149" i="5"/>
  <c r="V58" i="4"/>
  <c r="U91" i="4"/>
  <c r="AH91" i="4" s="1"/>
  <c r="AS101" i="4"/>
  <c r="AS137" i="4"/>
  <c r="AS42" i="4"/>
  <c r="V33" i="4"/>
  <c r="W33" i="4" s="1"/>
  <c r="Y33" i="4" s="1"/>
  <c r="AS67" i="4"/>
  <c r="AS15" i="4"/>
  <c r="V121" i="4"/>
  <c r="W121" i="4" s="1"/>
  <c r="Y121" i="4" s="1"/>
  <c r="U43" i="4"/>
  <c r="AH43" i="4" s="1"/>
  <c r="U129" i="4"/>
  <c r="AH129" i="4" s="1"/>
  <c r="AM9" i="5"/>
  <c r="AN9" i="5" s="1"/>
  <c r="AH103" i="4"/>
  <c r="V135" i="4"/>
  <c r="AM135" i="4" s="1"/>
  <c r="AN135" i="4" s="1"/>
  <c r="X447" i="5"/>
  <c r="X19" i="5"/>
  <c r="Y407" i="5"/>
  <c r="Y251" i="5"/>
  <c r="Y157" i="5"/>
  <c r="Y80" i="5"/>
  <c r="Y143" i="5"/>
  <c r="AL132" i="4"/>
  <c r="V132" i="4"/>
  <c r="U132" i="4"/>
  <c r="AH132" i="4" s="1"/>
  <c r="AL130" i="4"/>
  <c r="V130" i="4"/>
  <c r="AL98" i="4"/>
  <c r="AS98" i="4"/>
  <c r="Y469" i="5"/>
  <c r="X560" i="5"/>
  <c r="U94" i="4"/>
  <c r="AH94" i="4" s="1"/>
  <c r="V94" i="4"/>
  <c r="AS94" i="4"/>
  <c r="AL94" i="4"/>
  <c r="V155" i="4"/>
  <c r="V24" i="4"/>
  <c r="V129" i="4"/>
  <c r="AM129" i="4" s="1"/>
  <c r="AN129" i="4" s="1"/>
  <c r="AS72" i="4"/>
  <c r="V152" i="4"/>
  <c r="AM152" i="4" s="1"/>
  <c r="AN152" i="4" s="1"/>
  <c r="V148" i="4"/>
  <c r="AM148" i="4" s="1"/>
  <c r="AN148" i="4" s="1"/>
  <c r="X316" i="5"/>
  <c r="Y141" i="5"/>
  <c r="Y67" i="5"/>
  <c r="X177" i="5"/>
  <c r="Y429" i="5"/>
  <c r="Y521" i="5"/>
  <c r="Y430" i="5"/>
  <c r="Y556" i="5"/>
  <c r="X71" i="5"/>
  <c r="X348" i="5"/>
  <c r="X124" i="5"/>
  <c r="AS59" i="4"/>
  <c r="AL59" i="4"/>
  <c r="V59" i="4"/>
  <c r="U59" i="4"/>
  <c r="AH59" i="4" s="1"/>
  <c r="AS79" i="4"/>
  <c r="AL79" i="4"/>
  <c r="U79" i="4"/>
  <c r="AH79" i="4" s="1"/>
  <c r="V79" i="4"/>
  <c r="AL141" i="4"/>
  <c r="V141" i="4"/>
  <c r="AS73" i="4"/>
  <c r="AL73" i="4"/>
  <c r="AN73" i="4" s="1"/>
  <c r="AL133" i="4"/>
  <c r="U133" i="4"/>
  <c r="AH133" i="4" s="1"/>
  <c r="V133" i="4"/>
  <c r="AS18" i="4"/>
  <c r="AS130" i="4"/>
  <c r="AM11" i="5"/>
  <c r="AO11" i="5" s="1"/>
  <c r="V56" i="4"/>
  <c r="W56" i="4" s="1"/>
  <c r="Y56" i="4" s="1"/>
  <c r="U149" i="4"/>
  <c r="AH149" i="4" s="1"/>
  <c r="AS56" i="4"/>
  <c r="V72" i="4"/>
  <c r="AM72" i="4" s="1"/>
  <c r="AN72" i="4" s="1"/>
  <c r="AS152" i="4"/>
  <c r="U148" i="4"/>
  <c r="AH148" i="4" s="1"/>
  <c r="U22" i="4"/>
  <c r="AH22" i="4" s="1"/>
  <c r="Y384" i="5"/>
  <c r="X340" i="5"/>
  <c r="X114" i="5"/>
  <c r="AL34" i="4"/>
  <c r="AS34" i="4"/>
  <c r="V34" i="4"/>
  <c r="U34" i="4"/>
  <c r="AH34" i="4" s="1"/>
  <c r="AL140" i="4"/>
  <c r="U140" i="4"/>
  <c r="AH140" i="4" s="1"/>
  <c r="AS140" i="4"/>
  <c r="AL143" i="4"/>
  <c r="AS143" i="4"/>
  <c r="AL105" i="4"/>
  <c r="AS105" i="4"/>
  <c r="U105" i="4"/>
  <c r="AL21" i="4"/>
  <c r="V21" i="4"/>
  <c r="U21" i="4"/>
  <c r="AH21" i="4" s="1"/>
  <c r="AS21" i="4"/>
  <c r="AS132" i="4"/>
  <c r="V144" i="4"/>
  <c r="Y8" i="5"/>
  <c r="X338" i="5"/>
  <c r="Y53" i="5"/>
  <c r="X420" i="5"/>
  <c r="X431" i="5"/>
  <c r="Y369" i="5"/>
  <c r="Y90" i="5"/>
  <c r="X548" i="5"/>
  <c r="X522" i="5"/>
  <c r="Y186" i="5"/>
  <c r="X468" i="5"/>
  <c r="X324" i="5"/>
  <c r="X226" i="5"/>
  <c r="X31" i="5"/>
  <c r="Y245" i="5"/>
  <c r="Y33" i="5"/>
  <c r="X195" i="5"/>
  <c r="X311" i="5"/>
  <c r="Y294" i="5"/>
  <c r="Y182" i="5"/>
  <c r="X25" i="5"/>
  <c r="Y494" i="5"/>
  <c r="Y443" i="5"/>
  <c r="X303" i="5"/>
  <c r="Y421" i="5"/>
  <c r="Y524" i="5"/>
  <c r="Y176" i="5"/>
  <c r="X44" i="5"/>
  <c r="Y418" i="5"/>
  <c r="X40" i="5"/>
  <c r="X91" i="5"/>
  <c r="X528" i="5"/>
  <c r="X368" i="5"/>
  <c r="X228" i="5"/>
  <c r="X127" i="5"/>
  <c r="Y127" i="5"/>
  <c r="X461" i="5"/>
  <c r="Y461" i="5"/>
  <c r="Y502" i="5"/>
  <c r="Y450" i="5"/>
  <c r="X309" i="5"/>
  <c r="X146" i="5"/>
  <c r="X166" i="5"/>
  <c r="Y109" i="5"/>
  <c r="Y230" i="5"/>
  <c r="X230" i="5"/>
  <c r="X171" i="5"/>
  <c r="Y171" i="5"/>
  <c r="Y113" i="5"/>
  <c r="X113" i="5"/>
  <c r="Y377" i="5"/>
  <c r="X377" i="5"/>
  <c r="Y193" i="5"/>
  <c r="X193" i="5"/>
  <c r="Y285" i="5"/>
  <c r="X285" i="5"/>
  <c r="X235" i="5"/>
  <c r="Y235" i="5"/>
  <c r="X94" i="5"/>
  <c r="Y370" i="5"/>
  <c r="X370" i="5"/>
  <c r="Y397" i="5"/>
  <c r="X111" i="5"/>
  <c r="X495" i="5"/>
  <c r="Y105" i="5"/>
  <c r="Y396" i="5"/>
  <c r="X367" i="5"/>
  <c r="X414" i="5"/>
  <c r="X462" i="5"/>
  <c r="Y209" i="5"/>
  <c r="X459" i="5"/>
  <c r="Y459" i="5"/>
  <c r="X307" i="5"/>
  <c r="Y307" i="5"/>
  <c r="Y527" i="5"/>
  <c r="X534" i="5"/>
  <c r="X227" i="5"/>
  <c r="Y116" i="5"/>
  <c r="Y250" i="5"/>
  <c r="Y107" i="5"/>
  <c r="Y162" i="5"/>
  <c r="X295" i="5"/>
  <c r="Y49" i="5"/>
  <c r="X49" i="5"/>
  <c r="X413" i="5"/>
  <c r="X398" i="5"/>
  <c r="Y419" i="5"/>
  <c r="Y558" i="5"/>
  <c r="Y452" i="5"/>
  <c r="X452" i="5"/>
  <c r="X147" i="5"/>
  <c r="Y147" i="5"/>
  <c r="X47" i="5"/>
  <c r="Y47" i="5"/>
  <c r="Y446" i="5"/>
  <c r="X292" i="5"/>
  <c r="Y336" i="5"/>
  <c r="Y41" i="5"/>
  <c r="X347" i="5"/>
  <c r="Y364" i="5"/>
  <c r="Y185" i="5"/>
  <c r="Y37" i="5"/>
  <c r="Y362" i="5"/>
  <c r="Y411" i="5"/>
  <c r="Y144" i="5"/>
  <c r="Y308" i="5"/>
  <c r="X224" i="5"/>
  <c r="Y337" i="5"/>
  <c r="X231" i="5"/>
  <c r="X335" i="5"/>
  <c r="Y297" i="5"/>
  <c r="Y87" i="5"/>
  <c r="Y547" i="5"/>
  <c r="X547" i="5"/>
  <c r="AH8" i="4"/>
  <c r="Y318" i="5"/>
  <c r="X322" i="5"/>
  <c r="Y134" i="5"/>
  <c r="Y163" i="5"/>
  <c r="Y539" i="5"/>
  <c r="Y379" i="5"/>
  <c r="Y225" i="5"/>
  <c r="X457" i="5"/>
  <c r="Y325" i="5"/>
  <c r="X325" i="5"/>
  <c r="X489" i="5"/>
  <c r="Y489" i="5"/>
  <c r="X205" i="5"/>
  <c r="Y205" i="5"/>
  <c r="AJ11" i="5"/>
  <c r="AK11" i="5" s="1"/>
  <c r="AM84" i="4"/>
  <c r="W84" i="4"/>
  <c r="X138" i="5"/>
  <c r="Y499" i="5"/>
  <c r="X499" i="5"/>
  <c r="Y514" i="5"/>
  <c r="X203" i="5"/>
  <c r="Y103" i="5"/>
  <c r="X103" i="5"/>
  <c r="Y404" i="5"/>
  <c r="X404" i="5"/>
  <c r="X345" i="5"/>
  <c r="Y345" i="5"/>
  <c r="W9" i="5"/>
  <c r="T9" i="5"/>
  <c r="AG9" i="5"/>
  <c r="Q9" i="5"/>
  <c r="X118" i="5"/>
  <c r="Y118" i="5"/>
  <c r="X374" i="5"/>
  <c r="Y374" i="5"/>
  <c r="Y315" i="5"/>
  <c r="X315" i="5"/>
  <c r="X516" i="5"/>
  <c r="P326" i="5"/>
  <c r="P32" i="5"/>
  <c r="P375" i="5"/>
  <c r="P445" i="5"/>
  <c r="P93" i="5"/>
  <c r="P342" i="5"/>
  <c r="P195" i="5"/>
  <c r="P279" i="5"/>
  <c r="P242" i="5"/>
  <c r="P465" i="5"/>
  <c r="P263" i="5"/>
  <c r="P210" i="5"/>
  <c r="P72" i="5"/>
  <c r="P454" i="5"/>
  <c r="P270" i="5"/>
  <c r="P475" i="5"/>
  <c r="P254" i="5"/>
  <c r="P98" i="5"/>
  <c r="P460" i="5"/>
  <c r="P492" i="5"/>
  <c r="P282" i="5"/>
  <c r="P172" i="5"/>
  <c r="P132" i="5"/>
  <c r="P413" i="5"/>
  <c r="P438" i="5"/>
  <c r="P336" i="5"/>
  <c r="P428" i="5"/>
  <c r="P115" i="5"/>
  <c r="P140" i="5"/>
  <c r="P154" i="5"/>
  <c r="P528" i="5"/>
  <c r="P322" i="5"/>
  <c r="P398" i="5"/>
  <c r="P327" i="5"/>
  <c r="P332" i="5"/>
  <c r="P53" i="5"/>
  <c r="P213" i="5"/>
  <c r="P409" i="5"/>
  <c r="P385" i="5"/>
  <c r="P557" i="5"/>
  <c r="P560" i="5"/>
  <c r="P27" i="5"/>
  <c r="P36" i="5"/>
  <c r="P504" i="5"/>
  <c r="P266" i="5"/>
  <c r="P264" i="5"/>
  <c r="P468" i="5"/>
  <c r="P11" i="5"/>
  <c r="P476" i="5"/>
  <c r="P436" i="5"/>
  <c r="P146" i="5"/>
  <c r="P548" i="5"/>
  <c r="P78" i="5"/>
  <c r="P352" i="5"/>
  <c r="P104" i="5"/>
  <c r="P404" i="5"/>
  <c r="P382" i="5"/>
  <c r="P239" i="5"/>
  <c r="P33" i="5"/>
  <c r="P479" i="5"/>
  <c r="P247" i="5"/>
  <c r="P477" i="5"/>
  <c r="P143" i="5"/>
  <c r="P505" i="5"/>
  <c r="P538" i="5"/>
  <c r="P376" i="5"/>
  <c r="P121" i="5"/>
  <c r="P109" i="5"/>
  <c r="P388" i="5"/>
  <c r="P131" i="5"/>
  <c r="P373" i="5"/>
  <c r="P116" i="5"/>
  <c r="P537" i="5"/>
  <c r="P514" i="5"/>
  <c r="P499" i="5"/>
  <c r="P311" i="5"/>
  <c r="P387" i="5"/>
  <c r="P170" i="5"/>
  <c r="P248" i="5"/>
  <c r="P318" i="5"/>
  <c r="P293" i="5"/>
  <c r="P464" i="5"/>
  <c r="P128" i="5"/>
  <c r="P35" i="5"/>
  <c r="P22" i="5"/>
  <c r="P364" i="5"/>
  <c r="P530" i="5"/>
  <c r="P296" i="5"/>
  <c r="P486" i="5"/>
  <c r="P230" i="5"/>
  <c r="P452" i="5"/>
  <c r="P295" i="5"/>
  <c r="P187" i="5"/>
  <c r="P163" i="5"/>
  <c r="P66" i="5"/>
  <c r="P356" i="5"/>
  <c r="P369" i="5"/>
  <c r="P312" i="5"/>
  <c r="P51" i="5"/>
  <c r="P467" i="5"/>
  <c r="P12" i="5"/>
  <c r="P134" i="5"/>
  <c r="P501" i="5"/>
  <c r="P315" i="5"/>
  <c r="P152" i="5"/>
  <c r="P106" i="5"/>
  <c r="P67" i="5"/>
  <c r="P240" i="5"/>
  <c r="P553" i="5"/>
  <c r="P357" i="5"/>
  <c r="P473" i="5"/>
  <c r="P105" i="5"/>
  <c r="P396" i="5"/>
  <c r="P215" i="5"/>
  <c r="P150" i="5"/>
  <c r="P194" i="5"/>
  <c r="P103" i="5"/>
  <c r="P304" i="5"/>
  <c r="P75" i="5"/>
  <c r="P201" i="5"/>
  <c r="P298" i="5"/>
  <c r="P457" i="5"/>
  <c r="P395" i="5"/>
  <c r="P427" i="5"/>
  <c r="P156" i="5"/>
  <c r="P56" i="5"/>
  <c r="P219" i="5"/>
  <c r="P258" i="5"/>
  <c r="P453" i="5"/>
  <c r="P419" i="5"/>
  <c r="P440" i="5"/>
  <c r="P372" i="5"/>
  <c r="P144" i="5"/>
  <c r="P439" i="5"/>
  <c r="P273" i="5"/>
  <c r="P392" i="5"/>
  <c r="P28" i="5"/>
  <c r="P435" i="5"/>
  <c r="P474" i="5"/>
  <c r="P490" i="5"/>
  <c r="P100" i="5"/>
  <c r="P168" i="5"/>
  <c r="P19" i="5"/>
  <c r="P360" i="5"/>
  <c r="P193" i="5"/>
  <c r="P160" i="5"/>
  <c r="P124" i="5"/>
  <c r="P229" i="5"/>
  <c r="P255" i="5"/>
  <c r="P299" i="5"/>
  <c r="P268" i="5"/>
  <c r="P54" i="5"/>
  <c r="P503" i="5"/>
  <c r="P207" i="5"/>
  <c r="P543" i="5"/>
  <c r="P149" i="5"/>
  <c r="P44" i="5"/>
  <c r="P80" i="5"/>
  <c r="P269" i="5"/>
  <c r="P158" i="5"/>
  <c r="P523" i="5"/>
  <c r="P233" i="5"/>
  <c r="P330" i="5"/>
  <c r="P378" i="5"/>
  <c r="P192" i="5"/>
  <c r="P246" i="5"/>
  <c r="P200" i="5"/>
  <c r="P287" i="5"/>
  <c r="P232" i="5"/>
  <c r="P88" i="5"/>
  <c r="P218" i="5"/>
  <c r="P259" i="5"/>
  <c r="P231" i="5"/>
  <c r="P161" i="5"/>
  <c r="P549" i="5"/>
  <c r="P175" i="5"/>
  <c r="P433" i="5"/>
  <c r="P281" i="5"/>
  <c r="P502" i="5"/>
  <c r="P24" i="5"/>
  <c r="P120" i="5"/>
  <c r="P506" i="5"/>
  <c r="P112" i="5"/>
  <c r="P97" i="5"/>
  <c r="P459" i="5"/>
  <c r="P173" i="5"/>
  <c r="P74" i="5"/>
  <c r="P493" i="5"/>
  <c r="P344" i="5"/>
  <c r="P186" i="5"/>
  <c r="P339" i="5"/>
  <c r="P346" i="5"/>
  <c r="P145" i="5"/>
  <c r="P226" i="5"/>
  <c r="P489" i="5"/>
  <c r="P261" i="5"/>
  <c r="P370" i="5"/>
  <c r="P283" i="5"/>
  <c r="P221" i="5"/>
  <c r="P46" i="5"/>
  <c r="P554" i="5"/>
  <c r="P177" i="5"/>
  <c r="P516" i="5"/>
  <c r="P358" i="5"/>
  <c r="P447" i="5"/>
  <c r="P204" i="5"/>
  <c r="P275" i="5"/>
  <c r="P434" i="5"/>
  <c r="P211" i="5"/>
  <c r="P85" i="5"/>
  <c r="P38" i="5"/>
  <c r="P350" i="5"/>
  <c r="P71" i="5"/>
  <c r="P485" i="5"/>
  <c r="P271" i="5"/>
  <c r="P43" i="5"/>
  <c r="P250" i="5"/>
  <c r="P559" i="5"/>
  <c r="P73" i="5"/>
  <c r="P347" i="5"/>
  <c r="P49" i="5"/>
  <c r="P472" i="5"/>
  <c r="P48" i="5"/>
  <c r="P110" i="5"/>
  <c r="P442" i="5"/>
  <c r="P420" i="5"/>
  <c r="P400" i="5"/>
  <c r="P397" i="5"/>
  <c r="P34" i="5"/>
  <c r="P203" i="5"/>
  <c r="P519" i="5"/>
  <c r="P123" i="5"/>
  <c r="P113" i="5"/>
  <c r="P305" i="5"/>
  <c r="P243" i="5"/>
  <c r="P47" i="5"/>
  <c r="P386" i="5"/>
  <c r="P313" i="5"/>
  <c r="P424" i="5"/>
  <c r="P328" i="5"/>
  <c r="P402" i="5"/>
  <c r="P294" i="5"/>
  <c r="P343" i="5"/>
  <c r="P359" i="5"/>
  <c r="P61" i="5"/>
  <c r="P354" i="5"/>
  <c r="P544" i="5"/>
  <c r="P345" i="5"/>
  <c r="P63" i="5"/>
  <c r="P135" i="5"/>
  <c r="P362" i="5"/>
  <c r="P165" i="5"/>
  <c r="P507" i="5"/>
  <c r="P338" i="5"/>
  <c r="P518" i="5"/>
  <c r="P421" i="5"/>
  <c r="P69" i="5"/>
  <c r="P183" i="5"/>
  <c r="P290" i="5"/>
  <c r="P510" i="5"/>
  <c r="P300" i="5"/>
  <c r="P189" i="5"/>
  <c r="P23" i="5"/>
  <c r="P462" i="5"/>
  <c r="P59" i="5"/>
  <c r="P450" i="5"/>
  <c r="P306" i="5"/>
  <c r="P374" i="5"/>
  <c r="P353" i="5"/>
  <c r="P535" i="5"/>
  <c r="P235" i="5"/>
  <c r="P301" i="5"/>
  <c r="P209" i="5"/>
  <c r="P390" i="5"/>
  <c r="P65" i="5"/>
  <c r="P317" i="5"/>
  <c r="P81" i="5"/>
  <c r="P237" i="5"/>
  <c r="P202" i="5"/>
  <c r="P176" i="5"/>
  <c r="P236" i="5"/>
  <c r="P188" i="5"/>
  <c r="P451" i="5"/>
  <c r="P411" i="5"/>
  <c r="P122" i="5"/>
  <c r="P547" i="5"/>
  <c r="P83" i="5"/>
  <c r="P274" i="5"/>
  <c r="P129" i="5"/>
  <c r="P111" i="5"/>
  <c r="P491" i="5"/>
  <c r="P166" i="5"/>
  <c r="P288" i="5"/>
  <c r="P214" i="5"/>
  <c r="P449" i="5"/>
  <c r="P363" i="5"/>
  <c r="P77" i="5"/>
  <c r="P171" i="5"/>
  <c r="P216" i="5"/>
  <c r="P431" i="5"/>
  <c r="P119" i="5"/>
  <c r="P245" i="5"/>
  <c r="P463" i="5"/>
  <c r="P222" i="5"/>
  <c r="P118" i="5"/>
  <c r="P552" i="5"/>
  <c r="P205" i="5"/>
  <c r="P401" i="5"/>
  <c r="P280" i="5"/>
  <c r="P522" i="5"/>
  <c r="P422" i="5"/>
  <c r="P84" i="5"/>
  <c r="P94" i="5"/>
  <c r="P368" i="5"/>
  <c r="P456" i="5"/>
  <c r="P86" i="5"/>
  <c r="P414" i="5"/>
  <c r="P515" i="5"/>
  <c r="P162" i="5"/>
  <c r="P92" i="5"/>
  <c r="P484" i="5"/>
  <c r="P31" i="5"/>
  <c r="P334" i="5"/>
  <c r="P52" i="5"/>
  <c r="P406" i="5"/>
  <c r="P249" i="5"/>
  <c r="P126" i="5"/>
  <c r="P418" i="5"/>
  <c r="P212" i="5"/>
  <c r="P366" i="5"/>
  <c r="P417" i="5"/>
  <c r="P539" i="5"/>
  <c r="P365" i="5"/>
  <c r="P335" i="5"/>
  <c r="P348" i="5"/>
  <c r="P310" i="5"/>
  <c r="P542" i="5"/>
  <c r="P532" i="5"/>
  <c r="P470" i="5"/>
  <c r="P130" i="5"/>
  <c r="P89" i="5"/>
  <c r="P276" i="5"/>
  <c r="P471" i="5"/>
  <c r="P399" i="5"/>
  <c r="P29" i="5"/>
  <c r="P244" i="5"/>
  <c r="P410" i="5"/>
  <c r="P153" i="5"/>
  <c r="P308" i="5"/>
  <c r="P540" i="5"/>
  <c r="P147" i="5"/>
  <c r="P164" i="5"/>
  <c r="P408" i="5"/>
  <c r="P319" i="5"/>
  <c r="P511" i="5"/>
  <c r="P320" i="5"/>
  <c r="P443" i="5"/>
  <c r="P289" i="5"/>
  <c r="P50" i="5"/>
  <c r="P151" i="5"/>
  <c r="P291" i="5"/>
  <c r="P480" i="5"/>
  <c r="P37" i="5"/>
  <c r="P531" i="5"/>
  <c r="P534" i="5"/>
  <c r="P225" i="5"/>
  <c r="P136" i="5"/>
  <c r="P526" i="5"/>
  <c r="P224" i="5"/>
  <c r="P333" i="5"/>
  <c r="P340" i="5"/>
  <c r="P556" i="5"/>
  <c r="P430" i="5"/>
  <c r="P96" i="5"/>
  <c r="P139" i="5"/>
  <c r="P384" i="5"/>
  <c r="P496" i="5"/>
  <c r="P91" i="5"/>
  <c r="P355" i="5"/>
  <c r="P558" i="5"/>
  <c r="P208" i="5"/>
  <c r="P142" i="5"/>
  <c r="P533" i="5"/>
  <c r="P181" i="5"/>
  <c r="P377" i="5"/>
  <c r="P198" i="5"/>
  <c r="P498" i="5"/>
  <c r="P278" i="5"/>
  <c r="P10" i="5"/>
  <c r="P114" i="5"/>
  <c r="P323" i="5"/>
  <c r="P525" i="5"/>
  <c r="P513" i="5"/>
  <c r="P512" i="5"/>
  <c r="P367" i="5"/>
  <c r="P90" i="5"/>
  <c r="P196" i="5"/>
  <c r="P316" i="5"/>
  <c r="P536" i="5"/>
  <c r="P148" i="5"/>
  <c r="P551" i="5"/>
  <c r="P546" i="5"/>
  <c r="P455" i="5"/>
  <c r="P79" i="5"/>
  <c r="P541" i="5"/>
  <c r="P241" i="5"/>
  <c r="P314" i="5"/>
  <c r="P285" i="5"/>
  <c r="P500" i="5"/>
  <c r="P302" i="5"/>
  <c r="P39" i="5"/>
  <c r="P101" i="5"/>
  <c r="P303" i="5"/>
  <c r="P371" i="5"/>
  <c r="P62" i="5"/>
  <c r="P307" i="5"/>
  <c r="P68" i="5"/>
  <c r="P169" i="5"/>
  <c r="P416" i="5"/>
  <c r="P412" i="5"/>
  <c r="P41" i="5"/>
  <c r="P555" i="5"/>
  <c r="P127" i="5"/>
  <c r="P379" i="5"/>
  <c r="P117" i="5"/>
  <c r="P297" i="5"/>
  <c r="P260" i="5"/>
  <c r="P8" i="5"/>
  <c r="P108" i="5"/>
  <c r="P337" i="5"/>
  <c r="P481" i="5"/>
  <c r="P448" i="5"/>
  <c r="P125" i="5"/>
  <c r="P425" i="5"/>
  <c r="P178" i="5"/>
  <c r="P157" i="5"/>
  <c r="P466" i="5"/>
  <c r="P137" i="5"/>
  <c r="P426" i="5"/>
  <c r="P228" i="5"/>
  <c r="P380" i="5"/>
  <c r="P361" i="5"/>
  <c r="P42" i="5"/>
  <c r="P159" i="5"/>
  <c r="P383" i="5"/>
  <c r="P461" i="5"/>
  <c r="P441" i="5"/>
  <c r="P517" i="5"/>
  <c r="P381" i="5"/>
  <c r="P190" i="5"/>
  <c r="P107" i="5"/>
  <c r="P509" i="5"/>
  <c r="P99" i="5"/>
  <c r="P238" i="5"/>
  <c r="P95" i="5"/>
  <c r="P284" i="5"/>
  <c r="P253" i="5"/>
  <c r="P217" i="5"/>
  <c r="P21" i="5"/>
  <c r="P286" i="5"/>
  <c r="P437" i="5"/>
  <c r="P469" i="5"/>
  <c r="P394" i="5"/>
  <c r="P251" i="5"/>
  <c r="P60" i="5"/>
  <c r="P155" i="5"/>
  <c r="P331" i="5"/>
  <c r="P521" i="5"/>
  <c r="P58" i="5"/>
  <c r="P446" i="5"/>
  <c r="P432" i="5"/>
  <c r="P483" i="5"/>
  <c r="P351" i="5"/>
  <c r="P527" i="5"/>
  <c r="P257" i="5"/>
  <c r="P197" i="5"/>
  <c r="P482" i="5"/>
  <c r="P444" i="5"/>
  <c r="P429" i="5"/>
  <c r="P234" i="5"/>
  <c r="P184" i="5"/>
  <c r="P141" i="5"/>
  <c r="P277" i="5"/>
  <c r="P341" i="5"/>
  <c r="P87" i="5"/>
  <c r="P185" i="5"/>
  <c r="P64" i="5"/>
  <c r="P70" i="5"/>
  <c r="P550" i="5"/>
  <c r="P138" i="5"/>
  <c r="P191" i="5"/>
  <c r="P30" i="5"/>
  <c r="P524" i="5"/>
  <c r="P13" i="5"/>
  <c r="P494" i="5"/>
  <c r="P223" i="5"/>
  <c r="P252" i="5"/>
  <c r="P57" i="5"/>
  <c r="P262" i="5"/>
  <c r="P520" i="5"/>
  <c r="P403" i="5"/>
  <c r="P423" i="5"/>
  <c r="P206" i="5"/>
  <c r="P133" i="5"/>
  <c r="P76" i="5"/>
  <c r="P407" i="5"/>
  <c r="P26" i="5"/>
  <c r="P324" i="5"/>
  <c r="P220" i="5"/>
  <c r="P292" i="5"/>
  <c r="P309" i="5"/>
  <c r="P40" i="5"/>
  <c r="P82" i="5"/>
  <c r="P329" i="5"/>
  <c r="P497" i="5"/>
  <c r="P389" i="5"/>
  <c r="P349" i="5"/>
  <c r="P265" i="5"/>
  <c r="P179" i="5"/>
  <c r="P45" i="5"/>
  <c r="P488" i="5"/>
  <c r="P180" i="5"/>
  <c r="P321" i="5"/>
  <c r="P415" i="5"/>
  <c r="P267" i="5"/>
  <c r="P174" i="5"/>
  <c r="P167" i="5"/>
  <c r="P20" i="5"/>
  <c r="P227" i="5"/>
  <c r="P393" i="5"/>
  <c r="P256" i="5"/>
  <c r="P529" i="5"/>
  <c r="P272" i="5"/>
  <c r="P9" i="5"/>
  <c r="P102" i="5"/>
  <c r="P199" i="5"/>
  <c r="P508" i="5"/>
  <c r="P478" i="5"/>
  <c r="P25" i="5"/>
  <c r="P325" i="5"/>
  <c r="P545" i="5"/>
  <c r="P458" i="5"/>
  <c r="P495" i="5"/>
  <c r="P182" i="5"/>
  <c r="P55" i="5"/>
  <c r="P391" i="5"/>
  <c r="P405" i="5"/>
  <c r="S474" i="5"/>
  <c r="R474" i="5"/>
  <c r="R548" i="5"/>
  <c r="S548" i="5"/>
  <c r="R525" i="5"/>
  <c r="S525" i="5"/>
  <c r="S36" i="5"/>
  <c r="R36" i="5"/>
  <c r="R134" i="5"/>
  <c r="S134" i="5"/>
  <c r="R397" i="5"/>
  <c r="S397" i="5"/>
  <c r="S501" i="5"/>
  <c r="R501" i="5"/>
  <c r="R394" i="5"/>
  <c r="S394" i="5"/>
  <c r="R157" i="5"/>
  <c r="S157" i="5"/>
  <c r="R194" i="5"/>
  <c r="S194" i="5"/>
  <c r="S270" i="5"/>
  <c r="R270" i="5"/>
  <c r="R286" i="5"/>
  <c r="S286" i="5"/>
  <c r="R214" i="5"/>
  <c r="S214" i="5"/>
  <c r="R241" i="5"/>
  <c r="S241" i="5"/>
  <c r="R190" i="5"/>
  <c r="S190" i="5"/>
  <c r="S132" i="5"/>
  <c r="R132" i="5"/>
  <c r="R162" i="5"/>
  <c r="S162" i="5"/>
  <c r="S530" i="5"/>
  <c r="R530" i="5"/>
  <c r="S483" i="5"/>
  <c r="R483" i="5"/>
  <c r="R282" i="5"/>
  <c r="S282" i="5"/>
  <c r="S211" i="5"/>
  <c r="R211" i="5"/>
  <c r="R171" i="5"/>
  <c r="S171" i="5"/>
  <c r="R121" i="5"/>
  <c r="S121" i="5"/>
  <c r="R61" i="5"/>
  <c r="S61" i="5"/>
  <c r="S522" i="5"/>
  <c r="R522" i="5"/>
  <c r="S477" i="5"/>
  <c r="R477" i="5"/>
  <c r="R370" i="5"/>
  <c r="S370" i="5"/>
  <c r="S257" i="5"/>
  <c r="R257" i="5"/>
  <c r="R313" i="5"/>
  <c r="S313" i="5"/>
  <c r="R164" i="5"/>
  <c r="S164" i="5"/>
  <c r="S89" i="5"/>
  <c r="R89" i="5"/>
  <c r="S42" i="5"/>
  <c r="R42" i="5"/>
  <c r="S518" i="5"/>
  <c r="R518" i="5"/>
  <c r="R473" i="5"/>
  <c r="S473" i="5"/>
  <c r="R249" i="5"/>
  <c r="S249" i="5"/>
  <c r="S141" i="5"/>
  <c r="R141" i="5"/>
  <c r="R233" i="5"/>
  <c r="S233" i="5"/>
  <c r="S105" i="5"/>
  <c r="R105" i="5"/>
  <c r="R63" i="5"/>
  <c r="S63" i="5"/>
  <c r="S443" i="5"/>
  <c r="R443" i="5"/>
  <c r="R467" i="5"/>
  <c r="S467" i="5"/>
  <c r="R351" i="5"/>
  <c r="S351" i="5"/>
  <c r="S350" i="5"/>
  <c r="R350" i="5"/>
  <c r="S299" i="5"/>
  <c r="R299" i="5"/>
  <c r="R183" i="5"/>
  <c r="S183" i="5"/>
  <c r="S103" i="5"/>
  <c r="R103" i="5"/>
  <c r="S26" i="5"/>
  <c r="R26" i="5"/>
  <c r="S502" i="5"/>
  <c r="R502" i="5"/>
  <c r="S468" i="5"/>
  <c r="R468" i="5"/>
  <c r="S442" i="5"/>
  <c r="R442" i="5"/>
  <c r="S326" i="5"/>
  <c r="R326" i="5"/>
  <c r="S228" i="5"/>
  <c r="R228" i="5"/>
  <c r="R83" i="5"/>
  <c r="S83" i="5"/>
  <c r="R58" i="5"/>
  <c r="S58" i="5"/>
  <c r="R364" i="5"/>
  <c r="S364" i="5"/>
  <c r="R452" i="5"/>
  <c r="S452" i="5"/>
  <c r="R338" i="5"/>
  <c r="S338" i="5"/>
  <c r="S346" i="5"/>
  <c r="R346" i="5"/>
  <c r="S291" i="5"/>
  <c r="R291" i="5"/>
  <c r="S179" i="5"/>
  <c r="R179" i="5"/>
  <c r="R82" i="5"/>
  <c r="S82" i="5"/>
  <c r="S516" i="5"/>
  <c r="R516" i="5"/>
  <c r="S444" i="5"/>
  <c r="R444" i="5"/>
  <c r="S387" i="5"/>
  <c r="R387" i="5"/>
  <c r="S407" i="5"/>
  <c r="R407" i="5"/>
  <c r="R285" i="5"/>
  <c r="S285" i="5"/>
  <c r="R107" i="5"/>
  <c r="S107" i="5"/>
  <c r="R100" i="5"/>
  <c r="S100" i="5"/>
  <c r="S50" i="5"/>
  <c r="R50" i="5"/>
  <c r="S383" i="5"/>
  <c r="R383" i="5"/>
  <c r="S521" i="5"/>
  <c r="R521" i="5"/>
  <c r="S495" i="5"/>
  <c r="R495" i="5"/>
  <c r="R542" i="5"/>
  <c r="S542" i="5"/>
  <c r="R459" i="5"/>
  <c r="S459" i="5"/>
  <c r="S119" i="5"/>
  <c r="R119" i="5"/>
  <c r="R205" i="5"/>
  <c r="S205" i="5"/>
  <c r="R325" i="5"/>
  <c r="S325" i="5"/>
  <c r="S310" i="5"/>
  <c r="R310" i="5"/>
  <c r="S303" i="5"/>
  <c r="R303" i="5"/>
  <c r="S66" i="5"/>
  <c r="R66" i="5"/>
  <c r="S244" i="5"/>
  <c r="R244" i="5"/>
  <c r="R139" i="5"/>
  <c r="S139" i="5"/>
  <c r="S158" i="5"/>
  <c r="R158" i="5"/>
  <c r="R131" i="5"/>
  <c r="S131" i="5"/>
  <c r="R109" i="5"/>
  <c r="S109" i="5"/>
  <c r="R93" i="5"/>
  <c r="S93" i="5"/>
  <c r="R484" i="5"/>
  <c r="S484" i="5"/>
  <c r="S461" i="5"/>
  <c r="R461" i="5"/>
  <c r="S438" i="5"/>
  <c r="R438" i="5"/>
  <c r="S307" i="5"/>
  <c r="R307" i="5"/>
  <c r="R219" i="5"/>
  <c r="S219" i="5"/>
  <c r="R149" i="5"/>
  <c r="S149" i="5"/>
  <c r="R38" i="5"/>
  <c r="S38" i="5"/>
  <c r="R552" i="5"/>
  <c r="S552" i="5"/>
  <c r="S435" i="5"/>
  <c r="R435" i="5"/>
  <c r="R263" i="5"/>
  <c r="S263" i="5"/>
  <c r="R329" i="5"/>
  <c r="S329" i="5"/>
  <c r="R269" i="5"/>
  <c r="S269" i="5"/>
  <c r="S166" i="5"/>
  <c r="R166" i="5"/>
  <c r="S110" i="5"/>
  <c r="R110" i="5"/>
  <c r="S19" i="5"/>
  <c r="R19" i="5"/>
  <c r="R465" i="5"/>
  <c r="S465" i="5"/>
  <c r="R453" i="5"/>
  <c r="S453" i="5"/>
  <c r="S423" i="5"/>
  <c r="R423" i="5"/>
  <c r="R300" i="5"/>
  <c r="S300" i="5"/>
  <c r="R191" i="5"/>
  <c r="S191" i="5"/>
  <c r="R140" i="5"/>
  <c r="S140" i="5"/>
  <c r="R59" i="5"/>
  <c r="S59" i="5"/>
  <c r="R532" i="5"/>
  <c r="S532" i="5"/>
  <c r="R422" i="5"/>
  <c r="S422" i="5"/>
  <c r="S414" i="5"/>
  <c r="R414" i="5"/>
  <c r="S317" i="5"/>
  <c r="R317" i="5"/>
  <c r="R246" i="5"/>
  <c r="S246" i="5"/>
  <c r="R145" i="5"/>
  <c r="S145" i="5"/>
  <c r="R87" i="5"/>
  <c r="S87" i="5"/>
  <c r="S539" i="5"/>
  <c r="R539" i="5"/>
  <c r="S449" i="5"/>
  <c r="R449" i="5"/>
  <c r="R393" i="5"/>
  <c r="S393" i="5"/>
  <c r="S411" i="5"/>
  <c r="R411" i="5"/>
  <c r="R293" i="5"/>
  <c r="S293" i="5"/>
  <c r="S186" i="5"/>
  <c r="R186" i="5"/>
  <c r="R125" i="5"/>
  <c r="S125" i="5"/>
  <c r="S27" i="5"/>
  <c r="R27" i="5"/>
  <c r="R508" i="5"/>
  <c r="S508" i="5"/>
  <c r="R410" i="5"/>
  <c r="S410" i="5"/>
  <c r="R404" i="5"/>
  <c r="S404" i="5"/>
  <c r="S309" i="5"/>
  <c r="R309" i="5"/>
  <c r="R213" i="5"/>
  <c r="S213" i="5"/>
  <c r="S188" i="5"/>
  <c r="R188" i="5"/>
  <c r="S95" i="5"/>
  <c r="R95" i="5"/>
  <c r="R544" i="5"/>
  <c r="S544" i="5"/>
  <c r="S510" i="5"/>
  <c r="R510" i="5"/>
  <c r="S412" i="5"/>
  <c r="R412" i="5"/>
  <c r="R372" i="5"/>
  <c r="S372" i="5"/>
  <c r="S229" i="5"/>
  <c r="R229" i="5"/>
  <c r="R199" i="5"/>
  <c r="S199" i="5"/>
  <c r="R137" i="5"/>
  <c r="S137" i="5"/>
  <c r="S25" i="5"/>
  <c r="R25" i="5"/>
  <c r="R262" i="5"/>
  <c r="S262" i="5"/>
  <c r="R267" i="5"/>
  <c r="S267" i="5"/>
  <c r="S405" i="5"/>
  <c r="R405" i="5"/>
  <c r="R511" i="5"/>
  <c r="S511" i="5"/>
  <c r="R490" i="5"/>
  <c r="S490" i="5"/>
  <c r="R537" i="5"/>
  <c r="S537" i="5"/>
  <c r="S65" i="5"/>
  <c r="R65" i="5"/>
  <c r="R49" i="5"/>
  <c r="S49" i="5"/>
  <c r="R54" i="5"/>
  <c r="S54" i="5"/>
  <c r="R528" i="5"/>
  <c r="S528" i="5"/>
  <c r="R428" i="5"/>
  <c r="S428" i="5"/>
  <c r="S122" i="5"/>
  <c r="R122" i="5"/>
  <c r="R78" i="5"/>
  <c r="S78" i="5"/>
  <c r="S37" i="5"/>
  <c r="R37" i="5"/>
  <c r="S34" i="5"/>
  <c r="R34" i="5"/>
  <c r="R39" i="5"/>
  <c r="S39" i="5"/>
  <c r="S505" i="5"/>
  <c r="R505" i="5"/>
  <c r="S437" i="5"/>
  <c r="R437" i="5"/>
  <c r="S381" i="5"/>
  <c r="R381" i="5"/>
  <c r="R396" i="5"/>
  <c r="S396" i="5"/>
  <c r="R281" i="5"/>
  <c r="S281" i="5"/>
  <c r="R251" i="5"/>
  <c r="S251" i="5"/>
  <c r="S98" i="5"/>
  <c r="R98" i="5"/>
  <c r="R46" i="5"/>
  <c r="S46" i="5"/>
  <c r="S481" i="5"/>
  <c r="R481" i="5"/>
  <c r="R337" i="5"/>
  <c r="S337" i="5"/>
  <c r="R388" i="5"/>
  <c r="S388" i="5"/>
  <c r="R287" i="5"/>
  <c r="S287" i="5"/>
  <c r="S101" i="5"/>
  <c r="R101" i="5"/>
  <c r="S163" i="5"/>
  <c r="R163" i="5"/>
  <c r="R91" i="5"/>
  <c r="S91" i="5"/>
  <c r="R429" i="5"/>
  <c r="S429" i="5"/>
  <c r="S342" i="5"/>
  <c r="R342" i="5"/>
  <c r="S359" i="5"/>
  <c r="R359" i="5"/>
  <c r="S386" i="5"/>
  <c r="R386" i="5"/>
  <c r="S259" i="5"/>
  <c r="R259" i="5"/>
  <c r="S238" i="5"/>
  <c r="R238" i="5"/>
  <c r="R154" i="5"/>
  <c r="S154" i="5"/>
  <c r="S35" i="5"/>
  <c r="R35" i="5"/>
  <c r="S447" i="5"/>
  <c r="R447" i="5"/>
  <c r="S252" i="5"/>
  <c r="R252" i="5"/>
  <c r="S379" i="5"/>
  <c r="R379" i="5"/>
  <c r="R278" i="5"/>
  <c r="S278" i="5"/>
  <c r="S237" i="5"/>
  <c r="R237" i="5"/>
  <c r="S92" i="5"/>
  <c r="R92" i="5"/>
  <c r="S77" i="5"/>
  <c r="R77" i="5"/>
  <c r="R403" i="5"/>
  <c r="S403" i="5"/>
  <c r="S520" i="5"/>
  <c r="R520" i="5"/>
  <c r="S421" i="5"/>
  <c r="R421" i="5"/>
  <c r="R380" i="5"/>
  <c r="S380" i="5"/>
  <c r="S253" i="5"/>
  <c r="R253" i="5"/>
  <c r="S235" i="5"/>
  <c r="R235" i="5"/>
  <c r="S151" i="5"/>
  <c r="R151" i="5"/>
  <c r="S30" i="5"/>
  <c r="R30" i="5"/>
  <c r="R559" i="5"/>
  <c r="S559" i="5"/>
  <c r="R524" i="5"/>
  <c r="S524" i="5"/>
  <c r="R365" i="5"/>
  <c r="S365" i="5"/>
  <c r="S275" i="5"/>
  <c r="R275" i="5"/>
  <c r="S231" i="5"/>
  <c r="R231" i="5"/>
  <c r="R155" i="5"/>
  <c r="S155" i="5"/>
  <c r="S71" i="5"/>
  <c r="R71" i="5"/>
  <c r="R558" i="5"/>
  <c r="S558" i="5"/>
  <c r="S486" i="5"/>
  <c r="R486" i="5"/>
  <c r="R377" i="5"/>
  <c r="S377" i="5"/>
  <c r="S289" i="5"/>
  <c r="R289" i="5"/>
  <c r="S323" i="5"/>
  <c r="R323" i="5"/>
  <c r="S178" i="5"/>
  <c r="R178" i="5"/>
  <c r="S108" i="5"/>
  <c r="R108" i="5"/>
  <c r="S47" i="5"/>
  <c r="R47" i="5"/>
  <c r="S212" i="5"/>
  <c r="R212" i="5"/>
  <c r="R148" i="5"/>
  <c r="S148" i="5"/>
  <c r="S193" i="5"/>
  <c r="R193" i="5"/>
  <c r="S260" i="5"/>
  <c r="R260" i="5"/>
  <c r="R22" i="5"/>
  <c r="S22" i="5"/>
  <c r="R560" i="5"/>
  <c r="S560" i="5"/>
  <c r="S182" i="5"/>
  <c r="R182" i="5"/>
  <c r="S462" i="5"/>
  <c r="R462" i="5"/>
  <c r="R97" i="5"/>
  <c r="S97" i="5"/>
  <c r="R62" i="5"/>
  <c r="S62" i="5"/>
  <c r="S84" i="5"/>
  <c r="R84" i="5"/>
  <c r="S458" i="5"/>
  <c r="R458" i="5"/>
  <c r="R513" i="5"/>
  <c r="S513" i="5"/>
  <c r="R507" i="5"/>
  <c r="S507" i="5"/>
  <c r="S551" i="5"/>
  <c r="R551" i="5"/>
  <c r="S533" i="5"/>
  <c r="R533" i="5"/>
  <c r="R506" i="5"/>
  <c r="S506" i="5"/>
  <c r="R406" i="5"/>
  <c r="S406" i="5"/>
  <c r="S371" i="5"/>
  <c r="R371" i="5"/>
  <c r="R218" i="5"/>
  <c r="S218" i="5"/>
  <c r="R198" i="5"/>
  <c r="S198" i="5"/>
  <c r="S135" i="5"/>
  <c r="R135" i="5"/>
  <c r="R43" i="5"/>
  <c r="S43" i="5"/>
  <c r="S545" i="5"/>
  <c r="R545" i="5"/>
  <c r="S519" i="5"/>
  <c r="R519" i="5"/>
  <c r="S354" i="5"/>
  <c r="R354" i="5"/>
  <c r="S265" i="5"/>
  <c r="R265" i="5"/>
  <c r="S217" i="5"/>
  <c r="R217" i="5"/>
  <c r="R147" i="5"/>
  <c r="S147" i="5"/>
  <c r="S81" i="5"/>
  <c r="R81" i="5"/>
  <c r="R466" i="5"/>
  <c r="S466" i="5"/>
  <c r="S492" i="5"/>
  <c r="R492" i="5"/>
  <c r="S398" i="5"/>
  <c r="R398" i="5"/>
  <c r="S334" i="5"/>
  <c r="R334" i="5"/>
  <c r="R196" i="5"/>
  <c r="S196" i="5"/>
  <c r="R181" i="5"/>
  <c r="S181" i="5"/>
  <c r="S123" i="5"/>
  <c r="R123" i="5"/>
  <c r="R23" i="5"/>
  <c r="S23" i="5"/>
  <c r="S541" i="5"/>
  <c r="R541" i="5"/>
  <c r="S503" i="5"/>
  <c r="R503" i="5"/>
  <c r="R343" i="5"/>
  <c r="S343" i="5"/>
  <c r="R243" i="5"/>
  <c r="S243" i="5"/>
  <c r="S206" i="5"/>
  <c r="R206" i="5"/>
  <c r="R129" i="5"/>
  <c r="S129" i="5"/>
  <c r="S70" i="5"/>
  <c r="R70" i="5"/>
  <c r="S557" i="5"/>
  <c r="R557" i="5"/>
  <c r="S489" i="5"/>
  <c r="R489" i="5"/>
  <c r="S395" i="5"/>
  <c r="R395" i="5"/>
  <c r="R306" i="5"/>
  <c r="S306" i="5"/>
  <c r="S331" i="5"/>
  <c r="R331" i="5"/>
  <c r="R202" i="5"/>
  <c r="S202" i="5"/>
  <c r="R117" i="5"/>
  <c r="S117" i="5"/>
  <c r="R20" i="5"/>
  <c r="S20" i="5"/>
  <c r="R536" i="5"/>
  <c r="S536" i="5"/>
  <c r="R500" i="5"/>
  <c r="S500" i="5"/>
  <c r="S314" i="5"/>
  <c r="R314" i="5"/>
  <c r="R223" i="5"/>
  <c r="S223" i="5"/>
  <c r="S204" i="5"/>
  <c r="R204" i="5"/>
  <c r="S126" i="5"/>
  <c r="R126" i="5"/>
  <c r="S69" i="5"/>
  <c r="R69" i="5"/>
  <c r="S550" i="5"/>
  <c r="R550" i="5"/>
  <c r="S446" i="5"/>
  <c r="R446" i="5"/>
  <c r="S327" i="5"/>
  <c r="R327" i="5"/>
  <c r="R341" i="5"/>
  <c r="S341" i="5"/>
  <c r="R284" i="5"/>
  <c r="S284" i="5"/>
  <c r="R175" i="5"/>
  <c r="S175" i="5"/>
  <c r="S44" i="5"/>
  <c r="R44" i="5"/>
  <c r="R311" i="5"/>
  <c r="S311" i="5"/>
  <c r="S222" i="5"/>
  <c r="R222" i="5"/>
  <c r="S215" i="5"/>
  <c r="R215" i="5"/>
  <c r="R209" i="5"/>
  <c r="S209" i="5"/>
  <c r="S333" i="5"/>
  <c r="R333" i="5"/>
  <c r="S127" i="5"/>
  <c r="R127" i="5"/>
  <c r="R116" i="5"/>
  <c r="S116" i="5"/>
  <c r="S439" i="5"/>
  <c r="R439" i="5"/>
  <c r="S113" i="5"/>
  <c r="R113" i="5"/>
  <c r="R167" i="5"/>
  <c r="S167" i="5"/>
  <c r="S543" i="5"/>
  <c r="R543" i="5"/>
  <c r="S362" i="5"/>
  <c r="R362" i="5"/>
  <c r="S493" i="5"/>
  <c r="R493" i="5"/>
  <c r="S470" i="5"/>
  <c r="R470" i="5"/>
  <c r="R434" i="5"/>
  <c r="S434" i="5"/>
  <c r="R549" i="5"/>
  <c r="S549" i="5"/>
  <c r="R482" i="5"/>
  <c r="S482" i="5"/>
  <c r="R374" i="5"/>
  <c r="S374" i="5"/>
  <c r="S273" i="5"/>
  <c r="R273" i="5"/>
  <c r="R316" i="5"/>
  <c r="S316" i="5"/>
  <c r="S170" i="5"/>
  <c r="R170" i="5"/>
  <c r="S99" i="5"/>
  <c r="R99" i="5"/>
  <c r="S45" i="5"/>
  <c r="R45" i="5"/>
  <c r="S529" i="5"/>
  <c r="R529" i="5"/>
  <c r="S475" i="5"/>
  <c r="R475" i="5"/>
  <c r="R279" i="5"/>
  <c r="S279" i="5"/>
  <c r="R173" i="5"/>
  <c r="S173" i="5"/>
  <c r="R165" i="5"/>
  <c r="S165" i="5"/>
  <c r="R118" i="5"/>
  <c r="S118" i="5"/>
  <c r="R57" i="5"/>
  <c r="S57" i="5"/>
  <c r="R460" i="5"/>
  <c r="S460" i="5"/>
  <c r="S469" i="5"/>
  <c r="R469" i="5"/>
  <c r="S358" i="5"/>
  <c r="R358" i="5"/>
  <c r="R357" i="5"/>
  <c r="S357" i="5"/>
  <c r="R302" i="5"/>
  <c r="S302" i="5"/>
  <c r="R185" i="5"/>
  <c r="S185" i="5"/>
  <c r="S106" i="5"/>
  <c r="R106" i="5"/>
  <c r="S31" i="5"/>
  <c r="R31" i="5"/>
  <c r="R509" i="5"/>
  <c r="S509" i="5"/>
  <c r="R471" i="5"/>
  <c r="S471" i="5"/>
  <c r="S245" i="5"/>
  <c r="R245" i="5"/>
  <c r="S330" i="5"/>
  <c r="R330" i="5"/>
  <c r="S230" i="5"/>
  <c r="R230" i="5"/>
  <c r="R102" i="5"/>
  <c r="S102" i="5"/>
  <c r="R60" i="5"/>
  <c r="S60" i="5"/>
  <c r="S430" i="5"/>
  <c r="R430" i="5"/>
  <c r="R457" i="5"/>
  <c r="S457" i="5"/>
  <c r="S347" i="5"/>
  <c r="R347" i="5"/>
  <c r="S348" i="5"/>
  <c r="R348" i="5"/>
  <c r="R292" i="5"/>
  <c r="S292" i="5"/>
  <c r="S180" i="5"/>
  <c r="R180" i="5"/>
  <c r="S94" i="5"/>
  <c r="R94" i="5"/>
  <c r="S21" i="5"/>
  <c r="R21" i="5"/>
  <c r="S497" i="5"/>
  <c r="R497" i="5"/>
  <c r="S463" i="5"/>
  <c r="R463" i="5"/>
  <c r="S441" i="5"/>
  <c r="R441" i="5"/>
  <c r="R321" i="5"/>
  <c r="S321" i="5"/>
  <c r="R225" i="5"/>
  <c r="S225" i="5"/>
  <c r="R159" i="5"/>
  <c r="S159" i="5"/>
  <c r="S55" i="5"/>
  <c r="R55" i="5"/>
  <c r="S498" i="5"/>
  <c r="R498" i="5"/>
  <c r="S369" i="5"/>
  <c r="R369" i="5"/>
  <c r="R402" i="5"/>
  <c r="S402" i="5"/>
  <c r="R297" i="5"/>
  <c r="S297" i="5"/>
  <c r="R203" i="5"/>
  <c r="S203" i="5"/>
  <c r="R174" i="5"/>
  <c r="S174" i="5"/>
  <c r="R86" i="5"/>
  <c r="S86" i="5"/>
  <c r="S261" i="5"/>
  <c r="R261" i="5"/>
  <c r="R361" i="5"/>
  <c r="S361" i="5"/>
  <c r="S356" i="5"/>
  <c r="R356" i="5"/>
  <c r="R349" i="5"/>
  <c r="S349" i="5"/>
  <c r="R332" i="5"/>
  <c r="S332" i="5"/>
  <c r="S340" i="5"/>
  <c r="R340" i="5"/>
  <c r="R487" i="5"/>
  <c r="S487" i="5"/>
  <c r="S494" i="5"/>
  <c r="R494" i="5"/>
  <c r="R454" i="5"/>
  <c r="S454" i="5"/>
  <c r="R478" i="5"/>
  <c r="S478" i="5"/>
  <c r="R517" i="5"/>
  <c r="S517" i="5"/>
  <c r="R366" i="5"/>
  <c r="S366" i="5"/>
  <c r="S401" i="5"/>
  <c r="R401" i="5"/>
  <c r="S367" i="5"/>
  <c r="R367" i="5"/>
  <c r="S419" i="5"/>
  <c r="R419" i="5"/>
  <c r="S555" i="5"/>
  <c r="R555" i="5"/>
  <c r="S436" i="5"/>
  <c r="R436" i="5"/>
  <c r="S322" i="5"/>
  <c r="R322" i="5"/>
  <c r="S339" i="5"/>
  <c r="R339" i="5"/>
  <c r="R276" i="5"/>
  <c r="S276" i="5"/>
  <c r="S172" i="5"/>
  <c r="R172" i="5"/>
  <c r="S111" i="5"/>
  <c r="R111" i="5"/>
  <c r="AG11" i="5"/>
  <c r="Q11" i="5"/>
  <c r="W11" i="5"/>
  <c r="R479" i="5"/>
  <c r="S479" i="5"/>
  <c r="S455" i="5"/>
  <c r="R455" i="5"/>
  <c r="S431" i="5"/>
  <c r="R431" i="5"/>
  <c r="R305" i="5"/>
  <c r="S305" i="5"/>
  <c r="S210" i="5"/>
  <c r="R210" i="5"/>
  <c r="S146" i="5"/>
  <c r="R146" i="5"/>
  <c r="R67" i="5"/>
  <c r="S67" i="5"/>
  <c r="S547" i="5"/>
  <c r="R547" i="5"/>
  <c r="R425" i="5"/>
  <c r="S425" i="5"/>
  <c r="R417" i="5"/>
  <c r="S417" i="5"/>
  <c r="R319" i="5"/>
  <c r="S319" i="5"/>
  <c r="S258" i="5"/>
  <c r="R258" i="5"/>
  <c r="R161" i="5"/>
  <c r="S161" i="5"/>
  <c r="S90" i="5"/>
  <c r="R90" i="5"/>
  <c r="S540" i="5"/>
  <c r="R540" i="5"/>
  <c r="R450" i="5"/>
  <c r="S450" i="5"/>
  <c r="R433" i="5"/>
  <c r="S433" i="5"/>
  <c r="R418" i="5"/>
  <c r="S418" i="5"/>
  <c r="R298" i="5"/>
  <c r="S298" i="5"/>
  <c r="S189" i="5"/>
  <c r="R189" i="5"/>
  <c r="S138" i="5"/>
  <c r="R138" i="5"/>
  <c r="S51" i="5"/>
  <c r="R51" i="5"/>
  <c r="R515" i="5"/>
  <c r="S515" i="5"/>
  <c r="S420" i="5"/>
  <c r="R420" i="5"/>
  <c r="R413" i="5"/>
  <c r="S413" i="5"/>
  <c r="R315" i="5"/>
  <c r="S315" i="5"/>
  <c r="S227" i="5"/>
  <c r="R227" i="5"/>
  <c r="R130" i="5"/>
  <c r="S130" i="5"/>
  <c r="R85" i="5"/>
  <c r="S85" i="5"/>
  <c r="S531" i="5"/>
  <c r="R531" i="5"/>
  <c r="S445" i="5"/>
  <c r="R445" i="5"/>
  <c r="R390" i="5"/>
  <c r="S390" i="5"/>
  <c r="S409" i="5"/>
  <c r="R409" i="5"/>
  <c r="S290" i="5"/>
  <c r="R290" i="5"/>
  <c r="S177" i="5"/>
  <c r="R177" i="5"/>
  <c r="S114" i="5"/>
  <c r="R114" i="5"/>
  <c r="R52" i="5"/>
  <c r="S52" i="5"/>
  <c r="R553" i="5"/>
  <c r="S553" i="5"/>
  <c r="S523" i="5"/>
  <c r="R523" i="5"/>
  <c r="S363" i="5"/>
  <c r="R363" i="5"/>
  <c r="S274" i="5"/>
  <c r="R274" i="5"/>
  <c r="S226" i="5"/>
  <c r="R226" i="5"/>
  <c r="R150" i="5"/>
  <c r="S150" i="5"/>
  <c r="R73" i="5"/>
  <c r="S73" i="5"/>
  <c r="S476" i="5"/>
  <c r="R476" i="5"/>
  <c r="S266" i="5"/>
  <c r="R266" i="5"/>
  <c r="S28" i="5"/>
  <c r="R28" i="5"/>
  <c r="S133" i="5"/>
  <c r="R133" i="5"/>
  <c r="R74" i="5"/>
  <c r="S74" i="5"/>
  <c r="R207" i="5"/>
  <c r="S207" i="5"/>
  <c r="R239" i="5"/>
  <c r="S239" i="5"/>
  <c r="S295" i="5"/>
  <c r="R295" i="5"/>
  <c r="R221" i="5"/>
  <c r="S221" i="5"/>
  <c r="R143" i="5"/>
  <c r="S143" i="5"/>
  <c r="S335" i="5"/>
  <c r="R335" i="5"/>
  <c r="S353" i="5"/>
  <c r="R353" i="5"/>
  <c r="S389" i="5"/>
  <c r="R389" i="5"/>
  <c r="R355" i="5"/>
  <c r="S355" i="5"/>
  <c r="R254" i="5"/>
  <c r="S254" i="5"/>
  <c r="R324" i="5"/>
  <c r="S324" i="5"/>
  <c r="S491" i="5"/>
  <c r="R491" i="5"/>
  <c r="R345" i="5"/>
  <c r="S345" i="5"/>
  <c r="R399" i="5"/>
  <c r="S399" i="5"/>
  <c r="R294" i="5"/>
  <c r="S294" i="5"/>
  <c r="S187" i="5"/>
  <c r="R187" i="5"/>
  <c r="R169" i="5"/>
  <c r="S169" i="5"/>
  <c r="R76" i="5"/>
  <c r="S76" i="5"/>
  <c r="R499" i="5"/>
  <c r="S499" i="5"/>
  <c r="S426" i="5"/>
  <c r="R426" i="5"/>
  <c r="R378" i="5"/>
  <c r="S378" i="5"/>
  <c r="S391" i="5"/>
  <c r="R391" i="5"/>
  <c r="S271" i="5"/>
  <c r="R271" i="5"/>
  <c r="S250" i="5"/>
  <c r="R250" i="5"/>
  <c r="R53" i="5"/>
  <c r="S53" i="5"/>
  <c r="S41" i="5"/>
  <c r="R41" i="5"/>
  <c r="R451" i="5"/>
  <c r="S451" i="5"/>
  <c r="R301" i="5"/>
  <c r="S301" i="5"/>
  <c r="S382" i="5"/>
  <c r="R382" i="5"/>
  <c r="S283" i="5"/>
  <c r="R283" i="5"/>
  <c r="R242" i="5"/>
  <c r="S242" i="5"/>
  <c r="R115" i="5"/>
  <c r="S115" i="5"/>
  <c r="R79" i="5"/>
  <c r="S79" i="5"/>
  <c r="S427" i="5"/>
  <c r="R427" i="5"/>
  <c r="R197" i="5"/>
  <c r="S197" i="5"/>
  <c r="S318" i="5"/>
  <c r="R318" i="5"/>
  <c r="S385" i="5"/>
  <c r="R385" i="5"/>
  <c r="R255" i="5"/>
  <c r="S255" i="5"/>
  <c r="S236" i="5"/>
  <c r="R236" i="5"/>
  <c r="R153" i="5"/>
  <c r="S153" i="5"/>
  <c r="S33" i="5"/>
  <c r="R33" i="5"/>
  <c r="R268" i="5"/>
  <c r="S268" i="5"/>
  <c r="S527" i="5"/>
  <c r="R527" i="5"/>
  <c r="R373" i="5"/>
  <c r="S373" i="5"/>
  <c r="S277" i="5"/>
  <c r="R277" i="5"/>
  <c r="S234" i="5"/>
  <c r="R234" i="5"/>
  <c r="S156" i="5"/>
  <c r="R156" i="5"/>
  <c r="S75" i="5"/>
  <c r="R75" i="5"/>
  <c r="R556" i="5"/>
  <c r="S556" i="5"/>
  <c r="S514" i="5"/>
  <c r="R514" i="5"/>
  <c r="R415" i="5"/>
  <c r="S415" i="5"/>
  <c r="S375" i="5"/>
  <c r="R375" i="5"/>
  <c r="R247" i="5"/>
  <c r="S247" i="5"/>
  <c r="S201" i="5"/>
  <c r="R201" i="5"/>
  <c r="R142" i="5"/>
  <c r="S142" i="5"/>
  <c r="S29" i="5"/>
  <c r="R29" i="5"/>
  <c r="S535" i="5"/>
  <c r="R535" i="5"/>
  <c r="R485" i="5"/>
  <c r="S485" i="5"/>
  <c r="S308" i="5"/>
  <c r="R308" i="5"/>
  <c r="S220" i="5"/>
  <c r="R220" i="5"/>
  <c r="S195" i="5"/>
  <c r="R195" i="5"/>
  <c r="R124" i="5"/>
  <c r="S124" i="5"/>
  <c r="R68" i="5"/>
  <c r="S68" i="5"/>
  <c r="AP525" i="5"/>
  <c r="AR525" i="5" s="1"/>
  <c r="AP23" i="5"/>
  <c r="AR23" i="5" s="1"/>
  <c r="AP462" i="5"/>
  <c r="AQ462" i="5" s="1"/>
  <c r="AP483" i="5"/>
  <c r="AQ483" i="5" s="1"/>
  <c r="AP244" i="5"/>
  <c r="AQ244" i="5" s="1"/>
  <c r="AP66" i="5"/>
  <c r="AR66" i="5" s="1"/>
  <c r="AP350" i="5"/>
  <c r="AR350" i="5" s="1"/>
  <c r="AP21" i="5"/>
  <c r="AR21" i="5" s="1"/>
  <c r="AP118" i="5"/>
  <c r="AQ118" i="5" s="1"/>
  <c r="AP219" i="5"/>
  <c r="AR219" i="5" s="1"/>
  <c r="AP345" i="5"/>
  <c r="AR345" i="5" s="1"/>
  <c r="AP498" i="5"/>
  <c r="AQ498" i="5" s="1"/>
  <c r="AP496" i="5"/>
  <c r="AQ496" i="5" s="1"/>
  <c r="AP392" i="5"/>
  <c r="AR392" i="5" s="1"/>
  <c r="AP428" i="5"/>
  <c r="AR428" i="5" s="1"/>
  <c r="AP194" i="5"/>
  <c r="AQ194" i="5" s="1"/>
  <c r="AP524" i="5"/>
  <c r="AQ524" i="5" s="1"/>
  <c r="AP142" i="5"/>
  <c r="AR142" i="5" s="1"/>
  <c r="AP544" i="5"/>
  <c r="AR544" i="5" s="1"/>
  <c r="AP93" i="5"/>
  <c r="AR93" i="5" s="1"/>
  <c r="AP372" i="5"/>
  <c r="AR372" i="5" s="1"/>
  <c r="AP436" i="5"/>
  <c r="AQ436" i="5" s="1"/>
  <c r="AP158" i="5"/>
  <c r="AR158" i="5" s="1"/>
  <c r="AP45" i="5"/>
  <c r="AQ45" i="5" s="1"/>
  <c r="AP237" i="5"/>
  <c r="AQ237" i="5" s="1"/>
  <c r="AP34" i="5"/>
  <c r="AQ34" i="5" s="1"/>
  <c r="AP368" i="5"/>
  <c r="AQ368" i="5" s="1"/>
  <c r="AP330" i="5"/>
  <c r="AQ330" i="5" s="1"/>
  <c r="AP205" i="5"/>
  <c r="AQ205" i="5" s="1"/>
  <c r="AP522" i="5"/>
  <c r="AQ522" i="5" s="1"/>
  <c r="AP302" i="5"/>
  <c r="AR302" i="5" s="1"/>
  <c r="AP190" i="5"/>
  <c r="AR190" i="5" s="1"/>
  <c r="AP337" i="5"/>
  <c r="AQ337" i="5" s="1"/>
  <c r="AP22" i="5"/>
  <c r="AR22" i="5" s="1"/>
  <c r="AP257" i="5"/>
  <c r="AR257" i="5" s="1"/>
  <c r="AP558" i="5"/>
  <c r="AQ558" i="5" s="1"/>
  <c r="AP278" i="5"/>
  <c r="AQ278" i="5" s="1"/>
  <c r="AP438" i="5"/>
  <c r="AR438" i="5" s="1"/>
  <c r="AP477" i="5"/>
  <c r="AQ477" i="5" s="1"/>
  <c r="AP82" i="5"/>
  <c r="AQ82" i="5" s="1"/>
  <c r="AP20" i="5"/>
  <c r="AQ20" i="5" s="1"/>
  <c r="AP184" i="5"/>
  <c r="AR184" i="5" s="1"/>
  <c r="AP545" i="5"/>
  <c r="AR545" i="5" s="1"/>
  <c r="AP402" i="5"/>
  <c r="AR402" i="5" s="1"/>
  <c r="AP444" i="5"/>
  <c r="AR444" i="5" s="1"/>
  <c r="AP259" i="5"/>
  <c r="AR259" i="5" s="1"/>
  <c r="AP417" i="5"/>
  <c r="AQ417" i="5" s="1"/>
  <c r="AP460" i="5"/>
  <c r="AR460" i="5" s="1"/>
  <c r="AP144" i="5"/>
  <c r="AQ144" i="5" s="1"/>
  <c r="AP165" i="5"/>
  <c r="AQ165" i="5" s="1"/>
  <c r="AP542" i="5"/>
  <c r="AR542" i="5" s="1"/>
  <c r="AP262" i="5"/>
  <c r="AQ262" i="5" s="1"/>
  <c r="AP87" i="5"/>
  <c r="AR87" i="5" s="1"/>
  <c r="AP103" i="5"/>
  <c r="AQ103" i="5" s="1"/>
  <c r="AP211" i="5"/>
  <c r="AR211" i="5" s="1"/>
  <c r="AP378" i="5"/>
  <c r="AQ378" i="5" s="1"/>
  <c r="AP138" i="5"/>
  <c r="AQ138" i="5" s="1"/>
  <c r="AP493" i="5"/>
  <c r="AQ493" i="5" s="1"/>
  <c r="AP495" i="5"/>
  <c r="AQ495" i="5" s="1"/>
  <c r="AP104" i="5"/>
  <c r="AR104" i="5" s="1"/>
  <c r="AP384" i="5"/>
  <c r="AQ384" i="5" s="1"/>
  <c r="AP261" i="5"/>
  <c r="AQ261" i="5" s="1"/>
  <c r="AP70" i="5"/>
  <c r="AQ70" i="5" s="1"/>
  <c r="AP56" i="5"/>
  <c r="AQ56" i="5" s="1"/>
  <c r="AP397" i="5"/>
  <c r="AQ397" i="5" s="1"/>
  <c r="AP457" i="5"/>
  <c r="AR457" i="5" s="1"/>
  <c r="AP370" i="5"/>
  <c r="AR370" i="5" s="1"/>
  <c r="AP454" i="5"/>
  <c r="AR454" i="5" s="1"/>
  <c r="AP318" i="5"/>
  <c r="AR318" i="5" s="1"/>
  <c r="U312" i="5"/>
  <c r="V312" i="5"/>
  <c r="AN150" i="5"/>
  <c r="AO150" i="5"/>
  <c r="AO399" i="5"/>
  <c r="AN399" i="5"/>
  <c r="AO381" i="5"/>
  <c r="AN381" i="5"/>
  <c r="AO60" i="5"/>
  <c r="AN60" i="5"/>
  <c r="AO408" i="5"/>
  <c r="AN408" i="5"/>
  <c r="U427" i="5"/>
  <c r="V427" i="5"/>
  <c r="U409" i="5"/>
  <c r="V409" i="5"/>
  <c r="U271" i="5"/>
  <c r="V271" i="5"/>
  <c r="V557" i="5"/>
  <c r="U557" i="5"/>
  <c r="AN59" i="5"/>
  <c r="AO59" i="5"/>
  <c r="AP533" i="5"/>
  <c r="AQ533" i="5" s="1"/>
  <c r="AP404" i="5"/>
  <c r="AR404" i="5" s="1"/>
  <c r="AP488" i="5"/>
  <c r="AR488" i="5" s="1"/>
  <c r="AP291" i="5"/>
  <c r="AR291" i="5" s="1"/>
  <c r="AP260" i="5"/>
  <c r="AQ260" i="5" s="1"/>
  <c r="AP37" i="5"/>
  <c r="AR37" i="5" s="1"/>
  <c r="AP422" i="5"/>
  <c r="AQ422" i="5" s="1"/>
  <c r="AP226" i="5"/>
  <c r="AQ226" i="5" s="1"/>
  <c r="AP420" i="5"/>
  <c r="AR420" i="5" s="1"/>
  <c r="U384" i="5"/>
  <c r="V384" i="5"/>
  <c r="AN254" i="5"/>
  <c r="AO254" i="5"/>
  <c r="AO361" i="5"/>
  <c r="AN361" i="5"/>
  <c r="AO478" i="5"/>
  <c r="AN478" i="5"/>
  <c r="AN398" i="5"/>
  <c r="AO398" i="5"/>
  <c r="AN511" i="5"/>
  <c r="AO511" i="5"/>
  <c r="AO271" i="5"/>
  <c r="AN271" i="5"/>
  <c r="AN503" i="5"/>
  <c r="AO503" i="5"/>
  <c r="AN373" i="5"/>
  <c r="AO373" i="5"/>
  <c r="AO146" i="5"/>
  <c r="AN146" i="5"/>
  <c r="AO401" i="5"/>
  <c r="AN401" i="5"/>
  <c r="AN143" i="5"/>
  <c r="AO143" i="5"/>
  <c r="AN441" i="5"/>
  <c r="AO441" i="5"/>
  <c r="AN226" i="5"/>
  <c r="AO226" i="5"/>
  <c r="AO542" i="5"/>
  <c r="AN542" i="5"/>
  <c r="AN377" i="5"/>
  <c r="AO377" i="5"/>
  <c r="AO190" i="5"/>
  <c r="AN190" i="5"/>
  <c r="AO553" i="5"/>
  <c r="AN553" i="5"/>
  <c r="AN321" i="5"/>
  <c r="AO321" i="5"/>
  <c r="AN21" i="5"/>
  <c r="AO21" i="5"/>
  <c r="AN196" i="5"/>
  <c r="AO196" i="5"/>
  <c r="AN36" i="5"/>
  <c r="AO36" i="5"/>
  <c r="AN257" i="5"/>
  <c r="AO257" i="5"/>
  <c r="AN376" i="5"/>
  <c r="AO376" i="5"/>
  <c r="U88" i="5"/>
  <c r="V88" i="5"/>
  <c r="AN248" i="5"/>
  <c r="AO248" i="5"/>
  <c r="AO57" i="5"/>
  <c r="AN57" i="5"/>
  <c r="U24" i="5"/>
  <c r="V24" i="5"/>
  <c r="AO280" i="5"/>
  <c r="AN280" i="5"/>
  <c r="U376" i="5"/>
  <c r="V376" i="5"/>
  <c r="V309" i="5"/>
  <c r="U309" i="5"/>
  <c r="V497" i="5"/>
  <c r="U497" i="5"/>
  <c r="U490" i="5"/>
  <c r="V490" i="5"/>
  <c r="V556" i="5"/>
  <c r="U556" i="5"/>
  <c r="V541" i="5"/>
  <c r="U541" i="5"/>
  <c r="U421" i="5"/>
  <c r="V421" i="5"/>
  <c r="V370" i="5"/>
  <c r="U370" i="5"/>
  <c r="U404" i="5"/>
  <c r="V404" i="5"/>
  <c r="V551" i="5"/>
  <c r="U551" i="5"/>
  <c r="V483" i="5"/>
  <c r="U483" i="5"/>
  <c r="U365" i="5"/>
  <c r="V365" i="5"/>
  <c r="V343" i="5"/>
  <c r="U343" i="5"/>
  <c r="U241" i="5"/>
  <c r="V241" i="5"/>
  <c r="U137" i="5"/>
  <c r="V137" i="5"/>
  <c r="V543" i="5"/>
  <c r="U543" i="5"/>
  <c r="V358" i="5"/>
  <c r="U358" i="5"/>
  <c r="V294" i="5"/>
  <c r="U294" i="5"/>
  <c r="U335" i="5"/>
  <c r="V335" i="5"/>
  <c r="U265" i="5"/>
  <c r="V265" i="5"/>
  <c r="U130" i="5"/>
  <c r="V130" i="5"/>
  <c r="U527" i="5"/>
  <c r="V527" i="5"/>
  <c r="U333" i="5"/>
  <c r="V333" i="5"/>
  <c r="V361" i="5"/>
  <c r="U361" i="5"/>
  <c r="U330" i="5"/>
  <c r="V330" i="5"/>
  <c r="V263" i="5"/>
  <c r="U263" i="5"/>
  <c r="U119" i="5"/>
  <c r="V119" i="5"/>
  <c r="V545" i="5"/>
  <c r="U545" i="5"/>
  <c r="U501" i="5"/>
  <c r="V501" i="5"/>
  <c r="V355" i="5"/>
  <c r="U355" i="5"/>
  <c r="U326" i="5"/>
  <c r="V326" i="5"/>
  <c r="U260" i="5"/>
  <c r="V260" i="5"/>
  <c r="U115" i="5"/>
  <c r="V115" i="5"/>
  <c r="U505" i="5"/>
  <c r="V505" i="5"/>
  <c r="U369" i="5"/>
  <c r="V369" i="5"/>
  <c r="U258" i="5"/>
  <c r="V258" i="5"/>
  <c r="U206" i="5"/>
  <c r="V206" i="5"/>
  <c r="U36" i="5"/>
  <c r="V36" i="5"/>
  <c r="U463" i="5"/>
  <c r="V463" i="5"/>
  <c r="V499" i="5"/>
  <c r="U499" i="5"/>
  <c r="U341" i="5"/>
  <c r="V341" i="5"/>
  <c r="V299" i="5"/>
  <c r="U299" i="5"/>
  <c r="V215" i="5"/>
  <c r="U215" i="5"/>
  <c r="V63" i="5"/>
  <c r="U63" i="5"/>
  <c r="U517" i="5"/>
  <c r="V517" i="5"/>
  <c r="U385" i="5"/>
  <c r="V385" i="5"/>
  <c r="V292" i="5"/>
  <c r="U292" i="5"/>
  <c r="U211" i="5"/>
  <c r="V211" i="5"/>
  <c r="V39" i="5"/>
  <c r="U39" i="5"/>
  <c r="U94" i="5"/>
  <c r="V94" i="5"/>
  <c r="U66" i="5"/>
  <c r="V66" i="5"/>
  <c r="U70" i="5"/>
  <c r="V70" i="5"/>
  <c r="U448" i="5"/>
  <c r="V448" i="5"/>
  <c r="AP218" i="5"/>
  <c r="AR218" i="5" s="1"/>
  <c r="AO507" i="5"/>
  <c r="AN507" i="5"/>
  <c r="AO316" i="5"/>
  <c r="AN316" i="5"/>
  <c r="V456" i="5"/>
  <c r="U456" i="5"/>
  <c r="U248" i="5"/>
  <c r="V248" i="5"/>
  <c r="V297" i="5"/>
  <c r="U297" i="5"/>
  <c r="V548" i="5"/>
  <c r="U548" i="5"/>
  <c r="U396" i="5"/>
  <c r="V396" i="5"/>
  <c r="U430" i="5"/>
  <c r="V430" i="5"/>
  <c r="AP535" i="5"/>
  <c r="AQ535" i="5" s="1"/>
  <c r="AP551" i="5"/>
  <c r="AQ551" i="5" s="1"/>
  <c r="AP327" i="5"/>
  <c r="AQ327" i="5" s="1"/>
  <c r="AP134" i="5"/>
  <c r="AQ134" i="5" s="1"/>
  <c r="AP326" i="5"/>
  <c r="AR326" i="5" s="1"/>
  <c r="AP463" i="5"/>
  <c r="AQ463" i="5" s="1"/>
  <c r="AP77" i="5"/>
  <c r="AR77" i="5" s="1"/>
  <c r="AP126" i="5"/>
  <c r="AQ126" i="5" s="1"/>
  <c r="AP117" i="5"/>
  <c r="AQ117" i="5" s="1"/>
  <c r="AP530" i="5"/>
  <c r="AR530" i="5" s="1"/>
  <c r="AP321" i="5"/>
  <c r="AQ321" i="5" s="1"/>
  <c r="AN368" i="5"/>
  <c r="AO368" i="5"/>
  <c r="AO279" i="5"/>
  <c r="AN279" i="5"/>
  <c r="AN182" i="5"/>
  <c r="AO182" i="5"/>
  <c r="AO393" i="5"/>
  <c r="AN393" i="5"/>
  <c r="AO275" i="5"/>
  <c r="AN275" i="5"/>
  <c r="AN403" i="5"/>
  <c r="AO403" i="5"/>
  <c r="AN183" i="5"/>
  <c r="AO183" i="5"/>
  <c r="AO453" i="5"/>
  <c r="AN453" i="5"/>
  <c r="AN330" i="5"/>
  <c r="AO330" i="5"/>
  <c r="AO54" i="5"/>
  <c r="AN54" i="5"/>
  <c r="AO342" i="5"/>
  <c r="AN342" i="5"/>
  <c r="AN138" i="5"/>
  <c r="AO138" i="5"/>
  <c r="AN470" i="5"/>
  <c r="AO470" i="5"/>
  <c r="AN213" i="5"/>
  <c r="AO213" i="5"/>
  <c r="AO558" i="5"/>
  <c r="AN558" i="5"/>
  <c r="AN428" i="5"/>
  <c r="AO428" i="5"/>
  <c r="AN180" i="5"/>
  <c r="AO180" i="5"/>
  <c r="AN545" i="5"/>
  <c r="AO545" i="5"/>
  <c r="AO303" i="5"/>
  <c r="AN303" i="5"/>
  <c r="AO22" i="5"/>
  <c r="AN22" i="5"/>
  <c r="AN201" i="5"/>
  <c r="AO201" i="5"/>
  <c r="U504" i="5"/>
  <c r="V504" i="5"/>
  <c r="AN337" i="5"/>
  <c r="AO337" i="5"/>
  <c r="V336" i="5"/>
  <c r="U336" i="5"/>
  <c r="AN344" i="5"/>
  <c r="AO344" i="5"/>
  <c r="AO308" i="5"/>
  <c r="AN308" i="5"/>
  <c r="AN120" i="5"/>
  <c r="AO120" i="5"/>
  <c r="V224" i="5"/>
  <c r="U224" i="5"/>
  <c r="AO177" i="5"/>
  <c r="AN177" i="5"/>
  <c r="U264" i="5"/>
  <c r="V264" i="5"/>
  <c r="V480" i="5"/>
  <c r="U480" i="5"/>
  <c r="U314" i="5"/>
  <c r="V314" i="5"/>
  <c r="V444" i="5"/>
  <c r="U444" i="5"/>
  <c r="U422" i="5"/>
  <c r="V422" i="5"/>
  <c r="U395" i="5"/>
  <c r="V395" i="5"/>
  <c r="V491" i="5"/>
  <c r="U491" i="5"/>
  <c r="U325" i="5"/>
  <c r="V325" i="5"/>
  <c r="V390" i="5"/>
  <c r="U390" i="5"/>
  <c r="U359" i="5"/>
  <c r="V359" i="5"/>
  <c r="U450" i="5"/>
  <c r="V450" i="5"/>
  <c r="U459" i="5"/>
  <c r="V459" i="5"/>
  <c r="U319" i="5"/>
  <c r="V319" i="5"/>
  <c r="V305" i="5"/>
  <c r="U305" i="5"/>
  <c r="U210" i="5"/>
  <c r="V210" i="5"/>
  <c r="U126" i="5"/>
  <c r="V126" i="5"/>
  <c r="V426" i="5"/>
  <c r="U426" i="5"/>
  <c r="U347" i="5"/>
  <c r="V347" i="5"/>
  <c r="V407" i="5"/>
  <c r="U407" i="5"/>
  <c r="V303" i="5"/>
  <c r="U303" i="5"/>
  <c r="U207" i="5"/>
  <c r="V207" i="5"/>
  <c r="U131" i="5"/>
  <c r="V131" i="5"/>
  <c r="U412" i="5"/>
  <c r="V412" i="5"/>
  <c r="U503" i="5"/>
  <c r="V503" i="5"/>
  <c r="U275" i="5"/>
  <c r="V275" i="5"/>
  <c r="V300" i="5"/>
  <c r="U300" i="5"/>
  <c r="V236" i="5"/>
  <c r="U236" i="5"/>
  <c r="U123" i="5"/>
  <c r="V123" i="5"/>
  <c r="U465" i="5"/>
  <c r="V465" i="5"/>
  <c r="U474" i="5"/>
  <c r="V474" i="5"/>
  <c r="U391" i="5"/>
  <c r="V391" i="5"/>
  <c r="V298" i="5"/>
  <c r="U298" i="5"/>
  <c r="U235" i="5"/>
  <c r="V235" i="5"/>
  <c r="U101" i="5"/>
  <c r="V101" i="5"/>
  <c r="U460" i="5"/>
  <c r="V460" i="5"/>
  <c r="V433" i="5"/>
  <c r="U433" i="5"/>
  <c r="V327" i="5"/>
  <c r="U327" i="5"/>
  <c r="U172" i="5"/>
  <c r="V172" i="5"/>
  <c r="U479" i="5"/>
  <c r="V479" i="5"/>
  <c r="U434" i="5"/>
  <c r="V434" i="5"/>
  <c r="U458" i="5"/>
  <c r="V458" i="5"/>
  <c r="V429" i="5"/>
  <c r="U429" i="5"/>
  <c r="V251" i="5"/>
  <c r="U251" i="5"/>
  <c r="V204" i="5"/>
  <c r="U204" i="5"/>
  <c r="U22" i="5"/>
  <c r="V22" i="5"/>
  <c r="U431" i="5"/>
  <c r="V431" i="5"/>
  <c r="V317" i="5"/>
  <c r="U317" i="5"/>
  <c r="U250" i="5"/>
  <c r="V250" i="5"/>
  <c r="V201" i="5"/>
  <c r="U201" i="5"/>
  <c r="V139" i="5"/>
  <c r="U139" i="5"/>
  <c r="V41" i="5"/>
  <c r="U41" i="5"/>
  <c r="V33" i="5"/>
  <c r="U33" i="5"/>
  <c r="U34" i="5"/>
  <c r="V34" i="5"/>
  <c r="V296" i="5"/>
  <c r="U296" i="5"/>
  <c r="U432" i="5"/>
  <c r="V432" i="5"/>
  <c r="AO78" i="5"/>
  <c r="AN78" i="5"/>
  <c r="AO181" i="5"/>
  <c r="AN181" i="5"/>
  <c r="AO134" i="5"/>
  <c r="AN134" i="5"/>
  <c r="AO166" i="5"/>
  <c r="AN166" i="5"/>
  <c r="U440" i="5"/>
  <c r="V440" i="5"/>
  <c r="V476" i="5"/>
  <c r="U476" i="5"/>
  <c r="V291" i="5"/>
  <c r="U291" i="5"/>
  <c r="U281" i="5"/>
  <c r="V281" i="5"/>
  <c r="V229" i="5"/>
  <c r="U229" i="5"/>
  <c r="U269" i="5"/>
  <c r="V269" i="5"/>
  <c r="U268" i="5"/>
  <c r="V268" i="5"/>
  <c r="U133" i="5"/>
  <c r="V133" i="5"/>
  <c r="U346" i="5"/>
  <c r="V346" i="5"/>
  <c r="U154" i="5"/>
  <c r="V154" i="5"/>
  <c r="V38" i="5"/>
  <c r="U38" i="5"/>
  <c r="AP78" i="5"/>
  <c r="AR78" i="5" s="1"/>
  <c r="AP448" i="5"/>
  <c r="AQ448" i="5" s="1"/>
  <c r="AP487" i="5"/>
  <c r="AR487" i="5" s="1"/>
  <c r="U8" i="5"/>
  <c r="V8" i="5"/>
  <c r="AN288" i="5"/>
  <c r="AO288" i="5"/>
  <c r="AN378" i="5"/>
  <c r="AO378" i="5"/>
  <c r="AO516" i="5"/>
  <c r="AN516" i="5"/>
  <c r="AO529" i="5"/>
  <c r="AN529" i="5"/>
  <c r="AN522" i="5"/>
  <c r="AO522" i="5"/>
  <c r="AN19" i="5"/>
  <c r="AO19" i="5"/>
  <c r="AO366" i="5"/>
  <c r="AN366" i="5"/>
  <c r="AN154" i="5"/>
  <c r="AO154" i="5"/>
  <c r="AO391" i="5"/>
  <c r="AN391" i="5"/>
  <c r="AO269" i="5"/>
  <c r="AN269" i="5"/>
  <c r="AN524" i="5"/>
  <c r="AO524" i="5"/>
  <c r="AO250" i="5"/>
  <c r="AN250" i="5"/>
  <c r="AN55" i="5"/>
  <c r="AO55" i="5"/>
  <c r="AN386" i="5"/>
  <c r="AO386" i="5"/>
  <c r="AO126" i="5"/>
  <c r="AN126" i="5"/>
  <c r="AO489" i="5"/>
  <c r="AN489" i="5"/>
  <c r="AN310" i="5"/>
  <c r="AO310" i="5"/>
  <c r="AO86" i="5"/>
  <c r="AN86" i="5"/>
  <c r="AO461" i="5"/>
  <c r="AN461" i="5"/>
  <c r="AN214" i="5"/>
  <c r="AO214" i="5"/>
  <c r="AO357" i="5"/>
  <c r="AN357" i="5"/>
  <c r="AN124" i="5"/>
  <c r="AO124" i="5"/>
  <c r="V80" i="5"/>
  <c r="U80" i="5"/>
  <c r="V288" i="5"/>
  <c r="U288" i="5"/>
  <c r="AN148" i="5"/>
  <c r="AO148" i="5"/>
  <c r="U56" i="5"/>
  <c r="V56" i="5"/>
  <c r="AN424" i="5"/>
  <c r="AO424" i="5"/>
  <c r="U496" i="5"/>
  <c r="V496" i="5"/>
  <c r="V344" i="5"/>
  <c r="U344" i="5"/>
  <c r="AO448" i="5"/>
  <c r="AN448" i="5"/>
  <c r="U100" i="5"/>
  <c r="V100" i="5"/>
  <c r="U462" i="5"/>
  <c r="V462" i="5"/>
  <c r="V418" i="5"/>
  <c r="U418" i="5"/>
  <c r="V380" i="5"/>
  <c r="U380" i="5"/>
  <c r="U242" i="5"/>
  <c r="V242" i="5"/>
  <c r="V69" i="5"/>
  <c r="U69" i="5"/>
  <c r="V67" i="5"/>
  <c r="U67" i="5"/>
  <c r="U194" i="5"/>
  <c r="V194" i="5"/>
  <c r="V338" i="5"/>
  <c r="U338" i="5"/>
  <c r="U515" i="5"/>
  <c r="V515" i="5"/>
  <c r="U247" i="5"/>
  <c r="V247" i="5"/>
  <c r="U253" i="5"/>
  <c r="V253" i="5"/>
  <c r="U205" i="5"/>
  <c r="V205" i="5"/>
  <c r="U50" i="5"/>
  <c r="V50" i="5"/>
  <c r="U529" i="5"/>
  <c r="V529" i="5"/>
  <c r="U478" i="5"/>
  <c r="V478" i="5"/>
  <c r="V214" i="5"/>
  <c r="U214" i="5"/>
  <c r="U246" i="5"/>
  <c r="V246" i="5"/>
  <c r="V239" i="5"/>
  <c r="U239" i="5"/>
  <c r="U92" i="5"/>
  <c r="V92" i="5"/>
  <c r="V560" i="5"/>
  <c r="U560" i="5"/>
  <c r="U454" i="5"/>
  <c r="V454" i="5"/>
  <c r="U372" i="5"/>
  <c r="V372" i="5"/>
  <c r="U231" i="5"/>
  <c r="V231" i="5"/>
  <c r="V227" i="5"/>
  <c r="U227" i="5"/>
  <c r="V61" i="5"/>
  <c r="U61" i="5"/>
  <c r="U493" i="5"/>
  <c r="V493" i="5"/>
  <c r="U537" i="5"/>
  <c r="V537" i="5"/>
  <c r="U436" i="5"/>
  <c r="V436" i="5"/>
  <c r="U226" i="5"/>
  <c r="V226" i="5"/>
  <c r="U212" i="5"/>
  <c r="V212" i="5"/>
  <c r="U53" i="5"/>
  <c r="V53" i="5"/>
  <c r="U414" i="5"/>
  <c r="V414" i="5"/>
  <c r="U366" i="5"/>
  <c r="V366" i="5"/>
  <c r="U254" i="5"/>
  <c r="V254" i="5"/>
  <c r="U134" i="5"/>
  <c r="V134" i="5"/>
  <c r="V555" i="5"/>
  <c r="U555" i="5"/>
  <c r="U519" i="5"/>
  <c r="V519" i="5"/>
  <c r="U411" i="5"/>
  <c r="V411" i="5"/>
  <c r="V315" i="5"/>
  <c r="U315" i="5"/>
  <c r="U279" i="5"/>
  <c r="V279" i="5"/>
  <c r="U118" i="5"/>
  <c r="V118" i="5"/>
  <c r="V531" i="5"/>
  <c r="U531" i="5"/>
  <c r="V494" i="5"/>
  <c r="U494" i="5"/>
  <c r="V362" i="5"/>
  <c r="U362" i="5"/>
  <c r="V274" i="5"/>
  <c r="U274" i="5"/>
  <c r="U187" i="5"/>
  <c r="V187" i="5"/>
  <c r="U98" i="5"/>
  <c r="V98" i="5"/>
  <c r="V47" i="5"/>
  <c r="U47" i="5"/>
  <c r="U84" i="5"/>
  <c r="V84" i="5"/>
  <c r="AO20" i="5"/>
  <c r="AN20" i="5"/>
  <c r="AN216" i="5"/>
  <c r="AO216" i="5"/>
  <c r="AN151" i="5"/>
  <c r="AO151" i="5"/>
  <c r="AO84" i="5"/>
  <c r="AN84" i="5"/>
  <c r="AN101" i="5"/>
  <c r="AO101" i="5"/>
  <c r="U512" i="5"/>
  <c r="V512" i="5"/>
  <c r="U435" i="5"/>
  <c r="V435" i="5"/>
  <c r="U244" i="5"/>
  <c r="V244" i="5"/>
  <c r="U82" i="5"/>
  <c r="V82" i="5"/>
  <c r="U484" i="5"/>
  <c r="V484" i="5"/>
  <c r="U453" i="5"/>
  <c r="V453" i="5"/>
  <c r="V57" i="5"/>
  <c r="U57" i="5"/>
  <c r="V549" i="5"/>
  <c r="U549" i="5"/>
  <c r="V428" i="5"/>
  <c r="U428" i="5"/>
  <c r="V322" i="5"/>
  <c r="U322" i="5"/>
  <c r="U393" i="5"/>
  <c r="V393" i="5"/>
  <c r="V27" i="5"/>
  <c r="U27" i="5"/>
  <c r="AP101" i="5"/>
  <c r="AR101" i="5" s="1"/>
  <c r="AP143" i="5"/>
  <c r="AR143" i="5" s="1"/>
  <c r="AP81" i="5"/>
  <c r="AQ81" i="5" s="1"/>
  <c r="U256" i="5"/>
  <c r="V256" i="5"/>
  <c r="V320" i="5"/>
  <c r="U320" i="5"/>
  <c r="AO290" i="5"/>
  <c r="AN290" i="5"/>
  <c r="AN245" i="5"/>
  <c r="AO245" i="5"/>
  <c r="AO429" i="5"/>
  <c r="AN429" i="5"/>
  <c r="AO471" i="5"/>
  <c r="AN471" i="5"/>
  <c r="AO407" i="5"/>
  <c r="AN407" i="5"/>
  <c r="AO417" i="5"/>
  <c r="AN417" i="5"/>
  <c r="AN90" i="5"/>
  <c r="AO90" i="5"/>
  <c r="AN452" i="5"/>
  <c r="AO452" i="5"/>
  <c r="AN266" i="5"/>
  <c r="AO266" i="5"/>
  <c r="AN425" i="5"/>
  <c r="AO425" i="5"/>
  <c r="AO329" i="5"/>
  <c r="AN329" i="5"/>
  <c r="AO44" i="5"/>
  <c r="AN44" i="5"/>
  <c r="AO319" i="5"/>
  <c r="AN319" i="5"/>
  <c r="AO94" i="5"/>
  <c r="AN94" i="5"/>
  <c r="AO405" i="5"/>
  <c r="AN405" i="5"/>
  <c r="AN188" i="5"/>
  <c r="AO188" i="5"/>
  <c r="AO76" i="5"/>
  <c r="AN76" i="5"/>
  <c r="AN375" i="5"/>
  <c r="AO375" i="5"/>
  <c r="AN165" i="5"/>
  <c r="AO165" i="5"/>
  <c r="AO295" i="5"/>
  <c r="AN295" i="5"/>
  <c r="AN100" i="5"/>
  <c r="AO100" i="5"/>
  <c r="V368" i="5"/>
  <c r="U368" i="5"/>
  <c r="AN236" i="5"/>
  <c r="AO236" i="5"/>
  <c r="AO208" i="5"/>
  <c r="AN208" i="5"/>
  <c r="U400" i="5"/>
  <c r="V400" i="5"/>
  <c r="V112" i="5"/>
  <c r="U112" i="5"/>
  <c r="AO144" i="5"/>
  <c r="AN144" i="5"/>
  <c r="U526" i="5"/>
  <c r="V526" i="5"/>
  <c r="AO480" i="5"/>
  <c r="AN480" i="5"/>
  <c r="AO300" i="5"/>
  <c r="AN300" i="5"/>
  <c r="V328" i="5"/>
  <c r="U328" i="5"/>
  <c r="AO35" i="5"/>
  <c r="AN35" i="5"/>
  <c r="U518" i="5"/>
  <c r="V518" i="5"/>
  <c r="U349" i="5"/>
  <c r="V349" i="5"/>
  <c r="U307" i="5"/>
  <c r="V307" i="5"/>
  <c r="V285" i="5"/>
  <c r="U285" i="5"/>
  <c r="U141" i="5"/>
  <c r="V141" i="5"/>
  <c r="U19" i="5"/>
  <c r="V19" i="5"/>
  <c r="U552" i="5"/>
  <c r="V552" i="5"/>
  <c r="V44" i="5"/>
  <c r="U44" i="5"/>
  <c r="U510" i="5"/>
  <c r="V510" i="5"/>
  <c r="V481" i="5"/>
  <c r="U481" i="5"/>
  <c r="U420" i="5"/>
  <c r="V420" i="5"/>
  <c r="U323" i="5"/>
  <c r="V323" i="5"/>
  <c r="U190" i="5"/>
  <c r="V190" i="5"/>
  <c r="U28" i="5"/>
  <c r="V28" i="5"/>
  <c r="V506" i="5"/>
  <c r="U506" i="5"/>
  <c r="U443" i="5"/>
  <c r="V443" i="5"/>
  <c r="V415" i="5"/>
  <c r="U415" i="5"/>
  <c r="V316" i="5"/>
  <c r="U316" i="5"/>
  <c r="U203" i="5"/>
  <c r="V203" i="5"/>
  <c r="U30" i="5"/>
  <c r="V30" i="5"/>
  <c r="U495" i="5"/>
  <c r="V495" i="5"/>
  <c r="V339" i="5"/>
  <c r="U339" i="5"/>
  <c r="U437" i="5"/>
  <c r="V437" i="5"/>
  <c r="V313" i="5"/>
  <c r="U313" i="5"/>
  <c r="U196" i="5"/>
  <c r="V196" i="5"/>
  <c r="U502" i="5"/>
  <c r="V502" i="5"/>
  <c r="U470" i="5"/>
  <c r="V470" i="5"/>
  <c r="V507" i="5"/>
  <c r="U507" i="5"/>
  <c r="U405" i="5"/>
  <c r="V405" i="5"/>
  <c r="V311" i="5"/>
  <c r="U311" i="5"/>
  <c r="V188" i="5"/>
  <c r="U188" i="5"/>
  <c r="Q10" i="5"/>
  <c r="AG10" i="5"/>
  <c r="T10" i="5"/>
  <c r="AM10" i="5"/>
  <c r="W10" i="5"/>
  <c r="V383" i="5"/>
  <c r="U383" i="5"/>
  <c r="V329" i="5"/>
  <c r="U329" i="5"/>
  <c r="U233" i="5"/>
  <c r="V233" i="5"/>
  <c r="U114" i="5"/>
  <c r="V114" i="5"/>
  <c r="U514" i="5"/>
  <c r="V514" i="5"/>
  <c r="U498" i="5"/>
  <c r="V498" i="5"/>
  <c r="U382" i="5"/>
  <c r="V382" i="5"/>
  <c r="U356" i="5"/>
  <c r="V356" i="5"/>
  <c r="U252" i="5"/>
  <c r="V252" i="5"/>
  <c r="U125" i="5"/>
  <c r="V125" i="5"/>
  <c r="V487" i="5"/>
  <c r="U487" i="5"/>
  <c r="V451" i="5"/>
  <c r="U451" i="5"/>
  <c r="U354" i="5"/>
  <c r="V354" i="5"/>
  <c r="U249" i="5"/>
  <c r="V249" i="5"/>
  <c r="V151" i="5"/>
  <c r="U151" i="5"/>
  <c r="U74" i="5"/>
  <c r="V74" i="5"/>
  <c r="V26" i="5"/>
  <c r="U26" i="5"/>
  <c r="U87" i="5"/>
  <c r="V87" i="5"/>
  <c r="AN292" i="5"/>
  <c r="AO292" i="5"/>
  <c r="V546" i="5"/>
  <c r="U546" i="5"/>
  <c r="AO456" i="5"/>
  <c r="AN456" i="5"/>
  <c r="AO255" i="5"/>
  <c r="AN255" i="5"/>
  <c r="AO229" i="5"/>
  <c r="AN229" i="5"/>
  <c r="U472" i="5"/>
  <c r="V472" i="5"/>
  <c r="U464" i="5"/>
  <c r="V464" i="5"/>
  <c r="U550" i="5"/>
  <c r="V550" i="5"/>
  <c r="U375" i="5"/>
  <c r="V375" i="5"/>
  <c r="U37" i="5"/>
  <c r="V37" i="5"/>
  <c r="U403" i="5"/>
  <c r="V403" i="5"/>
  <c r="U377" i="5"/>
  <c r="V377" i="5"/>
  <c r="V161" i="5"/>
  <c r="U161" i="5"/>
  <c r="U91" i="5"/>
  <c r="V91" i="5"/>
  <c r="U280" i="5"/>
  <c r="V280" i="5"/>
  <c r="AP229" i="5"/>
  <c r="AR229" i="5" s="1"/>
  <c r="AP131" i="5"/>
  <c r="AQ131" i="5" s="1"/>
  <c r="AP94" i="5"/>
  <c r="AQ94" i="5" s="1"/>
  <c r="AP274" i="5"/>
  <c r="AQ274" i="5" s="1"/>
  <c r="AP79" i="5"/>
  <c r="AR79" i="5" s="1"/>
  <c r="AP127" i="5"/>
  <c r="AR127" i="5" s="1"/>
  <c r="AO95" i="5"/>
  <c r="AN95" i="5"/>
  <c r="AN202" i="5"/>
  <c r="AO202" i="5"/>
  <c r="AO350" i="5"/>
  <c r="AN350" i="5"/>
  <c r="AN351" i="5"/>
  <c r="AO351" i="5"/>
  <c r="AO517" i="5"/>
  <c r="AN517" i="5"/>
  <c r="AN345" i="5"/>
  <c r="AO345" i="5"/>
  <c r="AO483" i="5"/>
  <c r="AN483" i="5"/>
  <c r="AN364" i="5"/>
  <c r="AO364" i="5"/>
  <c r="AN244" i="5"/>
  <c r="AO244" i="5"/>
  <c r="AN502" i="5"/>
  <c r="AO502" i="5"/>
  <c r="AO247" i="5"/>
  <c r="AN247" i="5"/>
  <c r="AN559" i="5"/>
  <c r="AO559" i="5"/>
  <c r="AN315" i="5"/>
  <c r="AO315" i="5"/>
  <c r="AN77" i="5"/>
  <c r="AO77" i="5"/>
  <c r="AN468" i="5"/>
  <c r="AO468" i="5"/>
  <c r="AN323" i="5"/>
  <c r="AO323" i="5"/>
  <c r="AN52" i="5"/>
  <c r="AO52" i="5"/>
  <c r="AO414" i="5"/>
  <c r="AN414" i="5"/>
  <c r="AN170" i="5"/>
  <c r="AO170" i="5"/>
  <c r="AN317" i="5"/>
  <c r="AO317" i="5"/>
  <c r="AO74" i="5"/>
  <c r="AN74" i="5"/>
  <c r="U352" i="5"/>
  <c r="V352" i="5"/>
  <c r="AN440" i="5"/>
  <c r="AO440" i="5"/>
  <c r="AN203" i="5"/>
  <c r="AO203" i="5"/>
  <c r="U272" i="5"/>
  <c r="V272" i="5"/>
  <c r="U424" i="5"/>
  <c r="V424" i="5"/>
  <c r="AM77" i="4"/>
  <c r="W77" i="4"/>
  <c r="X77" i="4" s="1"/>
  <c r="V304" i="5"/>
  <c r="U304" i="5"/>
  <c r="V208" i="5"/>
  <c r="U208" i="5"/>
  <c r="AN464" i="5"/>
  <c r="AO464" i="5"/>
  <c r="AO107" i="5"/>
  <c r="AN107" i="5"/>
  <c r="V160" i="5"/>
  <c r="U160" i="5"/>
  <c r="AO99" i="5"/>
  <c r="AN99" i="5"/>
  <c r="AM8" i="4"/>
  <c r="AN8" i="4" s="1"/>
  <c r="W8" i="4"/>
  <c r="U536" i="5"/>
  <c r="V536" i="5"/>
  <c r="V273" i="5"/>
  <c r="U273" i="5"/>
  <c r="U146" i="5"/>
  <c r="V146" i="5"/>
  <c r="U221" i="5"/>
  <c r="V221" i="5"/>
  <c r="U419" i="5"/>
  <c r="V419" i="5"/>
  <c r="V553" i="5"/>
  <c r="U553" i="5"/>
  <c r="V539" i="5"/>
  <c r="U539" i="5"/>
  <c r="V523" i="5"/>
  <c r="U523" i="5"/>
  <c r="V482" i="5"/>
  <c r="U482" i="5"/>
  <c r="U447" i="5"/>
  <c r="V447" i="5"/>
  <c r="U387" i="5"/>
  <c r="V387" i="5"/>
  <c r="V237" i="5"/>
  <c r="U237" i="5"/>
  <c r="U79" i="5"/>
  <c r="V79" i="5"/>
  <c r="V520" i="5"/>
  <c r="U520" i="5"/>
  <c r="U477" i="5"/>
  <c r="V477" i="5"/>
  <c r="U324" i="5"/>
  <c r="V324" i="5"/>
  <c r="V381" i="5"/>
  <c r="U381" i="5"/>
  <c r="V284" i="5"/>
  <c r="U284" i="5"/>
  <c r="V186" i="5"/>
  <c r="U186" i="5"/>
  <c r="U509" i="5"/>
  <c r="V509" i="5"/>
  <c r="U473" i="5"/>
  <c r="V473" i="5"/>
  <c r="U508" i="5"/>
  <c r="V508" i="5"/>
  <c r="V410" i="5"/>
  <c r="U410" i="5"/>
  <c r="U276" i="5"/>
  <c r="V276" i="5"/>
  <c r="V185" i="5"/>
  <c r="U185" i="5"/>
  <c r="U559" i="5"/>
  <c r="V559" i="5"/>
  <c r="U439" i="5"/>
  <c r="V439" i="5"/>
  <c r="U466" i="5"/>
  <c r="V466" i="5"/>
  <c r="V367" i="5"/>
  <c r="U367" i="5"/>
  <c r="U266" i="5"/>
  <c r="V266" i="5"/>
  <c r="V183" i="5"/>
  <c r="U183" i="5"/>
  <c r="U471" i="5"/>
  <c r="V471" i="5"/>
  <c r="V353" i="5"/>
  <c r="U353" i="5"/>
  <c r="V262" i="5"/>
  <c r="U262" i="5"/>
  <c r="U180" i="5"/>
  <c r="V180" i="5"/>
  <c r="U109" i="5"/>
  <c r="V109" i="5"/>
  <c r="V544" i="5"/>
  <c r="U544" i="5"/>
  <c r="V468" i="5"/>
  <c r="U468" i="5"/>
  <c r="V348" i="5"/>
  <c r="U348" i="5"/>
  <c r="U293" i="5"/>
  <c r="V293" i="5"/>
  <c r="V230" i="5"/>
  <c r="U230" i="5"/>
  <c r="V156" i="5"/>
  <c r="U156" i="5"/>
  <c r="U461" i="5"/>
  <c r="V461" i="5"/>
  <c r="V379" i="5"/>
  <c r="U379" i="5"/>
  <c r="V310" i="5"/>
  <c r="U310" i="5"/>
  <c r="U225" i="5"/>
  <c r="V225" i="5"/>
  <c r="U155" i="5"/>
  <c r="V155" i="5"/>
  <c r="V59" i="5"/>
  <c r="U59" i="5"/>
  <c r="U121" i="5"/>
  <c r="V121" i="5"/>
  <c r="V105" i="5"/>
  <c r="U105" i="5"/>
  <c r="AO91" i="5"/>
  <c r="AN91" i="5"/>
  <c r="V554" i="5"/>
  <c r="U554" i="5"/>
  <c r="AN34" i="5"/>
  <c r="AO34" i="5"/>
  <c r="AO46" i="5"/>
  <c r="AN46" i="5"/>
  <c r="AN411" i="5"/>
  <c r="AO411" i="5"/>
  <c r="AO535" i="5"/>
  <c r="AN535" i="5"/>
  <c r="U150" i="5"/>
  <c r="V150" i="5"/>
  <c r="U245" i="5"/>
  <c r="V245" i="5"/>
  <c r="V93" i="5"/>
  <c r="U93" i="5"/>
  <c r="U222" i="5"/>
  <c r="V222" i="5"/>
  <c r="U191" i="5"/>
  <c r="V191" i="5"/>
  <c r="V282" i="5"/>
  <c r="U282" i="5"/>
  <c r="V364" i="5"/>
  <c r="U364" i="5"/>
  <c r="U525" i="5"/>
  <c r="V525" i="5"/>
  <c r="V318" i="5"/>
  <c r="U318" i="5"/>
  <c r="U43" i="5"/>
  <c r="V43" i="5"/>
  <c r="AP232" i="5"/>
  <c r="AQ232" i="5" s="1"/>
  <c r="AP381" i="5"/>
  <c r="AQ381" i="5" s="1"/>
  <c r="AP255" i="5"/>
  <c r="AQ255" i="5" s="1"/>
  <c r="AP531" i="5"/>
  <c r="AQ531" i="5" s="1"/>
  <c r="AP210" i="5"/>
  <c r="AQ210" i="5" s="1"/>
  <c r="AP360" i="5"/>
  <c r="AR360" i="5" s="1"/>
  <c r="AP216" i="5"/>
  <c r="AR216" i="5" s="1"/>
  <c r="AP30" i="5"/>
  <c r="AR30" i="5" s="1"/>
  <c r="AP140" i="5"/>
  <c r="AR140" i="5" s="1"/>
  <c r="AO501" i="5"/>
  <c r="AN501" i="5"/>
  <c r="AN548" i="5"/>
  <c r="AO548" i="5"/>
  <c r="AO187" i="5"/>
  <c r="AN187" i="5"/>
  <c r="AN119" i="5"/>
  <c r="AO119" i="5"/>
  <c r="AN509" i="5"/>
  <c r="AO509" i="5"/>
  <c r="AN339" i="5"/>
  <c r="AO339" i="5"/>
  <c r="AO544" i="5"/>
  <c r="AN544" i="5"/>
  <c r="AO402" i="5"/>
  <c r="AN402" i="5"/>
  <c r="AO230" i="5"/>
  <c r="AN230" i="5"/>
  <c r="AN443" i="5"/>
  <c r="AO443" i="5"/>
  <c r="AN246" i="5"/>
  <c r="AO246" i="5"/>
  <c r="AN297" i="5"/>
  <c r="AO297" i="5"/>
  <c r="AO241" i="5"/>
  <c r="AN241" i="5"/>
  <c r="AN63" i="5"/>
  <c r="AO63" i="5"/>
  <c r="AN515" i="5"/>
  <c r="AO515" i="5"/>
  <c r="AN191" i="5"/>
  <c r="AO191" i="5"/>
  <c r="AN37" i="5"/>
  <c r="AO37" i="5"/>
  <c r="AO218" i="5"/>
  <c r="AN218" i="5"/>
  <c r="AN117" i="5"/>
  <c r="AO117" i="5"/>
  <c r="AO291" i="5"/>
  <c r="AN291" i="5"/>
  <c r="AO75" i="5"/>
  <c r="AN75" i="5"/>
  <c r="AM157" i="4"/>
  <c r="W157" i="4"/>
  <c r="X157" i="4" s="1"/>
  <c r="U192" i="5"/>
  <c r="V192" i="5"/>
  <c r="U232" i="5"/>
  <c r="V232" i="5"/>
  <c r="AN336" i="5"/>
  <c r="AO336" i="5"/>
  <c r="AN227" i="5"/>
  <c r="AO227" i="5"/>
  <c r="AN121" i="5"/>
  <c r="AO121" i="5"/>
  <c r="AN184" i="5"/>
  <c r="AO184" i="5"/>
  <c r="AN123" i="5"/>
  <c r="AO123" i="5"/>
  <c r="U485" i="5"/>
  <c r="V485" i="5"/>
  <c r="V457" i="5"/>
  <c r="U457" i="5"/>
  <c r="V181" i="5"/>
  <c r="U181" i="5"/>
  <c r="V547" i="5"/>
  <c r="U547" i="5"/>
  <c r="U142" i="5"/>
  <c r="V142" i="5"/>
  <c r="U492" i="5"/>
  <c r="V492" i="5"/>
  <c r="V542" i="5"/>
  <c r="U542" i="5"/>
  <c r="U467" i="5"/>
  <c r="V467" i="5"/>
  <c r="V445" i="5"/>
  <c r="U445" i="5"/>
  <c r="U455" i="5"/>
  <c r="V455" i="5"/>
  <c r="U357" i="5"/>
  <c r="V357" i="5"/>
  <c r="V350" i="5"/>
  <c r="U350" i="5"/>
  <c r="V306" i="5"/>
  <c r="U306" i="5"/>
  <c r="U177" i="5"/>
  <c r="V177" i="5"/>
  <c r="U423" i="5"/>
  <c r="V423" i="5"/>
  <c r="V452" i="5"/>
  <c r="U452" i="5"/>
  <c r="U399" i="5"/>
  <c r="V399" i="5"/>
  <c r="U345" i="5"/>
  <c r="V345" i="5"/>
  <c r="U135" i="5"/>
  <c r="V135" i="5"/>
  <c r="V170" i="5"/>
  <c r="U170" i="5"/>
  <c r="U397" i="5"/>
  <c r="V397" i="5"/>
  <c r="U446" i="5"/>
  <c r="V446" i="5"/>
  <c r="V441" i="5"/>
  <c r="U441" i="5"/>
  <c r="V378" i="5"/>
  <c r="U378" i="5"/>
  <c r="U334" i="5"/>
  <c r="V334" i="5"/>
  <c r="V169" i="5"/>
  <c r="U169" i="5"/>
  <c r="U524" i="5"/>
  <c r="V524" i="5"/>
  <c r="U398" i="5"/>
  <c r="V398" i="5"/>
  <c r="U417" i="5"/>
  <c r="V417" i="5"/>
  <c r="V337" i="5"/>
  <c r="U337" i="5"/>
  <c r="V332" i="5"/>
  <c r="U332" i="5"/>
  <c r="U140" i="5"/>
  <c r="V140" i="5"/>
  <c r="U442" i="5"/>
  <c r="V442" i="5"/>
  <c r="U228" i="5"/>
  <c r="V228" i="5"/>
  <c r="V321" i="5"/>
  <c r="U321" i="5"/>
  <c r="V199" i="5"/>
  <c r="U199" i="5"/>
  <c r="V85" i="5"/>
  <c r="U85" i="5"/>
  <c r="U540" i="5"/>
  <c r="V540" i="5"/>
  <c r="U438" i="5"/>
  <c r="V438" i="5"/>
  <c r="U195" i="5"/>
  <c r="V195" i="5"/>
  <c r="U261" i="5"/>
  <c r="V261" i="5"/>
  <c r="V174" i="5"/>
  <c r="U174" i="5"/>
  <c r="V106" i="5"/>
  <c r="U106" i="5"/>
  <c r="U425" i="5"/>
  <c r="V425" i="5"/>
  <c r="V340" i="5"/>
  <c r="U340" i="5"/>
  <c r="V290" i="5"/>
  <c r="U290" i="5"/>
  <c r="U243" i="5"/>
  <c r="V243" i="5"/>
  <c r="U95" i="5"/>
  <c r="V95" i="5"/>
  <c r="U52" i="5"/>
  <c r="V52" i="5"/>
  <c r="U83" i="5"/>
  <c r="V83" i="5"/>
  <c r="V89" i="5"/>
  <c r="U89" i="5"/>
  <c r="AO307" i="5"/>
  <c r="AN307" i="5"/>
  <c r="AO104" i="5"/>
  <c r="AN104" i="5"/>
  <c r="AO469" i="5"/>
  <c r="AN469" i="5"/>
  <c r="AN460" i="5"/>
  <c r="AO460" i="5"/>
  <c r="AO531" i="5"/>
  <c r="AN531" i="5"/>
  <c r="AO237" i="5"/>
  <c r="AN237" i="5"/>
  <c r="V538" i="5"/>
  <c r="U538" i="5"/>
  <c r="U516" i="5"/>
  <c r="V516" i="5"/>
  <c r="U351" i="5"/>
  <c r="V351" i="5"/>
  <c r="V513" i="5"/>
  <c r="U513" i="5"/>
  <c r="U475" i="5"/>
  <c r="V475" i="5"/>
  <c r="V371" i="5"/>
  <c r="U371" i="5"/>
  <c r="AP447" i="5"/>
  <c r="AQ447" i="5" s="1"/>
  <c r="AP181" i="5"/>
  <c r="AR181" i="5" s="1"/>
  <c r="AP517" i="5"/>
  <c r="AQ517" i="5" s="1"/>
  <c r="AP426" i="5"/>
  <c r="AQ426" i="5" s="1"/>
  <c r="AP312" i="5"/>
  <c r="AQ312" i="5" s="1"/>
  <c r="AP239" i="5"/>
  <c r="AR239" i="5" s="1"/>
  <c r="AP474" i="5"/>
  <c r="AQ474" i="5" s="1"/>
  <c r="AP296" i="5"/>
  <c r="AQ296" i="5" s="1"/>
  <c r="V152" i="5"/>
  <c r="U152" i="5"/>
  <c r="AO400" i="5"/>
  <c r="AN400" i="5"/>
  <c r="U488" i="5"/>
  <c r="V488" i="5"/>
  <c r="AO353" i="5"/>
  <c r="AN353" i="5"/>
  <c r="AN439" i="5"/>
  <c r="AO439" i="5"/>
  <c r="AO523" i="5"/>
  <c r="AN523" i="5"/>
  <c r="AN479" i="5"/>
  <c r="AO479" i="5"/>
  <c r="AN466" i="5"/>
  <c r="AO466" i="5"/>
  <c r="AN268" i="5"/>
  <c r="AO268" i="5"/>
  <c r="AO513" i="5"/>
  <c r="AN513" i="5"/>
  <c r="AO277" i="5"/>
  <c r="AN277" i="5"/>
  <c r="AN158" i="5"/>
  <c r="AO158" i="5"/>
  <c r="AO382" i="5"/>
  <c r="AN382" i="5"/>
  <c r="AO242" i="5"/>
  <c r="AN242" i="5"/>
  <c r="AO494" i="5"/>
  <c r="AN494" i="5"/>
  <c r="AO327" i="5"/>
  <c r="AN327" i="5"/>
  <c r="AO30" i="5"/>
  <c r="AN30" i="5"/>
  <c r="AN333" i="5"/>
  <c r="AO333" i="5"/>
  <c r="AN217" i="5"/>
  <c r="AO217" i="5"/>
  <c r="AN541" i="5"/>
  <c r="AO541" i="5"/>
  <c r="AN309" i="5"/>
  <c r="AO309" i="5"/>
  <c r="AO102" i="5"/>
  <c r="AN102" i="5"/>
  <c r="AN215" i="5"/>
  <c r="AO215" i="5"/>
  <c r="AO67" i="5"/>
  <c r="AN67" i="5"/>
  <c r="V416" i="5"/>
  <c r="U416" i="5"/>
  <c r="AN153" i="5"/>
  <c r="AO153" i="5"/>
  <c r="V32" i="5"/>
  <c r="U32" i="5"/>
  <c r="U360" i="5"/>
  <c r="V360" i="5"/>
  <c r="AO387" i="5"/>
  <c r="AN387" i="5"/>
  <c r="U392" i="5"/>
  <c r="V392" i="5"/>
  <c r="V373" i="5"/>
  <c r="U373" i="5"/>
  <c r="U469" i="5"/>
  <c r="V469" i="5"/>
  <c r="V558" i="5"/>
  <c r="U558" i="5"/>
  <c r="U394" i="5"/>
  <c r="V394" i="5"/>
  <c r="V535" i="5"/>
  <c r="U535" i="5"/>
  <c r="U521" i="5"/>
  <c r="V521" i="5"/>
  <c r="U486" i="5"/>
  <c r="V486" i="5"/>
  <c r="U500" i="5"/>
  <c r="V500" i="5"/>
  <c r="U530" i="5"/>
  <c r="V530" i="5"/>
  <c r="V511" i="5"/>
  <c r="U511" i="5"/>
  <c r="V402" i="5"/>
  <c r="U402" i="5"/>
  <c r="U286" i="5"/>
  <c r="V286" i="5"/>
  <c r="U270" i="5"/>
  <c r="V270" i="5"/>
  <c r="U138" i="5"/>
  <c r="V138" i="5"/>
  <c r="V528" i="5"/>
  <c r="U528" i="5"/>
  <c r="U413" i="5"/>
  <c r="V413" i="5"/>
  <c r="U363" i="5"/>
  <c r="V363" i="5"/>
  <c r="V283" i="5"/>
  <c r="U283" i="5"/>
  <c r="V301" i="5"/>
  <c r="U301" i="5"/>
  <c r="V173" i="5"/>
  <c r="U173" i="5"/>
  <c r="U449" i="5"/>
  <c r="V449" i="5"/>
  <c r="U401" i="5"/>
  <c r="V401" i="5"/>
  <c r="V287" i="5"/>
  <c r="U287" i="5"/>
  <c r="V342" i="5"/>
  <c r="U342" i="5"/>
  <c r="U295" i="5"/>
  <c r="V295" i="5"/>
  <c r="V171" i="5"/>
  <c r="U171" i="5"/>
  <c r="V406" i="5"/>
  <c r="U406" i="5"/>
  <c r="U522" i="5"/>
  <c r="V522" i="5"/>
  <c r="U388" i="5"/>
  <c r="V388" i="5"/>
  <c r="U267" i="5"/>
  <c r="V267" i="5"/>
  <c r="V289" i="5"/>
  <c r="U289" i="5"/>
  <c r="V149" i="5"/>
  <c r="U149" i="5"/>
  <c r="U533" i="5"/>
  <c r="V533" i="5"/>
  <c r="V389" i="5"/>
  <c r="U389" i="5"/>
  <c r="U302" i="5"/>
  <c r="V302" i="5"/>
  <c r="U223" i="5"/>
  <c r="V223" i="5"/>
  <c r="U76" i="5"/>
  <c r="V76" i="5"/>
  <c r="V489" i="5"/>
  <c r="U489" i="5"/>
  <c r="U532" i="5"/>
  <c r="V532" i="5"/>
  <c r="V386" i="5"/>
  <c r="U386" i="5"/>
  <c r="V331" i="5"/>
  <c r="U331" i="5"/>
  <c r="U166" i="5"/>
  <c r="V166" i="5"/>
  <c r="U107" i="5"/>
  <c r="V107" i="5"/>
  <c r="V374" i="5"/>
  <c r="U374" i="5"/>
  <c r="U162" i="5"/>
  <c r="V162" i="5"/>
  <c r="U259" i="5"/>
  <c r="V259" i="5"/>
  <c r="V159" i="5"/>
  <c r="U159" i="5"/>
  <c r="V35" i="5"/>
  <c r="U35" i="5"/>
  <c r="U117" i="5"/>
  <c r="V117" i="5"/>
  <c r="U25" i="5"/>
  <c r="V25" i="5"/>
  <c r="U55" i="5"/>
  <c r="V55" i="5"/>
  <c r="AN379" i="5"/>
  <c r="AO379" i="5"/>
  <c r="V408" i="5"/>
  <c r="U408" i="5"/>
  <c r="W54" i="4"/>
  <c r="X54" i="4" s="1"/>
  <c r="AO193" i="5"/>
  <c r="AN193" i="5"/>
  <c r="B102" i="2"/>
  <c r="B103" i="2" s="1"/>
  <c r="B73" i="2"/>
  <c r="B157" i="2"/>
  <c r="B92" i="2"/>
  <c r="B142" i="2"/>
  <c r="AH130" i="4"/>
  <c r="AH118" i="4"/>
  <c r="AH81" i="4"/>
  <c r="AH113" i="4"/>
  <c r="AH17" i="4"/>
  <c r="AH41" i="4"/>
  <c r="AH62" i="4"/>
  <c r="AH32" i="4"/>
  <c r="AH154" i="4"/>
  <c r="AH150" i="4"/>
  <c r="AH72" i="4"/>
  <c r="AH151" i="4"/>
  <c r="AH104" i="4"/>
  <c r="AH98" i="4"/>
  <c r="AH143" i="4"/>
  <c r="AH93" i="4"/>
  <c r="AH51" i="4"/>
  <c r="AK55" i="5"/>
  <c r="AL55" i="5"/>
  <c r="AL99" i="5"/>
  <c r="AK99" i="5"/>
  <c r="V7" i="5"/>
  <c r="U7" i="5"/>
  <c r="AK240" i="5"/>
  <c r="AL240" i="5"/>
  <c r="AK455" i="5"/>
  <c r="AL455" i="5"/>
  <c r="AK411" i="5"/>
  <c r="AL411" i="5"/>
  <c r="AP411" i="5"/>
  <c r="AK464" i="5"/>
  <c r="AL464" i="5"/>
  <c r="AL71" i="5"/>
  <c r="AK71" i="5"/>
  <c r="AP71" i="5"/>
  <c r="AP167" i="5"/>
  <c r="AK167" i="5"/>
  <c r="AL167" i="5"/>
  <c r="AK435" i="5"/>
  <c r="AL435" i="5"/>
  <c r="AP435" i="5"/>
  <c r="AL233" i="5"/>
  <c r="AK233" i="5"/>
  <c r="AK276" i="5"/>
  <c r="AL276" i="5"/>
  <c r="AL386" i="5"/>
  <c r="AK386" i="5"/>
  <c r="AK375" i="5"/>
  <c r="AL375" i="5"/>
  <c r="AP375" i="5"/>
  <c r="AK285" i="5"/>
  <c r="AL285" i="5"/>
  <c r="AL362" i="5"/>
  <c r="AP362" i="5"/>
  <c r="AK362" i="5"/>
  <c r="AK229" i="5"/>
  <c r="AL229" i="5"/>
  <c r="AK49" i="5"/>
  <c r="AP49" i="5"/>
  <c r="AL49" i="5"/>
  <c r="AP518" i="5"/>
  <c r="AL518" i="5"/>
  <c r="AK518" i="5"/>
  <c r="AK363" i="5"/>
  <c r="AL363" i="5"/>
  <c r="AK185" i="5"/>
  <c r="AP185" i="5"/>
  <c r="AL185" i="5"/>
  <c r="AK471" i="5"/>
  <c r="AL471" i="5"/>
  <c r="AP471" i="5"/>
  <c r="AL470" i="5"/>
  <c r="AK470" i="5"/>
  <c r="AK255" i="5"/>
  <c r="AL255" i="5"/>
  <c r="AL92" i="5"/>
  <c r="AK92" i="5"/>
  <c r="AK472" i="5"/>
  <c r="AL472" i="5"/>
  <c r="AP472" i="5"/>
  <c r="AK348" i="5"/>
  <c r="AL348" i="5"/>
  <c r="AL238" i="5"/>
  <c r="AK238" i="5"/>
  <c r="AK29" i="5"/>
  <c r="AL29" i="5"/>
  <c r="AK443" i="5"/>
  <c r="AL443" i="5"/>
  <c r="AP443" i="5"/>
  <c r="AP292" i="5"/>
  <c r="AL292" i="5"/>
  <c r="AK292" i="5"/>
  <c r="AK80" i="5"/>
  <c r="AP80" i="5"/>
  <c r="AL80" i="5"/>
  <c r="AK532" i="5"/>
  <c r="AP532" i="5"/>
  <c r="AL532" i="5"/>
  <c r="AL387" i="5"/>
  <c r="AK387" i="5"/>
  <c r="AK243" i="5"/>
  <c r="AL243" i="5"/>
  <c r="AP243" i="5"/>
  <c r="AK75" i="5"/>
  <c r="AL75" i="5"/>
  <c r="AP75" i="5"/>
  <c r="AK62" i="5"/>
  <c r="AP62" i="5"/>
  <c r="AL62" i="5"/>
  <c r="AL526" i="5"/>
  <c r="AK526" i="5"/>
  <c r="AP526" i="5"/>
  <c r="AK388" i="5"/>
  <c r="AL388" i="5"/>
  <c r="AP388" i="5"/>
  <c r="AK237" i="5"/>
  <c r="AL237" i="5"/>
  <c r="AL28" i="5"/>
  <c r="AK28" i="5"/>
  <c r="AP28" i="5"/>
  <c r="AK523" i="5"/>
  <c r="AL523" i="5"/>
  <c r="AK316" i="5"/>
  <c r="AL316" i="5"/>
  <c r="AK236" i="5"/>
  <c r="AL236" i="5"/>
  <c r="AP236" i="5"/>
  <c r="AL125" i="5"/>
  <c r="AK125" i="5"/>
  <c r="AP125" i="5"/>
  <c r="AK452" i="5"/>
  <c r="AL452" i="5"/>
  <c r="AK428" i="5"/>
  <c r="AL428" i="5"/>
  <c r="AL252" i="5"/>
  <c r="AK252" i="5"/>
  <c r="AK156" i="5"/>
  <c r="AP156" i="5"/>
  <c r="AL156" i="5"/>
  <c r="AL46" i="5"/>
  <c r="AK46" i="5"/>
  <c r="AP46" i="5"/>
  <c r="AL508" i="5"/>
  <c r="AK508" i="5"/>
  <c r="AP508" i="5"/>
  <c r="AL412" i="5"/>
  <c r="AK412" i="5"/>
  <c r="AK177" i="5"/>
  <c r="AL177" i="5"/>
  <c r="AP177" i="5"/>
  <c r="AK110" i="5"/>
  <c r="AL110" i="5"/>
  <c r="AL42" i="5"/>
  <c r="AK42" i="5"/>
  <c r="AL502" i="5"/>
  <c r="AK502" i="5"/>
  <c r="AP502" i="5"/>
  <c r="AK346" i="5"/>
  <c r="AL346" i="5"/>
  <c r="AK189" i="5"/>
  <c r="AL189" i="5"/>
  <c r="AK68" i="5"/>
  <c r="AL68" i="5"/>
  <c r="AP68" i="5"/>
  <c r="AL251" i="5"/>
  <c r="AK251" i="5"/>
  <c r="AP251" i="5"/>
  <c r="AK102" i="5"/>
  <c r="AL102" i="5"/>
  <c r="AP102" i="5"/>
  <c r="AK26" i="5"/>
  <c r="AL26" i="5"/>
  <c r="AK479" i="5"/>
  <c r="AL479" i="5"/>
  <c r="AP479" i="5"/>
  <c r="AL369" i="5"/>
  <c r="AK369" i="5"/>
  <c r="AP369" i="5"/>
  <c r="AK376" i="5"/>
  <c r="AP376" i="5"/>
  <c r="AL376" i="5"/>
  <c r="AL95" i="5"/>
  <c r="AK95" i="5"/>
  <c r="AP95" i="5"/>
  <c r="AK351" i="5"/>
  <c r="AL351" i="5"/>
  <c r="AK152" i="5"/>
  <c r="AP152" i="5"/>
  <c r="AL152" i="5"/>
  <c r="AN7" i="5"/>
  <c r="AO7" i="5"/>
  <c r="AM113" i="4"/>
  <c r="AN113" i="4" s="1"/>
  <c r="W113" i="4"/>
  <c r="Y113" i="4" s="1"/>
  <c r="AK416" i="5"/>
  <c r="AL416" i="5"/>
  <c r="AP416" i="5"/>
  <c r="AI7" i="5"/>
  <c r="AH7" i="5"/>
  <c r="AP7" i="5"/>
  <c r="AP431" i="5"/>
  <c r="AL431" i="5"/>
  <c r="AK431" i="5"/>
  <c r="AL353" i="5"/>
  <c r="AK353" i="5"/>
  <c r="AP353" i="5"/>
  <c r="AK113" i="5"/>
  <c r="AL113" i="5"/>
  <c r="AK534" i="5"/>
  <c r="AL534" i="5"/>
  <c r="AP534" i="5"/>
  <c r="AL31" i="5"/>
  <c r="AK31" i="5"/>
  <c r="AL81" i="5"/>
  <c r="AK81" i="5"/>
  <c r="AK160" i="5"/>
  <c r="AL160" i="5"/>
  <c r="AK135" i="5"/>
  <c r="AL135" i="5"/>
  <c r="AP452" i="5"/>
  <c r="AK531" i="5"/>
  <c r="AL531" i="5"/>
  <c r="AP208" i="5"/>
  <c r="AK208" i="5"/>
  <c r="AL208" i="5"/>
  <c r="AK389" i="5"/>
  <c r="AL389" i="5"/>
  <c r="AK501" i="5"/>
  <c r="AP501" i="5"/>
  <c r="AL501" i="5"/>
  <c r="AL374" i="5"/>
  <c r="AK374" i="5"/>
  <c r="AP374" i="5"/>
  <c r="AL215" i="5"/>
  <c r="AK215" i="5"/>
  <c r="AP215" i="5"/>
  <c r="AL24" i="5"/>
  <c r="AK24" i="5"/>
  <c r="AK466" i="5"/>
  <c r="AL466" i="5"/>
  <c r="AL325" i="5"/>
  <c r="AP325" i="5"/>
  <c r="AK325" i="5"/>
  <c r="AK123" i="5"/>
  <c r="AL123" i="5"/>
  <c r="AP123" i="5"/>
  <c r="AP468" i="5"/>
  <c r="AK468" i="5"/>
  <c r="AL468" i="5"/>
  <c r="AK407" i="5"/>
  <c r="AL407" i="5"/>
  <c r="AP407" i="5"/>
  <c r="AK284" i="5"/>
  <c r="AL284" i="5"/>
  <c r="AK73" i="5"/>
  <c r="AL73" i="5"/>
  <c r="AP73" i="5"/>
  <c r="AL414" i="5"/>
  <c r="AK414" i="5"/>
  <c r="AP414" i="5"/>
  <c r="AL408" i="5"/>
  <c r="AK408" i="5"/>
  <c r="AP408" i="5"/>
  <c r="AK196" i="5"/>
  <c r="AL196" i="5"/>
  <c r="AP196" i="5"/>
  <c r="AK557" i="5"/>
  <c r="AL557" i="5"/>
  <c r="AK505" i="5"/>
  <c r="AL505" i="5"/>
  <c r="AP505" i="5"/>
  <c r="AL315" i="5"/>
  <c r="AK315" i="5"/>
  <c r="AP315" i="5"/>
  <c r="AL128" i="5"/>
  <c r="AK128" i="5"/>
  <c r="AK538" i="5"/>
  <c r="AL538" i="5"/>
  <c r="AP538" i="5"/>
  <c r="AL406" i="5"/>
  <c r="AK406" i="5"/>
  <c r="AK181" i="5"/>
  <c r="AL181" i="5"/>
  <c r="AL63" i="5"/>
  <c r="AK63" i="5"/>
  <c r="AP63" i="5"/>
  <c r="AK39" i="5"/>
  <c r="AL39" i="5"/>
  <c r="AP39" i="5"/>
  <c r="AK437" i="5"/>
  <c r="AL437" i="5"/>
  <c r="AK434" i="5"/>
  <c r="AL434" i="5"/>
  <c r="AK204" i="5"/>
  <c r="AL204" i="5"/>
  <c r="AP204" i="5"/>
  <c r="AK514" i="5"/>
  <c r="AL514" i="5"/>
  <c r="AP514" i="5"/>
  <c r="AK492" i="5"/>
  <c r="AL492" i="5"/>
  <c r="AL286" i="5"/>
  <c r="AK286" i="5"/>
  <c r="AL172" i="5"/>
  <c r="AK172" i="5"/>
  <c r="AP172" i="5"/>
  <c r="AK85" i="5"/>
  <c r="AL85" i="5"/>
  <c r="AP85" i="5"/>
  <c r="AK552" i="5"/>
  <c r="AL552" i="5"/>
  <c r="AL381" i="5"/>
  <c r="AK381" i="5"/>
  <c r="AL322" i="5"/>
  <c r="AP322" i="5"/>
  <c r="AK322" i="5"/>
  <c r="AK164" i="5"/>
  <c r="AL164" i="5"/>
  <c r="AK497" i="5"/>
  <c r="AL497" i="5"/>
  <c r="AL418" i="5"/>
  <c r="AK418" i="5"/>
  <c r="AL356" i="5"/>
  <c r="AK356" i="5"/>
  <c r="AK305" i="5"/>
  <c r="AL305" i="5"/>
  <c r="AK149" i="5"/>
  <c r="AL149" i="5"/>
  <c r="AP44" i="5"/>
  <c r="AK44" i="5"/>
  <c r="AL44" i="5"/>
  <c r="AL506" i="5"/>
  <c r="AK506" i="5"/>
  <c r="AK333" i="5"/>
  <c r="AL333" i="5"/>
  <c r="AL234" i="5"/>
  <c r="AK234" i="5"/>
  <c r="AL38" i="5"/>
  <c r="AK38" i="5"/>
  <c r="AL329" i="5"/>
  <c r="AK329" i="5"/>
  <c r="AP329" i="5"/>
  <c r="AL141" i="5"/>
  <c r="AK141" i="5"/>
  <c r="AK256" i="5"/>
  <c r="AL256" i="5"/>
  <c r="AK447" i="5"/>
  <c r="AL447" i="5"/>
  <c r="AL112" i="5"/>
  <c r="AK112" i="5"/>
  <c r="AP164" i="5"/>
  <c r="AP305" i="5"/>
  <c r="AK459" i="5"/>
  <c r="AL459" i="5"/>
  <c r="AP459" i="5"/>
  <c r="AK88" i="5"/>
  <c r="AL88" i="5"/>
  <c r="AP88" i="5"/>
  <c r="AL541" i="5"/>
  <c r="AK541" i="5"/>
  <c r="AP541" i="5"/>
  <c r="AM50" i="4"/>
  <c r="AN50" i="4" s="1"/>
  <c r="W50" i="4"/>
  <c r="Y50" i="4" s="1"/>
  <c r="AL56" i="5"/>
  <c r="AK56" i="5"/>
  <c r="AL144" i="5"/>
  <c r="AK144" i="5"/>
  <c r="AK368" i="5"/>
  <c r="AL368" i="5"/>
  <c r="AK7" i="5"/>
  <c r="AL7" i="5"/>
  <c r="AK525" i="5"/>
  <c r="AL525" i="5"/>
  <c r="AK489" i="5"/>
  <c r="AL489" i="5"/>
  <c r="AP489" i="5"/>
  <c r="AK89" i="5"/>
  <c r="AL89" i="5"/>
  <c r="AP399" i="5"/>
  <c r="AK399" i="5"/>
  <c r="AL399" i="5"/>
  <c r="AK449" i="5"/>
  <c r="AL449" i="5"/>
  <c r="AK359" i="5"/>
  <c r="AL359" i="5"/>
  <c r="AP412" i="5"/>
  <c r="AK495" i="5"/>
  <c r="AL495" i="5"/>
  <c r="AK536" i="5"/>
  <c r="AL536" i="5"/>
  <c r="AL493" i="5"/>
  <c r="AK493" i="5"/>
  <c r="AL433" i="5"/>
  <c r="AP433" i="5"/>
  <c r="AK433" i="5"/>
  <c r="AL427" i="5"/>
  <c r="AP427" i="5"/>
  <c r="AK427" i="5"/>
  <c r="AK162" i="5"/>
  <c r="AL162" i="5"/>
  <c r="AL543" i="5"/>
  <c r="AK543" i="5"/>
  <c r="AP543" i="5"/>
  <c r="AP288" i="5"/>
  <c r="AL288" i="5"/>
  <c r="AK288" i="5"/>
  <c r="AK245" i="5"/>
  <c r="AL245" i="5"/>
  <c r="AK87" i="5"/>
  <c r="AL87" i="5"/>
  <c r="AL261" i="5"/>
  <c r="AK261" i="5"/>
  <c r="AK323" i="5"/>
  <c r="AL323" i="5"/>
  <c r="AP323" i="5"/>
  <c r="AL209" i="5"/>
  <c r="AK209" i="5"/>
  <c r="AP209" i="5"/>
  <c r="AK66" i="5"/>
  <c r="AL66" i="5"/>
  <c r="AK503" i="5"/>
  <c r="AL503" i="5"/>
  <c r="AP503" i="5"/>
  <c r="AL344" i="5"/>
  <c r="AP344" i="5"/>
  <c r="AK344" i="5"/>
  <c r="AL168" i="5"/>
  <c r="AK168" i="5"/>
  <c r="AP168" i="5"/>
  <c r="AL554" i="5"/>
  <c r="AK554" i="5"/>
  <c r="AP554" i="5"/>
  <c r="AK444" i="5"/>
  <c r="AL444" i="5"/>
  <c r="AK248" i="5"/>
  <c r="AL248" i="5"/>
  <c r="AP248" i="5"/>
  <c r="AL104" i="5"/>
  <c r="AK104" i="5"/>
  <c r="AK458" i="5"/>
  <c r="AL458" i="5"/>
  <c r="AL336" i="5"/>
  <c r="AK336" i="5"/>
  <c r="AP336" i="5"/>
  <c r="AK219" i="5"/>
  <c r="AL219" i="5"/>
  <c r="AL25" i="5"/>
  <c r="AK25" i="5"/>
  <c r="AK23" i="5"/>
  <c r="AL23" i="5"/>
  <c r="AL266" i="5"/>
  <c r="AK266" i="5"/>
  <c r="AP266" i="5"/>
  <c r="AK377" i="5"/>
  <c r="AL377" i="5"/>
  <c r="AP377" i="5"/>
  <c r="AP179" i="5"/>
  <c r="AK179" i="5"/>
  <c r="AL179" i="5"/>
  <c r="AL462" i="5"/>
  <c r="AK462" i="5"/>
  <c r="AK429" i="5"/>
  <c r="AL429" i="5"/>
  <c r="AP429" i="5"/>
  <c r="AL258" i="5"/>
  <c r="AK258" i="5"/>
  <c r="AK228" i="5"/>
  <c r="AL228" i="5"/>
  <c r="AP228" i="5"/>
  <c r="AL60" i="5"/>
  <c r="AK60" i="5"/>
  <c r="AP60" i="5"/>
  <c r="AK485" i="5"/>
  <c r="AL485" i="5"/>
  <c r="AK300" i="5"/>
  <c r="AL300" i="5"/>
  <c r="AK310" i="5"/>
  <c r="AL310" i="5"/>
  <c r="AP310" i="5"/>
  <c r="AL114" i="5"/>
  <c r="AP114" i="5"/>
  <c r="AK114" i="5"/>
  <c r="AK535" i="5"/>
  <c r="AL535" i="5"/>
  <c r="AK482" i="5"/>
  <c r="AL482" i="5"/>
  <c r="AP482" i="5"/>
  <c r="AL340" i="5"/>
  <c r="AK340" i="5"/>
  <c r="AP269" i="5"/>
  <c r="AK269" i="5"/>
  <c r="AL269" i="5"/>
  <c r="AL118" i="5"/>
  <c r="AK118" i="5"/>
  <c r="AK486" i="5"/>
  <c r="AL486" i="5"/>
  <c r="AL446" i="5"/>
  <c r="AK446" i="5"/>
  <c r="AP446" i="5"/>
  <c r="AK221" i="5"/>
  <c r="AL221" i="5"/>
  <c r="AP242" i="5"/>
  <c r="AK242" i="5"/>
  <c r="AL242" i="5"/>
  <c r="AL370" i="5"/>
  <c r="AK370" i="5"/>
  <c r="AL294" i="5"/>
  <c r="AK294" i="5"/>
  <c r="AK70" i="5"/>
  <c r="AL70" i="5"/>
  <c r="AK199" i="5"/>
  <c r="AL199" i="5"/>
  <c r="AP351" i="5"/>
  <c r="AP286" i="5"/>
  <c r="AP523" i="5"/>
  <c r="AK155" i="5"/>
  <c r="AL155" i="5"/>
  <c r="AP155" i="5"/>
  <c r="B80" i="2"/>
  <c r="B143" i="2"/>
  <c r="B75" i="2"/>
  <c r="B108" i="2"/>
  <c r="B109" i="2" s="1"/>
  <c r="B98" i="2"/>
  <c r="AP55" i="5"/>
  <c r="AP221" i="5"/>
  <c r="AK224" i="5"/>
  <c r="AL224" i="5"/>
  <c r="AP224" i="5"/>
  <c r="AK223" i="5"/>
  <c r="AL223" i="5"/>
  <c r="AL35" i="5"/>
  <c r="AK35" i="5"/>
  <c r="AP35" i="5"/>
  <c r="AK97" i="5"/>
  <c r="AL97" i="5"/>
  <c r="AK367" i="5"/>
  <c r="AL367" i="5"/>
  <c r="AP367" i="5"/>
  <c r="AL107" i="5"/>
  <c r="AK107" i="5"/>
  <c r="AP107" i="5"/>
  <c r="AL328" i="5"/>
  <c r="AK328" i="5"/>
  <c r="AK183" i="5"/>
  <c r="AP183" i="5"/>
  <c r="AL183" i="5"/>
  <c r="AK439" i="5"/>
  <c r="AL439" i="5"/>
  <c r="AL32" i="5"/>
  <c r="AK32" i="5"/>
  <c r="AP32" i="5"/>
  <c r="AL303" i="5"/>
  <c r="AP303" i="5"/>
  <c r="AK303" i="5"/>
  <c r="AK335" i="5"/>
  <c r="AL335" i="5"/>
  <c r="AL96" i="5"/>
  <c r="AK96" i="5"/>
  <c r="AL47" i="5"/>
  <c r="AK47" i="5"/>
  <c r="AM154" i="4"/>
  <c r="AN154" i="4" s="1"/>
  <c r="W154" i="4"/>
  <c r="Y154" i="4" s="1"/>
  <c r="Z154" i="4" s="1"/>
  <c r="AL265" i="5"/>
  <c r="AK265" i="5"/>
  <c r="AP265" i="5"/>
  <c r="AL121" i="5"/>
  <c r="AK121" i="5"/>
  <c r="AP423" i="5"/>
  <c r="AK423" i="5"/>
  <c r="AL423" i="5"/>
  <c r="AL201" i="5"/>
  <c r="AP201" i="5"/>
  <c r="AK201" i="5"/>
  <c r="AL306" i="5"/>
  <c r="AK306" i="5"/>
  <c r="AK400" i="5"/>
  <c r="AL400" i="5"/>
  <c r="AP400" i="5"/>
  <c r="AK212" i="5"/>
  <c r="AL212" i="5"/>
  <c r="AK520" i="5"/>
  <c r="AL520" i="5"/>
  <c r="AK365" i="5"/>
  <c r="AL365" i="5"/>
  <c r="AL178" i="5"/>
  <c r="AK178" i="5"/>
  <c r="AL475" i="5"/>
  <c r="AK475" i="5"/>
  <c r="AP475" i="5"/>
  <c r="AK476" i="5"/>
  <c r="AL476" i="5"/>
  <c r="AK268" i="5"/>
  <c r="AL268" i="5"/>
  <c r="AP268" i="5"/>
  <c r="AK98" i="5"/>
  <c r="AP98" i="5"/>
  <c r="AL98" i="5"/>
  <c r="AK491" i="5"/>
  <c r="AL491" i="5"/>
  <c r="AK364" i="5"/>
  <c r="AL364" i="5"/>
  <c r="AL244" i="5"/>
  <c r="AK244" i="5"/>
  <c r="AL30" i="5"/>
  <c r="AK30" i="5"/>
  <c r="AK450" i="5"/>
  <c r="AL450" i="5"/>
  <c r="AL304" i="5"/>
  <c r="AK304" i="5"/>
  <c r="AK86" i="5"/>
  <c r="AL86" i="5"/>
  <c r="AP86" i="5"/>
  <c r="AL549" i="5"/>
  <c r="AK549" i="5"/>
  <c r="AP549" i="5"/>
  <c r="AK391" i="5"/>
  <c r="AL391" i="5"/>
  <c r="AP391" i="5"/>
  <c r="AL247" i="5"/>
  <c r="AP247" i="5"/>
  <c r="AK247" i="5"/>
  <c r="AL76" i="5"/>
  <c r="AK76" i="5"/>
  <c r="AP76" i="5"/>
  <c r="AL393" i="5"/>
  <c r="AP393" i="5"/>
  <c r="AK393" i="5"/>
  <c r="AL390" i="5"/>
  <c r="AK390" i="5"/>
  <c r="AL182" i="5"/>
  <c r="AK182" i="5"/>
  <c r="AK137" i="5"/>
  <c r="AL137" i="5"/>
  <c r="AP137" i="5"/>
  <c r="AM13" i="5"/>
  <c r="T13" i="5"/>
  <c r="AG13" i="5"/>
  <c r="Q13" i="5"/>
  <c r="AJ13" i="5"/>
  <c r="W13" i="5"/>
  <c r="AK481" i="5"/>
  <c r="AL481" i="5"/>
  <c r="AP481" i="5"/>
  <c r="AK355" i="5"/>
  <c r="AL355" i="5"/>
  <c r="AK140" i="5"/>
  <c r="AL140" i="5"/>
  <c r="AL558" i="5"/>
  <c r="AK558" i="5"/>
  <c r="AK405" i="5"/>
  <c r="AL405" i="5"/>
  <c r="AL324" i="5"/>
  <c r="AK324" i="5"/>
  <c r="AK173" i="5"/>
  <c r="AL173" i="5"/>
  <c r="AK61" i="5"/>
  <c r="AL61" i="5"/>
  <c r="AP61" i="5"/>
  <c r="AK445" i="5"/>
  <c r="AL445" i="5"/>
  <c r="AP445" i="5"/>
  <c r="AL354" i="5"/>
  <c r="AK354" i="5"/>
  <c r="AK198" i="5"/>
  <c r="AL198" i="5"/>
  <c r="AP198" i="5"/>
  <c r="AL157" i="5"/>
  <c r="AK157" i="5"/>
  <c r="AL556" i="5"/>
  <c r="AK556" i="5"/>
  <c r="AL461" i="5"/>
  <c r="AK461" i="5"/>
  <c r="AK308" i="5"/>
  <c r="AP308" i="5"/>
  <c r="AL308" i="5"/>
  <c r="AK193" i="5"/>
  <c r="AP193" i="5"/>
  <c r="AL193" i="5"/>
  <c r="AP100" i="5"/>
  <c r="AK100" i="5"/>
  <c r="AL100" i="5"/>
  <c r="AL548" i="5"/>
  <c r="AK548" i="5"/>
  <c r="AL338" i="5"/>
  <c r="AK338" i="5"/>
  <c r="AL314" i="5"/>
  <c r="AK314" i="5"/>
  <c r="AL180" i="5"/>
  <c r="AK180" i="5"/>
  <c r="AP180" i="5"/>
  <c r="AK345" i="5"/>
  <c r="AL345" i="5"/>
  <c r="AL253" i="5"/>
  <c r="AK253" i="5"/>
  <c r="AP253" i="5"/>
  <c r="AK58" i="5"/>
  <c r="AL58" i="5"/>
  <c r="AP160" i="5"/>
  <c r="AP466" i="5"/>
  <c r="AL395" i="5"/>
  <c r="AP395" i="5"/>
  <c r="AK395" i="5"/>
  <c r="AP363" i="5"/>
  <c r="AK504" i="5"/>
  <c r="AL504" i="5"/>
  <c r="AP504" i="5"/>
  <c r="V12" i="5"/>
  <c r="U12" i="5"/>
  <c r="AK311" i="5"/>
  <c r="AP311" i="5"/>
  <c r="AL311" i="5"/>
  <c r="AK111" i="5"/>
  <c r="AL111" i="5"/>
  <c r="AP111" i="5"/>
  <c r="AL40" i="5"/>
  <c r="AK40" i="5"/>
  <c r="AP40" i="5"/>
  <c r="AL280" i="5"/>
  <c r="AK280" i="5"/>
  <c r="AP328" i="5"/>
  <c r="X7" i="5"/>
  <c r="Y7" i="5"/>
  <c r="AL119" i="5"/>
  <c r="AK119" i="5"/>
  <c r="AK79" i="5"/>
  <c r="AL79" i="5"/>
  <c r="AL143" i="5"/>
  <c r="AK143" i="5"/>
  <c r="AK313" i="5"/>
  <c r="AL313" i="5"/>
  <c r="AK72" i="5"/>
  <c r="AL72" i="5"/>
  <c r="AL264" i="5"/>
  <c r="AK264" i="5"/>
  <c r="AK320" i="5"/>
  <c r="AP320" i="5"/>
  <c r="AL320" i="5"/>
  <c r="AL207" i="5"/>
  <c r="AK207" i="5"/>
  <c r="AP207" i="5"/>
  <c r="AL473" i="5"/>
  <c r="AK473" i="5"/>
  <c r="AP464" i="5"/>
  <c r="AL553" i="5"/>
  <c r="AK553" i="5"/>
  <c r="AH144" i="4"/>
  <c r="B105" i="2"/>
  <c r="B106" i="2" s="1"/>
  <c r="B74" i="2"/>
  <c r="B95" i="2"/>
  <c r="AL546" i="5"/>
  <c r="AK546" i="5"/>
  <c r="AP546" i="5"/>
  <c r="AK175" i="5"/>
  <c r="AL175" i="5"/>
  <c r="AK10" i="5"/>
  <c r="AL10" i="5"/>
  <c r="AL469" i="5"/>
  <c r="AP469" i="5"/>
  <c r="AK469" i="5"/>
  <c r="AK334" i="5"/>
  <c r="AP334" i="5"/>
  <c r="AL334" i="5"/>
  <c r="AL129" i="5"/>
  <c r="AK129" i="5"/>
  <c r="AK516" i="5"/>
  <c r="AL516" i="5"/>
  <c r="AK409" i="5"/>
  <c r="AL409" i="5"/>
  <c r="AP409" i="5"/>
  <c r="AK290" i="5"/>
  <c r="AL290" i="5"/>
  <c r="AK91" i="5"/>
  <c r="AL91" i="5"/>
  <c r="AL424" i="5"/>
  <c r="AK424" i="5"/>
  <c r="AP424" i="5"/>
  <c r="AK419" i="5"/>
  <c r="AL419" i="5"/>
  <c r="AK124" i="5"/>
  <c r="AL124" i="5"/>
  <c r="AP124" i="5"/>
  <c r="AK474" i="5"/>
  <c r="AL474" i="5"/>
  <c r="AK511" i="5"/>
  <c r="AL511" i="5"/>
  <c r="AP511" i="5"/>
  <c r="AK332" i="5"/>
  <c r="AL332" i="5"/>
  <c r="AL146" i="5"/>
  <c r="AK146" i="5"/>
  <c r="AL540" i="5"/>
  <c r="AK540" i="5"/>
  <c r="AK415" i="5"/>
  <c r="AL415" i="5"/>
  <c r="AP415" i="5"/>
  <c r="AK192" i="5"/>
  <c r="AL192" i="5"/>
  <c r="AL69" i="5"/>
  <c r="AK69" i="5"/>
  <c r="AL494" i="5"/>
  <c r="AK494" i="5"/>
  <c r="AL296" i="5"/>
  <c r="AK296" i="5"/>
  <c r="AL154" i="5"/>
  <c r="AK154" i="5"/>
  <c r="AK151" i="5"/>
  <c r="AL151" i="5"/>
  <c r="AP151" i="5"/>
  <c r="AP19" i="5"/>
  <c r="AL19" i="5"/>
  <c r="AK19" i="5"/>
  <c r="AK373" i="5"/>
  <c r="AL373" i="5"/>
  <c r="AP373" i="5"/>
  <c r="AL267" i="5"/>
  <c r="AK267" i="5"/>
  <c r="AK134" i="5"/>
  <c r="AL134" i="5"/>
  <c r="AK490" i="5"/>
  <c r="AP490" i="5"/>
  <c r="AL490" i="5"/>
  <c r="AK382" i="5"/>
  <c r="AL382" i="5"/>
  <c r="AL301" i="5"/>
  <c r="AK301" i="5"/>
  <c r="AK166" i="5"/>
  <c r="AL166" i="5"/>
  <c r="AK52" i="5"/>
  <c r="AL52" i="5"/>
  <c r="AP52" i="5"/>
  <c r="AK421" i="5"/>
  <c r="AL421" i="5"/>
  <c r="AK413" i="5"/>
  <c r="AP413" i="5"/>
  <c r="AL413" i="5"/>
  <c r="AL197" i="5"/>
  <c r="AK197" i="5"/>
  <c r="AP197" i="5"/>
  <c r="AL130" i="5"/>
  <c r="AK130" i="5"/>
  <c r="AK547" i="5"/>
  <c r="AP547" i="5"/>
  <c r="AL547" i="5"/>
  <c r="AP385" i="5"/>
  <c r="AK385" i="5"/>
  <c r="AL385" i="5"/>
  <c r="AL277" i="5"/>
  <c r="AK277" i="5"/>
  <c r="AP277" i="5"/>
  <c r="AK222" i="5"/>
  <c r="AL222" i="5"/>
  <c r="AL109" i="5"/>
  <c r="AK109" i="5"/>
  <c r="AL528" i="5"/>
  <c r="AK528" i="5"/>
  <c r="AK396" i="5"/>
  <c r="AL396" i="5"/>
  <c r="AP254" i="5"/>
  <c r="AK254" i="5"/>
  <c r="AL254" i="5"/>
  <c r="AK133" i="5"/>
  <c r="AL133" i="5"/>
  <c r="AL246" i="5"/>
  <c r="AK246" i="5"/>
  <c r="AP246" i="5"/>
  <c r="AK241" i="5"/>
  <c r="AL241" i="5"/>
  <c r="AP241" i="5"/>
  <c r="AK65" i="5"/>
  <c r="AL65" i="5"/>
  <c r="AP128" i="5"/>
  <c r="AK384" i="5"/>
  <c r="AL384" i="5"/>
  <c r="AP553" i="5"/>
  <c r="AP121" i="5"/>
  <c r="AP154" i="5"/>
  <c r="AP149" i="5"/>
  <c r="AL203" i="5"/>
  <c r="AP203" i="5"/>
  <c r="AK203" i="5"/>
  <c r="AL176" i="5"/>
  <c r="AK176" i="5"/>
  <c r="AP256" i="5"/>
  <c r="AK448" i="5"/>
  <c r="AL448" i="5"/>
  <c r="AL263" i="5"/>
  <c r="AK263" i="5"/>
  <c r="AP263" i="5"/>
  <c r="AP316" i="5"/>
  <c r="AP285" i="5"/>
  <c r="AP294" i="5"/>
  <c r="AP115" i="5"/>
  <c r="AK115" i="5"/>
  <c r="AL115" i="5"/>
  <c r="AL339" i="5"/>
  <c r="AP339" i="5"/>
  <c r="AK339" i="5"/>
  <c r="AL360" i="5"/>
  <c r="AK360" i="5"/>
  <c r="AK127" i="5"/>
  <c r="AL127" i="5"/>
  <c r="AK83" i="5"/>
  <c r="AL83" i="5"/>
  <c r="AP83" i="5"/>
  <c r="AK48" i="5"/>
  <c r="AL48" i="5"/>
  <c r="AP240" i="5"/>
  <c r="AK488" i="5"/>
  <c r="AL488" i="5"/>
  <c r="AP113" i="5"/>
  <c r="AP96" i="5"/>
  <c r="AK216" i="5"/>
  <c r="AL216" i="5"/>
  <c r="AK271" i="5"/>
  <c r="AL271" i="5"/>
  <c r="AP271" i="5"/>
  <c r="AK430" i="5"/>
  <c r="AL430" i="5"/>
  <c r="AP430" i="5"/>
  <c r="AL456" i="5"/>
  <c r="AK456" i="5"/>
  <c r="AP456" i="5"/>
  <c r="AL545" i="5"/>
  <c r="AK545" i="5"/>
  <c r="AL361" i="5"/>
  <c r="AK361" i="5"/>
  <c r="AP361" i="5"/>
  <c r="AK260" i="5"/>
  <c r="AL260" i="5"/>
  <c r="AK122" i="5"/>
  <c r="AL122" i="5"/>
  <c r="AP122" i="5"/>
  <c r="AP279" i="5"/>
  <c r="AL279" i="5"/>
  <c r="AK279" i="5"/>
  <c r="AL343" i="5"/>
  <c r="AK343" i="5"/>
  <c r="AP343" i="5"/>
  <c r="AK220" i="5"/>
  <c r="AL220" i="5"/>
  <c r="AP220" i="5"/>
  <c r="AK27" i="5"/>
  <c r="AL27" i="5"/>
  <c r="AP27" i="5"/>
  <c r="AK513" i="5"/>
  <c r="AL513" i="5"/>
  <c r="AP513" i="5"/>
  <c r="AK350" i="5"/>
  <c r="AL350" i="5"/>
  <c r="AP174" i="5"/>
  <c r="AK174" i="5"/>
  <c r="AL174" i="5"/>
  <c r="AL560" i="5"/>
  <c r="AK560" i="5"/>
  <c r="AK453" i="5"/>
  <c r="AL453" i="5"/>
  <c r="AP453" i="5"/>
  <c r="AK249" i="5"/>
  <c r="AL249" i="5"/>
  <c r="AP249" i="5"/>
  <c r="AK90" i="5"/>
  <c r="AL90" i="5"/>
  <c r="AP90" i="5"/>
  <c r="AL460" i="5"/>
  <c r="AK460" i="5"/>
  <c r="AL341" i="5"/>
  <c r="AK341" i="5"/>
  <c r="AK235" i="5"/>
  <c r="AL235" i="5"/>
  <c r="AP235" i="5"/>
  <c r="AL37" i="5"/>
  <c r="AK37" i="5"/>
  <c r="AL441" i="5"/>
  <c r="AK441" i="5"/>
  <c r="AP441" i="5"/>
  <c r="AK289" i="5"/>
  <c r="AL289" i="5"/>
  <c r="AP289" i="5"/>
  <c r="AK145" i="5"/>
  <c r="AL145" i="5"/>
  <c r="AP145" i="5"/>
  <c r="AL136" i="5"/>
  <c r="AP136" i="5"/>
  <c r="AK136" i="5"/>
  <c r="AK498" i="5"/>
  <c r="AL498" i="5"/>
  <c r="AP480" i="5"/>
  <c r="AL480" i="5"/>
  <c r="AK480" i="5"/>
  <c r="AL287" i="5"/>
  <c r="AK287" i="5"/>
  <c r="AK106" i="5"/>
  <c r="AL106" i="5"/>
  <c r="AP106" i="5"/>
  <c r="AK422" i="5"/>
  <c r="AL422" i="5"/>
  <c r="AL398" i="5"/>
  <c r="AK398" i="5"/>
  <c r="AK230" i="5"/>
  <c r="AL230" i="5"/>
  <c r="AP230" i="5"/>
  <c r="AK150" i="5"/>
  <c r="AL150" i="5"/>
  <c r="AP150" i="5"/>
  <c r="AK21" i="5"/>
  <c r="AL21" i="5"/>
  <c r="AK509" i="5"/>
  <c r="AL509" i="5"/>
  <c r="AP509" i="5"/>
  <c r="AL380" i="5"/>
  <c r="AK380" i="5"/>
  <c r="AK226" i="5"/>
  <c r="AL226" i="5"/>
  <c r="AK84" i="5"/>
  <c r="AL84" i="5"/>
  <c r="AP84" i="5"/>
  <c r="AK527" i="5"/>
  <c r="AL527" i="5"/>
  <c r="AL401" i="5"/>
  <c r="AP401" i="5"/>
  <c r="AK401" i="5"/>
  <c r="AK250" i="5"/>
  <c r="AL250" i="5"/>
  <c r="AK194" i="5"/>
  <c r="AL194" i="5"/>
  <c r="AK78" i="5"/>
  <c r="AL78" i="5"/>
  <c r="AP550" i="5"/>
  <c r="AK550" i="5"/>
  <c r="AL550" i="5"/>
  <c r="AK420" i="5"/>
  <c r="AL420" i="5"/>
  <c r="AK330" i="5"/>
  <c r="AL330" i="5"/>
  <c r="AL116" i="5"/>
  <c r="AK116" i="5"/>
  <c r="AP116" i="5"/>
  <c r="AK297" i="5"/>
  <c r="AL297" i="5"/>
  <c r="AP297" i="5"/>
  <c r="AK214" i="5"/>
  <c r="AL214" i="5"/>
  <c r="AK36" i="5"/>
  <c r="AP36" i="5"/>
  <c r="AL36" i="5"/>
  <c r="AK512" i="5"/>
  <c r="AL512" i="5"/>
  <c r="AP473" i="5"/>
  <c r="AP439" i="5"/>
  <c r="AP89" i="5"/>
  <c r="AP449" i="5"/>
  <c r="AP458" i="5"/>
  <c r="AL59" i="5"/>
  <c r="AK59" i="5"/>
  <c r="AP59" i="5"/>
  <c r="AK457" i="5"/>
  <c r="AL457" i="5"/>
  <c r="AL519" i="5"/>
  <c r="AK519" i="5"/>
  <c r="AP519" i="5"/>
  <c r="AK217" i="5"/>
  <c r="AL217" i="5"/>
  <c r="AK200" i="5"/>
  <c r="AL200" i="5"/>
  <c r="AP200" i="5"/>
  <c r="AM104" i="4"/>
  <c r="AN104" i="4" s="1"/>
  <c r="W104" i="4"/>
  <c r="Y104" i="4" s="1"/>
  <c r="Z104" i="4" s="1"/>
  <c r="AK432" i="5"/>
  <c r="AL432" i="5"/>
  <c r="AP223" i="5"/>
  <c r="AL8" i="5"/>
  <c r="AK8" i="5"/>
  <c r="AP280" i="5"/>
  <c r="S7" i="5"/>
  <c r="R7" i="5"/>
  <c r="AH90" i="4"/>
  <c r="AL312" i="5"/>
  <c r="AK312" i="5"/>
  <c r="AK295" i="5"/>
  <c r="AL295" i="5"/>
  <c r="AP295" i="5"/>
  <c r="AP455" i="5"/>
  <c r="AL211" i="5"/>
  <c r="AK211" i="5"/>
  <c r="AL347" i="5"/>
  <c r="AK347" i="5"/>
  <c r="AP347" i="5"/>
  <c r="AP8" i="5"/>
  <c r="AK327" i="5"/>
  <c r="AL327" i="5"/>
  <c r="AM151" i="4"/>
  <c r="AN151" i="4" s="1"/>
  <c r="W151" i="4"/>
  <c r="Y151" i="4" s="1"/>
  <c r="Z151" i="4" s="1"/>
  <c r="AF151" i="4" s="1"/>
  <c r="AP341" i="5"/>
  <c r="AL438" i="5"/>
  <c r="AK438" i="5"/>
  <c r="AK326" i="5"/>
  <c r="AL326" i="5"/>
  <c r="AL318" i="5"/>
  <c r="AK318" i="5"/>
  <c r="AL478" i="5"/>
  <c r="AK478" i="5"/>
  <c r="AP478" i="5"/>
  <c r="AL477" i="5"/>
  <c r="AK477" i="5"/>
  <c r="AK275" i="5"/>
  <c r="AL275" i="5"/>
  <c r="AP275" i="5"/>
  <c r="AK103" i="5"/>
  <c r="AL103" i="5"/>
  <c r="AL496" i="5"/>
  <c r="AK496" i="5"/>
  <c r="AP366" i="5"/>
  <c r="AK366" i="5"/>
  <c r="AL366" i="5"/>
  <c r="AK202" i="5"/>
  <c r="AL202" i="5"/>
  <c r="AK41" i="5"/>
  <c r="AL41" i="5"/>
  <c r="AP41" i="5"/>
  <c r="AK463" i="5"/>
  <c r="AL463" i="5"/>
  <c r="AL319" i="5"/>
  <c r="AK319" i="5"/>
  <c r="AP319" i="5"/>
  <c r="AL108" i="5"/>
  <c r="AK108" i="5"/>
  <c r="AP108" i="5"/>
  <c r="AL559" i="5"/>
  <c r="AK559" i="5"/>
  <c r="AP559" i="5"/>
  <c r="AK397" i="5"/>
  <c r="AL397" i="5"/>
  <c r="AL262" i="5"/>
  <c r="AK262" i="5"/>
  <c r="AK77" i="5"/>
  <c r="AL77" i="5"/>
  <c r="AK402" i="5"/>
  <c r="AL402" i="5"/>
  <c r="AK392" i="5"/>
  <c r="AL392" i="5"/>
  <c r="AK184" i="5"/>
  <c r="AL184" i="5"/>
  <c r="AL555" i="5"/>
  <c r="AP555" i="5"/>
  <c r="AK555" i="5"/>
  <c r="AL500" i="5"/>
  <c r="AP500" i="5"/>
  <c r="AK500" i="5"/>
  <c r="AK309" i="5"/>
  <c r="AP309" i="5"/>
  <c r="AL309" i="5"/>
  <c r="AL126" i="5"/>
  <c r="AK126" i="5"/>
  <c r="AK117" i="5"/>
  <c r="AL117" i="5"/>
  <c r="AK530" i="5"/>
  <c r="AL530" i="5"/>
  <c r="AK352" i="5"/>
  <c r="AL352" i="5"/>
  <c r="AP352" i="5"/>
  <c r="AK321" i="5"/>
  <c r="AL321" i="5"/>
  <c r="AK82" i="5"/>
  <c r="AL82" i="5"/>
  <c r="AL510" i="5"/>
  <c r="AK510" i="5"/>
  <c r="AK358" i="5"/>
  <c r="AL358" i="5"/>
  <c r="AP358" i="5"/>
  <c r="AL317" i="5"/>
  <c r="AK317" i="5"/>
  <c r="AP317" i="5"/>
  <c r="AL132" i="5"/>
  <c r="AP132" i="5"/>
  <c r="AK132" i="5"/>
  <c r="AL20" i="5"/>
  <c r="AK20" i="5"/>
  <c r="AL454" i="5"/>
  <c r="AK454" i="5"/>
  <c r="AK357" i="5"/>
  <c r="AL357" i="5"/>
  <c r="AP357" i="5"/>
  <c r="AL205" i="5"/>
  <c r="AK205" i="5"/>
  <c r="AK54" i="5"/>
  <c r="AL54" i="5"/>
  <c r="AP442" i="5"/>
  <c r="AK442" i="5"/>
  <c r="AL442" i="5"/>
  <c r="AK394" i="5"/>
  <c r="AL394" i="5"/>
  <c r="AL293" i="5"/>
  <c r="AK293" i="5"/>
  <c r="AP293" i="5"/>
  <c r="AK165" i="5"/>
  <c r="AL165" i="5"/>
  <c r="AL74" i="5"/>
  <c r="AP74" i="5"/>
  <c r="AK74" i="5"/>
  <c r="AL542" i="5"/>
  <c r="AK542" i="5"/>
  <c r="AK378" i="5"/>
  <c r="AL378" i="5"/>
  <c r="AL298" i="5"/>
  <c r="AK298" i="5"/>
  <c r="AP298" i="5"/>
  <c r="AK138" i="5"/>
  <c r="AL138" i="5"/>
  <c r="AK270" i="5"/>
  <c r="AL270" i="5"/>
  <c r="AL148" i="5"/>
  <c r="AK148" i="5"/>
  <c r="AK34" i="5"/>
  <c r="AL34" i="5"/>
  <c r="AP91" i="5"/>
  <c r="AK231" i="5"/>
  <c r="AL231" i="5"/>
  <c r="AP231" i="5"/>
  <c r="AP419" i="5"/>
  <c r="AP29" i="5"/>
  <c r="AP389" i="5"/>
  <c r="AP99" i="5"/>
  <c r="AK191" i="5"/>
  <c r="AL191" i="5"/>
  <c r="AP191" i="5"/>
  <c r="AP421" i="5"/>
  <c r="AP162" i="5"/>
  <c r="AK131" i="5"/>
  <c r="AL131" i="5"/>
  <c r="AK171" i="5"/>
  <c r="AP171" i="5"/>
  <c r="AL171" i="5"/>
  <c r="AL195" i="5"/>
  <c r="AK195" i="5"/>
  <c r="AP195" i="5"/>
  <c r="AK467" i="5"/>
  <c r="AL467" i="5"/>
  <c r="AP467" i="5"/>
  <c r="AK403" i="5"/>
  <c r="AL403" i="5"/>
  <c r="AP403" i="5"/>
  <c r="AL272" i="5"/>
  <c r="AK272" i="5"/>
  <c r="AP272" i="5"/>
  <c r="AL299" i="5"/>
  <c r="AK299" i="5"/>
  <c r="AK239" i="5"/>
  <c r="AL239" i="5"/>
  <c r="AL291" i="5"/>
  <c r="AK291" i="5"/>
  <c r="AK487" i="5"/>
  <c r="AL487" i="5"/>
  <c r="AK515" i="5"/>
  <c r="AL515" i="5"/>
  <c r="AP515" i="5"/>
  <c r="AP264" i="5"/>
  <c r="AL163" i="5"/>
  <c r="AK163" i="5"/>
  <c r="AP163" i="5"/>
  <c r="AP97" i="5"/>
  <c r="AK507" i="5"/>
  <c r="AL507" i="5"/>
  <c r="AP507" i="5"/>
  <c r="AL524" i="5"/>
  <c r="AK524" i="5"/>
  <c r="AL210" i="5"/>
  <c r="AK210" i="5"/>
  <c r="AL522" i="5"/>
  <c r="AK522" i="5"/>
  <c r="AK410" i="5"/>
  <c r="AL410" i="5"/>
  <c r="AL302" i="5"/>
  <c r="AK302" i="5"/>
  <c r="AL67" i="5"/>
  <c r="AK67" i="5"/>
  <c r="AP67" i="5"/>
  <c r="AP425" i="5"/>
  <c r="AK425" i="5"/>
  <c r="AL425" i="5"/>
  <c r="AK426" i="5"/>
  <c r="AL426" i="5"/>
  <c r="AK142" i="5"/>
  <c r="AL142" i="5"/>
  <c r="AK529" i="5"/>
  <c r="AL529" i="5"/>
  <c r="AP529" i="5"/>
  <c r="AP537" i="5"/>
  <c r="AL537" i="5"/>
  <c r="AK537" i="5"/>
  <c r="AL190" i="5"/>
  <c r="AK190" i="5"/>
  <c r="AK161" i="5"/>
  <c r="AL161" i="5"/>
  <c r="AP161" i="5"/>
  <c r="AL544" i="5"/>
  <c r="AK544" i="5"/>
  <c r="AL259" i="5"/>
  <c r="AK259" i="5"/>
  <c r="AK206" i="5"/>
  <c r="AL206" i="5"/>
  <c r="AP206" i="5"/>
  <c r="AL53" i="5"/>
  <c r="AK53" i="5"/>
  <c r="AP53" i="5"/>
  <c r="AK499" i="5"/>
  <c r="AL499" i="5"/>
  <c r="AL337" i="5"/>
  <c r="AK337" i="5"/>
  <c r="AL139" i="5"/>
  <c r="AK139" i="5"/>
  <c r="AP139" i="5"/>
  <c r="AL551" i="5"/>
  <c r="AK551" i="5"/>
  <c r="AL440" i="5"/>
  <c r="AP440" i="5"/>
  <c r="AK440" i="5"/>
  <c r="AK331" i="5"/>
  <c r="AL331" i="5"/>
  <c r="AP331" i="5"/>
  <c r="AK94" i="5"/>
  <c r="AL94" i="5"/>
  <c r="AK93" i="5"/>
  <c r="AL93" i="5"/>
  <c r="AK404" i="5"/>
  <c r="AL404" i="5"/>
  <c r="AL372" i="5"/>
  <c r="AK372" i="5"/>
  <c r="AL232" i="5"/>
  <c r="AK232" i="5"/>
  <c r="AL57" i="5"/>
  <c r="AP57" i="5"/>
  <c r="AK57" i="5"/>
  <c r="AK436" i="5"/>
  <c r="AL436" i="5"/>
  <c r="AK274" i="5"/>
  <c r="AL274" i="5"/>
  <c r="AK278" i="5"/>
  <c r="AL278" i="5"/>
  <c r="AK158" i="5"/>
  <c r="AL158" i="5"/>
  <c r="AK22" i="5"/>
  <c r="AL22" i="5"/>
  <c r="AK484" i="5"/>
  <c r="AL484" i="5"/>
  <c r="AP484" i="5"/>
  <c r="AK282" i="5"/>
  <c r="AP282" i="5"/>
  <c r="AL282" i="5"/>
  <c r="AK170" i="5"/>
  <c r="AL170" i="5"/>
  <c r="AP170" i="5"/>
  <c r="AK45" i="5"/>
  <c r="AL45" i="5"/>
  <c r="AL417" i="5"/>
  <c r="AK417" i="5"/>
  <c r="AK349" i="5"/>
  <c r="AP349" i="5"/>
  <c r="AL349" i="5"/>
  <c r="AK257" i="5"/>
  <c r="AL257" i="5"/>
  <c r="AL186" i="5"/>
  <c r="AK186" i="5"/>
  <c r="AP186" i="5"/>
  <c r="AP50" i="5"/>
  <c r="AL50" i="5"/>
  <c r="AK50" i="5"/>
  <c r="AK517" i="5"/>
  <c r="AL517" i="5"/>
  <c r="AK342" i="5"/>
  <c r="AL342" i="5"/>
  <c r="AP342" i="5"/>
  <c r="AL218" i="5"/>
  <c r="AK218" i="5"/>
  <c r="AK101" i="5"/>
  <c r="AL101" i="5"/>
  <c r="AK213" i="5"/>
  <c r="AP213" i="5"/>
  <c r="AL213" i="5"/>
  <c r="AL188" i="5"/>
  <c r="AP188" i="5"/>
  <c r="AK188" i="5"/>
  <c r="AL33" i="5"/>
  <c r="AP33" i="5"/>
  <c r="AK33" i="5"/>
  <c r="AP31" i="5"/>
  <c r="AP499" i="5"/>
  <c r="AK281" i="5"/>
  <c r="AL281" i="5"/>
  <c r="AK120" i="5"/>
  <c r="AL120" i="5"/>
  <c r="AP120" i="5"/>
  <c r="AK159" i="5"/>
  <c r="AL159" i="5"/>
  <c r="AK383" i="5"/>
  <c r="AL383" i="5"/>
  <c r="AK533" i="5"/>
  <c r="AL533" i="5"/>
  <c r="AM81" i="4"/>
  <c r="AN81" i="4" s="1"/>
  <c r="W81" i="4"/>
  <c r="Y81" i="4" s="1"/>
  <c r="Z81" i="4" s="1"/>
  <c r="AP299" i="5"/>
  <c r="AM13" i="4" l="1"/>
  <c r="AN13" i="4" s="1"/>
  <c r="W138" i="4"/>
  <c r="Y138" i="4" s="1"/>
  <c r="Z138" i="4" s="1"/>
  <c r="AF138" i="4" s="1"/>
  <c r="W80" i="4"/>
  <c r="Y80" i="4" s="1"/>
  <c r="Z80" i="4" s="1"/>
  <c r="AF80" i="4" s="1"/>
  <c r="W53" i="4"/>
  <c r="Y53" i="4" s="1"/>
  <c r="Z53" i="4" s="1"/>
  <c r="AF53" i="4" s="1"/>
  <c r="AO53" i="4" s="1"/>
  <c r="AM65" i="4"/>
  <c r="AN65" i="4" s="1"/>
  <c r="AM82" i="4"/>
  <c r="AN82" i="4" s="1"/>
  <c r="AM68" i="4"/>
  <c r="AN68" i="4" s="1"/>
  <c r="AM95" i="4"/>
  <c r="AN95" i="4" s="1"/>
  <c r="Z33" i="4"/>
  <c r="AF33" i="4" s="1"/>
  <c r="W90" i="4"/>
  <c r="Y90" i="4" s="1"/>
  <c r="Z90" i="4" s="1"/>
  <c r="AF90" i="4" s="1"/>
  <c r="AM108" i="4"/>
  <c r="AN108" i="4" s="1"/>
  <c r="AM44" i="4"/>
  <c r="AN44" i="4" s="1"/>
  <c r="AM71" i="4"/>
  <c r="AN71" i="4" s="1"/>
  <c r="W149" i="4"/>
  <c r="Y149" i="4" s="1"/>
  <c r="Z149" i="4" s="1"/>
  <c r="AF149" i="4" s="1"/>
  <c r="AO149" i="4" s="1"/>
  <c r="AM92" i="4"/>
  <c r="AN92" i="4" s="1"/>
  <c r="W51" i="4"/>
  <c r="Y51" i="4" s="1"/>
  <c r="Z51" i="4" s="1"/>
  <c r="AM32" i="4"/>
  <c r="AN32" i="4" s="1"/>
  <c r="W93" i="4"/>
  <c r="Y93" i="4" s="1"/>
  <c r="Z93" i="4" s="1"/>
  <c r="AM17" i="4"/>
  <c r="AN17" i="4" s="1"/>
  <c r="W85" i="4"/>
  <c r="Y85" i="4" s="1"/>
  <c r="Z85" i="4" s="1"/>
  <c r="AF85" i="4" s="1"/>
  <c r="AG85" i="4" s="1"/>
  <c r="AI85" i="4" s="1"/>
  <c r="W153" i="4"/>
  <c r="Y153" i="4" s="1"/>
  <c r="Z153" i="4" s="1"/>
  <c r="Z56" i="4"/>
  <c r="AF56" i="4" s="1"/>
  <c r="AJ150" i="4"/>
  <c r="W64" i="4"/>
  <c r="X64" i="4" s="1"/>
  <c r="AJ64" i="4" s="1"/>
  <c r="W124" i="4"/>
  <c r="Y124" i="4" s="1"/>
  <c r="Z124" i="4" s="1"/>
  <c r="Z92" i="4"/>
  <c r="AF92" i="4" s="1"/>
  <c r="Z27" i="4"/>
  <c r="AF27" i="4" s="1"/>
  <c r="AG27" i="4" s="1"/>
  <c r="AI27" i="4" s="1"/>
  <c r="Z139" i="4"/>
  <c r="AF139" i="4" s="1"/>
  <c r="AO139" i="4" s="1"/>
  <c r="Z50" i="4"/>
  <c r="AF50" i="4" s="1"/>
  <c r="AM86" i="4"/>
  <c r="AN86" i="4" s="1"/>
  <c r="Z107" i="4"/>
  <c r="AF107" i="4" s="1"/>
  <c r="Z65" i="4"/>
  <c r="AF65" i="4" s="1"/>
  <c r="AM120" i="4"/>
  <c r="AN120" i="4" s="1"/>
  <c r="AM107" i="4"/>
  <c r="AN107" i="4" s="1"/>
  <c r="AM139" i="4"/>
  <c r="AN139" i="4" s="1"/>
  <c r="W88" i="4"/>
  <c r="Y88" i="4" s="1"/>
  <c r="Z88" i="4" s="1"/>
  <c r="AF88" i="4" s="1"/>
  <c r="AM23" i="4"/>
  <c r="AN23" i="4" s="1"/>
  <c r="W131" i="4"/>
  <c r="Y131" i="4" s="1"/>
  <c r="Z131" i="4" s="1"/>
  <c r="AF131" i="4" s="1"/>
  <c r="AM27" i="4"/>
  <c r="AN27" i="4" s="1"/>
  <c r="W42" i="4"/>
  <c r="Y42" i="4" s="1"/>
  <c r="Z42" i="4" s="1"/>
  <c r="AF42" i="4" s="1"/>
  <c r="AM87" i="4"/>
  <c r="AN87" i="4" s="1"/>
  <c r="W28" i="4"/>
  <c r="Y28" i="4" s="1"/>
  <c r="Z28" i="4" s="1"/>
  <c r="AF28" i="4" s="1"/>
  <c r="Z108" i="4"/>
  <c r="AF108" i="4" s="1"/>
  <c r="AG108" i="4" s="1"/>
  <c r="AI108" i="4" s="1"/>
  <c r="Z82" i="4"/>
  <c r="AF82" i="4" s="1"/>
  <c r="AO82" i="4" s="1"/>
  <c r="Z122" i="4"/>
  <c r="AF122" i="4" s="1"/>
  <c r="Z78" i="4"/>
  <c r="AF78" i="4" s="1"/>
  <c r="AG78" i="4" s="1"/>
  <c r="AI78" i="4" s="1"/>
  <c r="AM78" i="4"/>
  <c r="AN78" i="4" s="1"/>
  <c r="W136" i="4"/>
  <c r="Y136" i="4" s="1"/>
  <c r="Z136" i="4" s="1"/>
  <c r="AF136" i="4" s="1"/>
  <c r="AG136" i="4" s="1"/>
  <c r="AI136" i="4" s="1"/>
  <c r="W99" i="4"/>
  <c r="Y99" i="4" s="1"/>
  <c r="Z99" i="4" s="1"/>
  <c r="AF99" i="4" s="1"/>
  <c r="AM122" i="4"/>
  <c r="AN122" i="4" s="1"/>
  <c r="Z44" i="4"/>
  <c r="AF44" i="4" s="1"/>
  <c r="Z121" i="4"/>
  <c r="AF121" i="4" s="1"/>
  <c r="AM45" i="4"/>
  <c r="AN45" i="4" s="1"/>
  <c r="AJ54" i="4"/>
  <c r="AM40" i="4"/>
  <c r="AN40" i="4" s="1"/>
  <c r="Z13" i="4"/>
  <c r="AF13" i="4" s="1"/>
  <c r="AN77" i="4"/>
  <c r="W118" i="4"/>
  <c r="Y118" i="4" s="1"/>
  <c r="Z118" i="4" s="1"/>
  <c r="AF118" i="4" s="1"/>
  <c r="AG118" i="4" s="1"/>
  <c r="AI118" i="4" s="1"/>
  <c r="AM150" i="4"/>
  <c r="AN150" i="4" s="1"/>
  <c r="W19" i="4"/>
  <c r="Y19" i="4" s="1"/>
  <c r="Z19" i="4" s="1"/>
  <c r="AF19" i="4" s="1"/>
  <c r="AO19" i="4" s="1"/>
  <c r="AJ126" i="4"/>
  <c r="Z70" i="4"/>
  <c r="AF70" i="4" s="1"/>
  <c r="Z71" i="4"/>
  <c r="AF71" i="4" s="1"/>
  <c r="AO71" i="4" s="1"/>
  <c r="AM41" i="4"/>
  <c r="AN41" i="4" s="1"/>
  <c r="AM126" i="4"/>
  <c r="AN126" i="4" s="1"/>
  <c r="W31" i="4"/>
  <c r="Y31" i="4" s="1"/>
  <c r="Z31" i="4" s="1"/>
  <c r="AF31" i="4" s="1"/>
  <c r="AG31" i="4" s="1"/>
  <c r="AI31" i="4" s="1"/>
  <c r="AQ192" i="5"/>
  <c r="AQ304" i="5"/>
  <c r="AQ43" i="5"/>
  <c r="AR105" i="5"/>
  <c r="AR333" i="5"/>
  <c r="AR552" i="5"/>
  <c r="AR346" i="5"/>
  <c r="AQ273" i="5"/>
  <c r="AQ217" i="5"/>
  <c r="AQ485" i="5"/>
  <c r="AQ159" i="5"/>
  <c r="AR387" i="5"/>
  <c r="AQ245" i="5"/>
  <c r="AR486" i="5"/>
  <c r="AQ527" i="5"/>
  <c r="AQ51" i="5"/>
  <c r="AR300" i="5"/>
  <c r="X12" i="5"/>
  <c r="AR348" i="5"/>
  <c r="AQ350" i="5"/>
  <c r="AR405" i="5"/>
  <c r="AR157" i="5"/>
  <c r="AQ340" i="5"/>
  <c r="AR25" i="5"/>
  <c r="AQ250" i="5"/>
  <c r="AQ214" i="5"/>
  <c r="AR434" i="5"/>
  <c r="AR359" i="5"/>
  <c r="AR199" i="5"/>
  <c r="AI12" i="5"/>
  <c r="AR189" i="5"/>
  <c r="AR118" i="5"/>
  <c r="AQ521" i="5"/>
  <c r="AR560" i="5"/>
  <c r="AQ536" i="5"/>
  <c r="AR252" i="5"/>
  <c r="AQ290" i="5"/>
  <c r="AQ313" i="5"/>
  <c r="AQ178" i="5"/>
  <c r="AQ307" i="5"/>
  <c r="AQ234" i="5"/>
  <c r="AQ147" i="5"/>
  <c r="AQ212" i="5"/>
  <c r="AR202" i="5"/>
  <c r="AQ283" i="5"/>
  <c r="AQ225" i="5"/>
  <c r="AP12" i="5"/>
  <c r="AR12" i="5" s="1"/>
  <c r="AQ314" i="5"/>
  <c r="AR450" i="5"/>
  <c r="AQ335" i="5"/>
  <c r="AQ182" i="5"/>
  <c r="AL12" i="5"/>
  <c r="AQ93" i="5"/>
  <c r="AR72" i="5"/>
  <c r="AQ187" i="5"/>
  <c r="AQ270" i="5"/>
  <c r="AR394" i="5"/>
  <c r="AQ520" i="5"/>
  <c r="AQ497" i="5"/>
  <c r="AQ402" i="5"/>
  <c r="AN12" i="5"/>
  <c r="AR437" i="5"/>
  <c r="AR386" i="5"/>
  <c r="AR281" i="5"/>
  <c r="AR506" i="5"/>
  <c r="AQ133" i="5"/>
  <c r="AQ544" i="5"/>
  <c r="AQ396" i="5"/>
  <c r="AR382" i="5"/>
  <c r="AQ24" i="5"/>
  <c r="AR176" i="5"/>
  <c r="AR332" i="5"/>
  <c r="AQ216" i="5"/>
  <c r="AR398" i="5"/>
  <c r="AQ306" i="5"/>
  <c r="AQ47" i="5"/>
  <c r="AR410" i="5"/>
  <c r="AQ356" i="5"/>
  <c r="AR166" i="5"/>
  <c r="S12" i="5"/>
  <c r="AQ383" i="5"/>
  <c r="AQ129" i="5"/>
  <c r="AQ379" i="5"/>
  <c r="AR65" i="5"/>
  <c r="AQ173" i="5"/>
  <c r="AQ141" i="5"/>
  <c r="AQ110" i="5"/>
  <c r="AR354" i="5"/>
  <c r="AQ539" i="5"/>
  <c r="AQ491" i="5"/>
  <c r="AR390" i="5"/>
  <c r="AQ26" i="5"/>
  <c r="AQ38" i="5"/>
  <c r="AR237" i="5"/>
  <c r="AR205" i="5"/>
  <c r="AR64" i="5"/>
  <c r="AR380" i="5"/>
  <c r="AQ528" i="5"/>
  <c r="AR222" i="5"/>
  <c r="AR524" i="5"/>
  <c r="AR175" i="5"/>
  <c r="AQ326" i="5"/>
  <c r="AR153" i="5"/>
  <c r="AQ169" i="5"/>
  <c r="AQ338" i="5"/>
  <c r="AR58" i="5"/>
  <c r="AR267" i="5"/>
  <c r="AR262" i="5"/>
  <c r="AR465" i="5"/>
  <c r="AQ548" i="5"/>
  <c r="AR512" i="5"/>
  <c r="AR148" i="5"/>
  <c r="AQ454" i="5"/>
  <c r="AQ48" i="5"/>
  <c r="AR371" i="5"/>
  <c r="AR483" i="5"/>
  <c r="AQ540" i="5"/>
  <c r="AR92" i="5"/>
  <c r="AQ287" i="5"/>
  <c r="AR492" i="5"/>
  <c r="AQ227" i="5"/>
  <c r="AQ109" i="5"/>
  <c r="AR69" i="5"/>
  <c r="AQ78" i="5"/>
  <c r="AR119" i="5"/>
  <c r="AQ127" i="5"/>
  <c r="AR130" i="5"/>
  <c r="AR510" i="5"/>
  <c r="AR418" i="5"/>
  <c r="AR522" i="5"/>
  <c r="AP10" i="5"/>
  <c r="AQ10" i="5" s="1"/>
  <c r="AQ355" i="5"/>
  <c r="AQ135" i="5"/>
  <c r="AQ146" i="5"/>
  <c r="AQ238" i="5"/>
  <c r="AQ460" i="5"/>
  <c r="AQ428" i="5"/>
  <c r="AR496" i="5"/>
  <c r="AR470" i="5"/>
  <c r="AR557" i="5"/>
  <c r="AQ404" i="5"/>
  <c r="AQ301" i="5"/>
  <c r="AQ372" i="5"/>
  <c r="AR516" i="5"/>
  <c r="AR324" i="5"/>
  <c r="AR556" i="5"/>
  <c r="AR312" i="5"/>
  <c r="AQ112" i="5"/>
  <c r="AR365" i="5"/>
  <c r="AR461" i="5"/>
  <c r="AR477" i="5"/>
  <c r="AR451" i="5"/>
  <c r="AR432" i="5"/>
  <c r="AR494" i="5"/>
  <c r="AQ345" i="5"/>
  <c r="AR558" i="5"/>
  <c r="W119" i="4"/>
  <c r="Y119" i="4" s="1"/>
  <c r="Z119" i="4" s="1"/>
  <c r="AF119" i="4" s="1"/>
  <c r="W146" i="4"/>
  <c r="Y146" i="4" s="1"/>
  <c r="Z146" i="4" s="1"/>
  <c r="AM103" i="4"/>
  <c r="AN103" i="4" s="1"/>
  <c r="W55" i="4"/>
  <c r="Y55" i="4" s="1"/>
  <c r="Z55" i="4" s="1"/>
  <c r="AF55" i="4" s="1"/>
  <c r="AM60" i="4"/>
  <c r="AN60" i="4" s="1"/>
  <c r="W137" i="4"/>
  <c r="X137" i="4" s="1"/>
  <c r="AJ137" i="4" s="1"/>
  <c r="W47" i="4"/>
  <c r="Y47" i="4" s="1"/>
  <c r="Z47" i="4" s="1"/>
  <c r="W9" i="4"/>
  <c r="Y9" i="4" s="1"/>
  <c r="Z9" i="4" s="1"/>
  <c r="AF9" i="4" s="1"/>
  <c r="AO9" i="4" s="1"/>
  <c r="AM89" i="4"/>
  <c r="AN89" i="4" s="1"/>
  <c r="W114" i="4"/>
  <c r="Y114" i="4" s="1"/>
  <c r="Z114" i="4" s="1"/>
  <c r="AF114" i="4" s="1"/>
  <c r="AO114" i="4" s="1"/>
  <c r="AM97" i="4"/>
  <c r="AN97" i="4" s="1"/>
  <c r="Z40" i="4"/>
  <c r="AF40" i="4" s="1"/>
  <c r="AG40" i="4" s="1"/>
  <c r="AI40" i="4" s="1"/>
  <c r="AM98" i="4"/>
  <c r="AN98" i="4" s="1"/>
  <c r="Z98" i="4"/>
  <c r="AF98" i="4" s="1"/>
  <c r="AG98" i="4" s="1"/>
  <c r="AI98" i="4" s="1"/>
  <c r="Z96" i="4"/>
  <c r="AF96" i="4" s="1"/>
  <c r="AO96" i="4" s="1"/>
  <c r="X98" i="4"/>
  <c r="AJ98" i="4" s="1"/>
  <c r="AM110" i="4"/>
  <c r="AN110" i="4" s="1"/>
  <c r="W48" i="4"/>
  <c r="Y48" i="4" s="1"/>
  <c r="Z48" i="4" s="1"/>
  <c r="AF48" i="4" s="1"/>
  <c r="AE98" i="4"/>
  <c r="Z111" i="4"/>
  <c r="AF111" i="4" s="1"/>
  <c r="AM38" i="4"/>
  <c r="AN38" i="4" s="1"/>
  <c r="AM111" i="4"/>
  <c r="AN111" i="4" s="1"/>
  <c r="AJ73" i="4"/>
  <c r="Z110" i="4"/>
  <c r="AF110" i="4" s="1"/>
  <c r="W143" i="4"/>
  <c r="Y143" i="4" s="1"/>
  <c r="Z143" i="4" s="1"/>
  <c r="W29" i="4"/>
  <c r="Y29" i="4" s="1"/>
  <c r="Z29" i="4" s="1"/>
  <c r="W147" i="4"/>
  <c r="Y147" i="4" s="1"/>
  <c r="Z147" i="4" s="1"/>
  <c r="W112" i="4"/>
  <c r="Y112" i="4" s="1"/>
  <c r="Z112" i="4" s="1"/>
  <c r="AF112" i="4" s="1"/>
  <c r="AO112" i="4" s="1"/>
  <c r="W25" i="4"/>
  <c r="Y25" i="4" s="1"/>
  <c r="Z25" i="4" s="1"/>
  <c r="AF25" i="4" s="1"/>
  <c r="AG25" i="4" s="1"/>
  <c r="AI25" i="4" s="1"/>
  <c r="W74" i="4"/>
  <c r="Y74" i="4" s="1"/>
  <c r="Z74" i="4" s="1"/>
  <c r="AF74" i="4" s="1"/>
  <c r="AG74" i="4" s="1"/>
  <c r="AI74" i="4" s="1"/>
  <c r="W156" i="4"/>
  <c r="Y156" i="4" s="1"/>
  <c r="Z156" i="4" s="1"/>
  <c r="AF156" i="4" s="1"/>
  <c r="AN157" i="4"/>
  <c r="W36" i="4"/>
  <c r="Y36" i="4" s="1"/>
  <c r="Z36" i="4" s="1"/>
  <c r="AF36" i="4" s="1"/>
  <c r="AG36" i="4" s="1"/>
  <c r="AI36" i="4" s="1"/>
  <c r="W75" i="4"/>
  <c r="Y75" i="4" s="1"/>
  <c r="Z75" i="4" s="1"/>
  <c r="AF75" i="4" s="1"/>
  <c r="AO75" i="4" s="1"/>
  <c r="AM102" i="4"/>
  <c r="AN102" i="4" s="1"/>
  <c r="Z89" i="4"/>
  <c r="AF89" i="4" s="1"/>
  <c r="AO89" i="4" s="1"/>
  <c r="W69" i="4"/>
  <c r="Y69" i="4" s="1"/>
  <c r="Z69" i="4" s="1"/>
  <c r="AN118" i="4"/>
  <c r="AM116" i="4"/>
  <c r="AN116" i="4" s="1"/>
  <c r="W100" i="4"/>
  <c r="X100" i="4" s="1"/>
  <c r="AJ100" i="4" s="1"/>
  <c r="W106" i="4"/>
  <c r="Y106" i="4" s="1"/>
  <c r="Z106" i="4" s="1"/>
  <c r="AF106" i="4" s="1"/>
  <c r="AO106" i="4" s="1"/>
  <c r="W30" i="4"/>
  <c r="Y30" i="4" s="1"/>
  <c r="Z30" i="4" s="1"/>
  <c r="AF30" i="4" s="1"/>
  <c r="AO30" i="4" s="1"/>
  <c r="W91" i="4"/>
  <c r="X91" i="4" s="1"/>
  <c r="AJ91" i="4" s="1"/>
  <c r="W49" i="4"/>
  <c r="Y49" i="4" s="1"/>
  <c r="Z49" i="4" s="1"/>
  <c r="AF49" i="4" s="1"/>
  <c r="AO49" i="4" s="1"/>
  <c r="W11" i="4"/>
  <c r="Y11" i="4" s="1"/>
  <c r="Z11" i="4" s="1"/>
  <c r="AF11" i="4" s="1"/>
  <c r="W123" i="4"/>
  <c r="Y123" i="4" s="1"/>
  <c r="Z123" i="4" s="1"/>
  <c r="W63" i="4"/>
  <c r="AE63" i="4" s="1"/>
  <c r="AQ218" i="5"/>
  <c r="AR81" i="5"/>
  <c r="AR134" i="5"/>
  <c r="AR244" i="5"/>
  <c r="Z16" i="4"/>
  <c r="AF16" i="4" s="1"/>
  <c r="Z102" i="4"/>
  <c r="AF102" i="4" s="1"/>
  <c r="AO102" i="4" s="1"/>
  <c r="W7" i="4"/>
  <c r="AE7" i="4" s="1"/>
  <c r="W76" i="4"/>
  <c r="X76" i="4" s="1"/>
  <c r="AJ76" i="4" s="1"/>
  <c r="W127" i="4"/>
  <c r="AE127" i="4" s="1"/>
  <c r="AM52" i="4"/>
  <c r="AN52" i="4" s="1"/>
  <c r="W18" i="4"/>
  <c r="Y18" i="4" s="1"/>
  <c r="Z18" i="4" s="1"/>
  <c r="AF18" i="4" s="1"/>
  <c r="Z97" i="4"/>
  <c r="AF97" i="4" s="1"/>
  <c r="AO97" i="4" s="1"/>
  <c r="AM70" i="4"/>
  <c r="AN70" i="4" s="1"/>
  <c r="W35" i="4"/>
  <c r="X35" i="4" s="1"/>
  <c r="AJ35" i="4" s="1"/>
  <c r="AR535" i="5"/>
  <c r="AQ476" i="5"/>
  <c r="AR517" i="5"/>
  <c r="AR406" i="5"/>
  <c r="AR498" i="5"/>
  <c r="AQ104" i="5"/>
  <c r="AR330" i="5"/>
  <c r="AQ79" i="5"/>
  <c r="AQ184" i="5"/>
  <c r="AR384" i="5"/>
  <c r="AR426" i="5"/>
  <c r="AQ30" i="5"/>
  <c r="AR165" i="5"/>
  <c r="AR34" i="5"/>
  <c r="AQ318" i="5"/>
  <c r="AQ87" i="5"/>
  <c r="AR260" i="5"/>
  <c r="AQ23" i="5"/>
  <c r="AR551" i="5"/>
  <c r="AQ444" i="5"/>
  <c r="AQ530" i="5"/>
  <c r="AR321" i="5"/>
  <c r="AQ158" i="5"/>
  <c r="AR417" i="5"/>
  <c r="AQ302" i="5"/>
  <c r="AR70" i="5"/>
  <c r="AQ211" i="5"/>
  <c r="AN105" i="4"/>
  <c r="AC546" i="5"/>
  <c r="AD546" i="5" s="1"/>
  <c r="AC523" i="5"/>
  <c r="AE523" i="5" s="1"/>
  <c r="AC459" i="5"/>
  <c r="AD459" i="5" s="1"/>
  <c r="AC206" i="5"/>
  <c r="AS206" i="5" s="1"/>
  <c r="AL9" i="5"/>
  <c r="Z87" i="4"/>
  <c r="AF87" i="4" s="1"/>
  <c r="AO87" i="4" s="1"/>
  <c r="AC379" i="5"/>
  <c r="AE379" i="5" s="1"/>
  <c r="AC392" i="5"/>
  <c r="AS392" i="5" s="1"/>
  <c r="AC371" i="5"/>
  <c r="AE371" i="5" s="1"/>
  <c r="AC522" i="5"/>
  <c r="AS522" i="5" s="1"/>
  <c r="AC512" i="5"/>
  <c r="AS512" i="5" s="1"/>
  <c r="AC429" i="5"/>
  <c r="AS429" i="5" s="1"/>
  <c r="Z117" i="4"/>
  <c r="AF117" i="4" s="1"/>
  <c r="AC160" i="5"/>
  <c r="AS160" i="5" s="1"/>
  <c r="AB288" i="5"/>
  <c r="AC234" i="5"/>
  <c r="AD234" i="5" s="1"/>
  <c r="AC525" i="5"/>
  <c r="AE525" i="5" s="1"/>
  <c r="AC426" i="5"/>
  <c r="AD426" i="5" s="1"/>
  <c r="AC534" i="5"/>
  <c r="AD534" i="5" s="1"/>
  <c r="AC432" i="5"/>
  <c r="AS432" i="5" s="1"/>
  <c r="AC221" i="5"/>
  <c r="AS221" i="5" s="1"/>
  <c r="AC121" i="5"/>
  <c r="AS121" i="5" s="1"/>
  <c r="AC537" i="5"/>
  <c r="AE537" i="5" s="1"/>
  <c r="V11" i="5"/>
  <c r="AC80" i="5"/>
  <c r="AS80" i="5" s="1"/>
  <c r="AC23" i="5"/>
  <c r="AD23" i="5" s="1"/>
  <c r="AC530" i="5"/>
  <c r="AD530" i="5" s="1"/>
  <c r="AC289" i="5"/>
  <c r="AD289" i="5" s="1"/>
  <c r="AC264" i="5"/>
  <c r="AE264" i="5" s="1"/>
  <c r="AC446" i="5"/>
  <c r="AD446" i="5" s="1"/>
  <c r="AC117" i="5"/>
  <c r="AS117" i="5" s="1"/>
  <c r="AC97" i="5"/>
  <c r="AD97" i="5" s="1"/>
  <c r="AC105" i="5"/>
  <c r="AE105" i="5" s="1"/>
  <c r="B35" i="2"/>
  <c r="AC376" i="5"/>
  <c r="AD376" i="5" s="1"/>
  <c r="AC508" i="5"/>
  <c r="AE508" i="5" s="1"/>
  <c r="AC184" i="5"/>
  <c r="AD184" i="5" s="1"/>
  <c r="AQ77" i="5"/>
  <c r="AQ457" i="5"/>
  <c r="AR493" i="5"/>
  <c r="AR117" i="5"/>
  <c r="AQ22" i="5"/>
  <c r="AR422" i="5"/>
  <c r="AR20" i="5"/>
  <c r="AR284" i="5"/>
  <c r="AQ360" i="5"/>
  <c r="AR138" i="5"/>
  <c r="AR447" i="5"/>
  <c r="AQ37" i="5"/>
  <c r="AQ142" i="5"/>
  <c r="AQ229" i="5"/>
  <c r="AR233" i="5"/>
  <c r="AR258" i="5"/>
  <c r="AQ525" i="5"/>
  <c r="AQ239" i="5"/>
  <c r="AQ276" i="5"/>
  <c r="AQ42" i="5"/>
  <c r="AQ54" i="5"/>
  <c r="AR144" i="5"/>
  <c r="AR364" i="5"/>
  <c r="AQ219" i="5"/>
  <c r="AR463" i="5"/>
  <c r="K29" i="2"/>
  <c r="K30" i="2" s="1"/>
  <c r="AC463" i="5"/>
  <c r="AE463" i="5" s="1"/>
  <c r="AA445" i="5"/>
  <c r="W37" i="4"/>
  <c r="X37" i="4" s="1"/>
  <c r="AJ37" i="4" s="1"/>
  <c r="AR462" i="5"/>
  <c r="AQ21" i="5"/>
  <c r="AR448" i="5"/>
  <c r="AQ488" i="5"/>
  <c r="AR126" i="5"/>
  <c r="AR495" i="5"/>
  <c r="AR131" i="5"/>
  <c r="R31" i="2"/>
  <c r="S31" i="2" s="1"/>
  <c r="Q31" i="2"/>
  <c r="P31" i="2" s="1"/>
  <c r="AR378" i="5"/>
  <c r="AR255" i="5"/>
  <c r="AQ542" i="5"/>
  <c r="AR194" i="5"/>
  <c r="AQ190" i="5"/>
  <c r="AQ370" i="5"/>
  <c r="AQ257" i="5"/>
  <c r="AA97" i="5"/>
  <c r="AR368" i="5"/>
  <c r="AR45" i="5"/>
  <c r="AR232" i="5"/>
  <c r="AQ545" i="5"/>
  <c r="AR82" i="5"/>
  <c r="AR56" i="5"/>
  <c r="AM117" i="4"/>
  <c r="AN117" i="4" s="1"/>
  <c r="W46" i="4"/>
  <c r="Y46" i="4" s="1"/>
  <c r="Z46" i="4" s="1"/>
  <c r="AF46" i="4" s="1"/>
  <c r="AG46" i="4" s="1"/>
  <c r="AI46" i="4" s="1"/>
  <c r="W145" i="4"/>
  <c r="Y145" i="4" s="1"/>
  <c r="Z145" i="4" s="1"/>
  <c r="AF145" i="4" s="1"/>
  <c r="AA297" i="5"/>
  <c r="AB261" i="5"/>
  <c r="AA363" i="5"/>
  <c r="AC520" i="5"/>
  <c r="AS520" i="5" s="1"/>
  <c r="AC359" i="5"/>
  <c r="AD359" i="5" s="1"/>
  <c r="AB80" i="5"/>
  <c r="AC386" i="5"/>
  <c r="AS386" i="5" s="1"/>
  <c r="AA265" i="5"/>
  <c r="AB447" i="5"/>
  <c r="AB19" i="5"/>
  <c r="AB247" i="5"/>
  <c r="AB208" i="5"/>
  <c r="AB532" i="5"/>
  <c r="AB217" i="5"/>
  <c r="AA27" i="5"/>
  <c r="W20" i="4"/>
  <c r="X20" i="4" s="1"/>
  <c r="AJ20" i="4" s="1"/>
  <c r="AA7" i="5"/>
  <c r="AC265" i="5"/>
  <c r="AE265" i="5" s="1"/>
  <c r="AC540" i="5"/>
  <c r="AE540" i="5" s="1"/>
  <c r="AB529" i="5"/>
  <c r="AA540" i="5"/>
  <c r="AB560" i="5"/>
  <c r="AC470" i="5"/>
  <c r="AE470" i="5" s="1"/>
  <c r="AC460" i="5"/>
  <c r="AS460" i="5" s="1"/>
  <c r="AC138" i="5"/>
  <c r="AE138" i="5" s="1"/>
  <c r="AA550" i="5"/>
  <c r="AB293" i="5"/>
  <c r="AA551" i="5"/>
  <c r="Z115" i="4"/>
  <c r="AF115" i="4" s="1"/>
  <c r="AC31" i="5"/>
  <c r="AE31" i="5" s="1"/>
  <c r="AA26" i="5"/>
  <c r="AM16" i="4"/>
  <c r="AN16" i="4" s="1"/>
  <c r="AB301" i="5"/>
  <c r="AA283" i="5"/>
  <c r="AB254" i="5"/>
  <c r="AA116" i="5"/>
  <c r="AA405" i="5"/>
  <c r="AA142" i="5"/>
  <c r="AB150" i="5"/>
  <c r="AJ157" i="4"/>
  <c r="AM128" i="4"/>
  <c r="AN128" i="4" s="1"/>
  <c r="Z43" i="4"/>
  <c r="AF43" i="4" s="1"/>
  <c r="AO43" i="4" s="1"/>
  <c r="AB169" i="5"/>
  <c r="AB379" i="5"/>
  <c r="AB42" i="5"/>
  <c r="AB196" i="5"/>
  <c r="AB403" i="5"/>
  <c r="AB487" i="5"/>
  <c r="AB189" i="5"/>
  <c r="AA36" i="5"/>
  <c r="AA502" i="5"/>
  <c r="AB537" i="5"/>
  <c r="AA514" i="5"/>
  <c r="AB121" i="5"/>
  <c r="AB151" i="5"/>
  <c r="AA106" i="5"/>
  <c r="AA48" i="5"/>
  <c r="AA53" i="5"/>
  <c r="AM134" i="4"/>
  <c r="AN134" i="4" s="1"/>
  <c r="AA523" i="5"/>
  <c r="AB335" i="5"/>
  <c r="AB390" i="5"/>
  <c r="AA63" i="5"/>
  <c r="AB93" i="5"/>
  <c r="W61" i="4"/>
  <c r="Y61" i="4" s="1"/>
  <c r="Z61" i="4" s="1"/>
  <c r="AF61" i="4" s="1"/>
  <c r="AG61" i="4" s="1"/>
  <c r="AI61" i="4" s="1"/>
  <c r="AB262" i="5"/>
  <c r="AA90" i="5"/>
  <c r="AC277" i="5"/>
  <c r="AE277" i="5" s="1"/>
  <c r="AC306" i="5"/>
  <c r="AE306" i="5" s="1"/>
  <c r="AC38" i="5"/>
  <c r="AS38" i="5" s="1"/>
  <c r="AA263" i="5"/>
  <c r="AB235" i="5"/>
  <c r="AA343" i="5"/>
  <c r="AM56" i="4"/>
  <c r="AN56" i="4" s="1"/>
  <c r="AB331" i="5"/>
  <c r="W15" i="4"/>
  <c r="Y15" i="4" s="1"/>
  <c r="Z15" i="4" s="1"/>
  <c r="AF15" i="4" s="1"/>
  <c r="AA256" i="5"/>
  <c r="AB498" i="5"/>
  <c r="AB298" i="5"/>
  <c r="AC208" i="5"/>
  <c r="AS208" i="5" s="1"/>
  <c r="AC365" i="5"/>
  <c r="AS365" i="5" s="1"/>
  <c r="AC280" i="5"/>
  <c r="AS280" i="5" s="1"/>
  <c r="AC353" i="5"/>
  <c r="AE353" i="5" s="1"/>
  <c r="AC213" i="5"/>
  <c r="AD213" i="5" s="1"/>
  <c r="AC194" i="5"/>
  <c r="AE194" i="5" s="1"/>
  <c r="AA289" i="5"/>
  <c r="AA462" i="5"/>
  <c r="AB202" i="5"/>
  <c r="AA213" i="5"/>
  <c r="AC42" i="5"/>
  <c r="AD42" i="5" s="1"/>
  <c r="AC216" i="5"/>
  <c r="AS216" i="5" s="1"/>
  <c r="AC325" i="5"/>
  <c r="AE325" i="5" s="1"/>
  <c r="AB179" i="5"/>
  <c r="AA495" i="5"/>
  <c r="AC417" i="5"/>
  <c r="AS417" i="5" s="1"/>
  <c r="AC451" i="5"/>
  <c r="AE451" i="5" s="1"/>
  <c r="AC332" i="5"/>
  <c r="AS332" i="5" s="1"/>
  <c r="AB356" i="5"/>
  <c r="AB371" i="5"/>
  <c r="AB359" i="5"/>
  <c r="AB522" i="5"/>
  <c r="AB161" i="5"/>
  <c r="AB309" i="5"/>
  <c r="AA424" i="5"/>
  <c r="AA244" i="5"/>
  <c r="AC361" i="5"/>
  <c r="AE361" i="5" s="1"/>
  <c r="AC425" i="5"/>
  <c r="AD425" i="5" s="1"/>
  <c r="AC297" i="5"/>
  <c r="AD297" i="5" s="1"/>
  <c r="AC333" i="5"/>
  <c r="AS333" i="5" s="1"/>
  <c r="AC244" i="5"/>
  <c r="AE244" i="5" s="1"/>
  <c r="AC532" i="5"/>
  <c r="AD532" i="5" s="1"/>
  <c r="AC552" i="5"/>
  <c r="AD552" i="5" s="1"/>
  <c r="AC294" i="5"/>
  <c r="AS294" i="5" s="1"/>
  <c r="AA442" i="5"/>
  <c r="AA194" i="5"/>
  <c r="AA428" i="5"/>
  <c r="AA333" i="5"/>
  <c r="AC76" i="5"/>
  <c r="AD76" i="5" s="1"/>
  <c r="AC500" i="5"/>
  <c r="AS500" i="5" s="1"/>
  <c r="AC298" i="5"/>
  <c r="AS298" i="5" s="1"/>
  <c r="AC197" i="5"/>
  <c r="AE197" i="5" s="1"/>
  <c r="AC261" i="5"/>
  <c r="AS261" i="5" s="1"/>
  <c r="AA494" i="5"/>
  <c r="AA251" i="5"/>
  <c r="AB25" i="5"/>
  <c r="AB417" i="5"/>
  <c r="AC483" i="5"/>
  <c r="AD483" i="5" s="1"/>
  <c r="AC517" i="5"/>
  <c r="AD517" i="5" s="1"/>
  <c r="AC148" i="5"/>
  <c r="AD148" i="5" s="1"/>
  <c r="AC363" i="5"/>
  <c r="AE363" i="5" s="1"/>
  <c r="AC462" i="5"/>
  <c r="AD462" i="5" s="1"/>
  <c r="AC46" i="5"/>
  <c r="AE46" i="5" s="1"/>
  <c r="AC54" i="5"/>
  <c r="AS54" i="5" s="1"/>
  <c r="AU54" i="5" s="1"/>
  <c r="AC356" i="5"/>
  <c r="AS356" i="5" s="1"/>
  <c r="AC279" i="5"/>
  <c r="AS279" i="5" s="1"/>
  <c r="AC25" i="5"/>
  <c r="AD25" i="5" s="1"/>
  <c r="AB332" i="5"/>
  <c r="AA276" i="5"/>
  <c r="AC495" i="5"/>
  <c r="AS495" i="5" s="1"/>
  <c r="AC309" i="5"/>
  <c r="AD309" i="5" s="1"/>
  <c r="AC494" i="5"/>
  <c r="AD494" i="5" s="1"/>
  <c r="AC314" i="5"/>
  <c r="AD314" i="5" s="1"/>
  <c r="AC422" i="5"/>
  <c r="AS422" i="5" s="1"/>
  <c r="AC202" i="5"/>
  <c r="AS202" i="5" s="1"/>
  <c r="AU202" i="5" s="1"/>
  <c r="AC518" i="5"/>
  <c r="AE518" i="5" s="1"/>
  <c r="AC248" i="5"/>
  <c r="AD248" i="5" s="1"/>
  <c r="AB469" i="5"/>
  <c r="AA221" i="5"/>
  <c r="AB421" i="5"/>
  <c r="AB327" i="5"/>
  <c r="AA475" i="5"/>
  <c r="AB220" i="5"/>
  <c r="AB463" i="5"/>
  <c r="AC478" i="5"/>
  <c r="AE478" i="5" s="1"/>
  <c r="AC366" i="5"/>
  <c r="AE366" i="5" s="1"/>
  <c r="AC327" i="5"/>
  <c r="AE327" i="5" s="1"/>
  <c r="AM43" i="4"/>
  <c r="AN43" i="4" s="1"/>
  <c r="AC180" i="5"/>
  <c r="AS180" i="5" s="1"/>
  <c r="AA149" i="5"/>
  <c r="AB426" i="5"/>
  <c r="AB274" i="5"/>
  <c r="W142" i="4"/>
  <c r="Y142" i="4" s="1"/>
  <c r="Z142" i="4" s="1"/>
  <c r="AB366" i="5"/>
  <c r="AA304" i="5"/>
  <c r="AB94" i="5"/>
  <c r="W57" i="4"/>
  <c r="Y57" i="4" s="1"/>
  <c r="Z57" i="4" s="1"/>
  <c r="AF57" i="4" s="1"/>
  <c r="AC469" i="5"/>
  <c r="AE469" i="5" s="1"/>
  <c r="AC241" i="5"/>
  <c r="AS241" i="5" s="1"/>
  <c r="AC142" i="5"/>
  <c r="AS142" i="5" s="1"/>
  <c r="AC237" i="5"/>
  <c r="AS237" i="5" s="1"/>
  <c r="AC283" i="5"/>
  <c r="AE283" i="5" s="1"/>
  <c r="AC304" i="5"/>
  <c r="AS304" i="5" s="1"/>
  <c r="AC477" i="5"/>
  <c r="AD477" i="5" s="1"/>
  <c r="AB416" i="5"/>
  <c r="AA539" i="5"/>
  <c r="AC267" i="5"/>
  <c r="AE267" i="5" s="1"/>
  <c r="AC220" i="5"/>
  <c r="AD220" i="5" s="1"/>
  <c r="AC482" i="5"/>
  <c r="AS482" i="5" s="1"/>
  <c r="AC122" i="5"/>
  <c r="AD122" i="5" s="1"/>
  <c r="AC22" i="5"/>
  <c r="AD22" i="5" s="1"/>
  <c r="AB133" i="5"/>
  <c r="AA59" i="5"/>
  <c r="AB429" i="5"/>
  <c r="AC341" i="5"/>
  <c r="AS341" i="5" s="1"/>
  <c r="AC101" i="5"/>
  <c r="AS101" i="5" s="1"/>
  <c r="AC374" i="5"/>
  <c r="AE374" i="5" s="1"/>
  <c r="AC165" i="5"/>
  <c r="AS165" i="5" s="1"/>
  <c r="AC504" i="5"/>
  <c r="AE504" i="5" s="1"/>
  <c r="AB351" i="5"/>
  <c r="AC405" i="5"/>
  <c r="AD405" i="5" s="1"/>
  <c r="AC26" i="5"/>
  <c r="AE26" i="5" s="1"/>
  <c r="AC416" i="5"/>
  <c r="AD416" i="5" s="1"/>
  <c r="AC150" i="5"/>
  <c r="AE150" i="5" s="1"/>
  <c r="AA241" i="5"/>
  <c r="AC351" i="5"/>
  <c r="AD351" i="5" s="1"/>
  <c r="AC551" i="5"/>
  <c r="AD551" i="5" s="1"/>
  <c r="AC94" i="5"/>
  <c r="AE94" i="5" s="1"/>
  <c r="AC476" i="5"/>
  <c r="AD476" i="5" s="1"/>
  <c r="AC254" i="5"/>
  <c r="AS254" i="5" s="1"/>
  <c r="AC133" i="5"/>
  <c r="AS133" i="5" s="1"/>
  <c r="AC274" i="5"/>
  <c r="AS274" i="5" s="1"/>
  <c r="AC301" i="5"/>
  <c r="AE301" i="5" s="1"/>
  <c r="AC421" i="5"/>
  <c r="AE421" i="5" s="1"/>
  <c r="AC116" i="5"/>
  <c r="AE116" i="5" s="1"/>
  <c r="AC475" i="5"/>
  <c r="AE475" i="5" s="1"/>
  <c r="AC438" i="5"/>
  <c r="AE438" i="5" s="1"/>
  <c r="AA260" i="5"/>
  <c r="AB546" i="5"/>
  <c r="AB545" i="5"/>
  <c r="AC222" i="5"/>
  <c r="AD222" i="5" s="1"/>
  <c r="AC434" i="5"/>
  <c r="AS434" i="5" s="1"/>
  <c r="AC158" i="5"/>
  <c r="AE158" i="5" s="1"/>
  <c r="AC360" i="5"/>
  <c r="AE360" i="5" s="1"/>
  <c r="AC496" i="5"/>
  <c r="AD496" i="5" s="1"/>
  <c r="AC232" i="5"/>
  <c r="AS232" i="5" s="1"/>
  <c r="AA222" i="5"/>
  <c r="AB132" i="5"/>
  <c r="AB360" i="5"/>
  <c r="AA137" i="5"/>
  <c r="AB368" i="5"/>
  <c r="AB174" i="5"/>
  <c r="AC50" i="5"/>
  <c r="AE50" i="5" s="1"/>
  <c r="AC200" i="5"/>
  <c r="AD200" i="5" s="1"/>
  <c r="AC132" i="5"/>
  <c r="AE132" i="5" s="1"/>
  <c r="AB278" i="5"/>
  <c r="AC59" i="5"/>
  <c r="AS59" i="5" s="1"/>
  <c r="AA376" i="5"/>
  <c r="AB31" i="5"/>
  <c r="AA499" i="5"/>
  <c r="W125" i="4"/>
  <c r="Y125" i="4" s="1"/>
  <c r="Z125" i="4" s="1"/>
  <c r="W14" i="4"/>
  <c r="Y14" i="4" s="1"/>
  <c r="Z14" i="4" s="1"/>
  <c r="AC174" i="5"/>
  <c r="AE174" i="5" s="1"/>
  <c r="AC238" i="5"/>
  <c r="AE238" i="5" s="1"/>
  <c r="AC137" i="5"/>
  <c r="AD137" i="5" s="1"/>
  <c r="AC114" i="5"/>
  <c r="AE114" i="5" s="1"/>
  <c r="AC354" i="5"/>
  <c r="AD354" i="5" s="1"/>
  <c r="AC168" i="5"/>
  <c r="AE168" i="5" s="1"/>
  <c r="AA168" i="5"/>
  <c r="AA50" i="5"/>
  <c r="AA114" i="5"/>
  <c r="AA438" i="5"/>
  <c r="AC58" i="5"/>
  <c r="AD58" i="5" s="1"/>
  <c r="AC120" i="5"/>
  <c r="AD120" i="5" s="1"/>
  <c r="AC140" i="5"/>
  <c r="AD140" i="5" s="1"/>
  <c r="AA543" i="5"/>
  <c r="AB354" i="5"/>
  <c r="AA160" i="5"/>
  <c r="AB452" i="5"/>
  <c r="AB259" i="5"/>
  <c r="AA140" i="5"/>
  <c r="AC278" i="5"/>
  <c r="AS278" i="5" s="1"/>
  <c r="AU278" i="5" s="1"/>
  <c r="AC556" i="5"/>
  <c r="AE556" i="5" s="1"/>
  <c r="AC259" i="5"/>
  <c r="AE259" i="5" s="1"/>
  <c r="AC295" i="5"/>
  <c r="AE295" i="5" s="1"/>
  <c r="AC479" i="5"/>
  <c r="AS479" i="5" s="1"/>
  <c r="AC68" i="5"/>
  <c r="AD68" i="5" s="1"/>
  <c r="AC262" i="5"/>
  <c r="AS262" i="5" s="1"/>
  <c r="AC21" i="5"/>
  <c r="AE21" i="5" s="1"/>
  <c r="AC260" i="5"/>
  <c r="AS260" i="5" s="1"/>
  <c r="AC511" i="5"/>
  <c r="AE511" i="5" s="1"/>
  <c r="AC65" i="5"/>
  <c r="AD65" i="5" s="1"/>
  <c r="AC343" i="5"/>
  <c r="AS343" i="5" s="1"/>
  <c r="AC243" i="5"/>
  <c r="AD243" i="5" s="1"/>
  <c r="AC73" i="5"/>
  <c r="AE73" i="5" s="1"/>
  <c r="AC502" i="5"/>
  <c r="AD502" i="5" s="1"/>
  <c r="AC543" i="5"/>
  <c r="AS543" i="5" s="1"/>
  <c r="AC440" i="5"/>
  <c r="AE440" i="5" s="1"/>
  <c r="AC452" i="5"/>
  <c r="AE452" i="5" s="1"/>
  <c r="AC499" i="5"/>
  <c r="AS499" i="5" s="1"/>
  <c r="AC36" i="5"/>
  <c r="AD36" i="5" s="1"/>
  <c r="AB49" i="5"/>
  <c r="AC155" i="5"/>
  <c r="AE155" i="5" s="1"/>
  <c r="AC217" i="5"/>
  <c r="AE217" i="5" s="1"/>
  <c r="AC188" i="5"/>
  <c r="AD188" i="5" s="1"/>
  <c r="AC390" i="5"/>
  <c r="AD390" i="5" s="1"/>
  <c r="AC226" i="5"/>
  <c r="AE226" i="5" s="1"/>
  <c r="AC173" i="5"/>
  <c r="AS173" i="5" s="1"/>
  <c r="AC106" i="5"/>
  <c r="AD106" i="5" s="1"/>
  <c r="AC514" i="5"/>
  <c r="AE514" i="5" s="1"/>
  <c r="AC27" i="5"/>
  <c r="AE27" i="5" s="1"/>
  <c r="AC40" i="5"/>
  <c r="AS40" i="5" s="1"/>
  <c r="AC223" i="5"/>
  <c r="AS223" i="5" s="1"/>
  <c r="AC181" i="5"/>
  <c r="AS181" i="5" s="1"/>
  <c r="AC151" i="5"/>
  <c r="AS151" i="5" s="1"/>
  <c r="AC399" i="5"/>
  <c r="AS399" i="5" s="1"/>
  <c r="AC310" i="5"/>
  <c r="AE310" i="5" s="1"/>
  <c r="AC345" i="5"/>
  <c r="AE345" i="5" s="1"/>
  <c r="AC505" i="5"/>
  <c r="AD505" i="5" s="1"/>
  <c r="AA223" i="5"/>
  <c r="AA188" i="5"/>
  <c r="AB431" i="5"/>
  <c r="AB181" i="5"/>
  <c r="AA275" i="5"/>
  <c r="AC127" i="5"/>
  <c r="AS127" i="5" s="1"/>
  <c r="AU127" i="5" s="1"/>
  <c r="AC136" i="5"/>
  <c r="AS136" i="5" s="1"/>
  <c r="AC126" i="5"/>
  <c r="AE126" i="5" s="1"/>
  <c r="AC544" i="5"/>
  <c r="AS544" i="5" s="1"/>
  <c r="AC48" i="5"/>
  <c r="AE48" i="5" s="1"/>
  <c r="AC275" i="5"/>
  <c r="AS275" i="5" s="1"/>
  <c r="AC112" i="5"/>
  <c r="AS112" i="5" s="1"/>
  <c r="AC473" i="5"/>
  <c r="AD473" i="5" s="1"/>
  <c r="AC143" i="5"/>
  <c r="AD143" i="5" s="1"/>
  <c r="AC104" i="5"/>
  <c r="AE104" i="5" s="1"/>
  <c r="AA544" i="5"/>
  <c r="AA119" i="5"/>
  <c r="AB166" i="5"/>
  <c r="AC335" i="5"/>
  <c r="AE335" i="5" s="1"/>
  <c r="AC245" i="5"/>
  <c r="AE245" i="5" s="1"/>
  <c r="AC214" i="5"/>
  <c r="AD214" i="5" s="1"/>
  <c r="AC342" i="5"/>
  <c r="AS342" i="5" s="1"/>
  <c r="AB226" i="5"/>
  <c r="AB112" i="5"/>
  <c r="AB430" i="5"/>
  <c r="AC349" i="5"/>
  <c r="AD349" i="5" s="1"/>
  <c r="AC383" i="5"/>
  <c r="AE383" i="5" s="1"/>
  <c r="AC466" i="5"/>
  <c r="AE466" i="5" s="1"/>
  <c r="AC119" i="5"/>
  <c r="AE119" i="5" s="1"/>
  <c r="AC12" i="5"/>
  <c r="AD12" i="5" s="1"/>
  <c r="AB103" i="5"/>
  <c r="AC350" i="5"/>
  <c r="AE350" i="5" s="1"/>
  <c r="AC24" i="5"/>
  <c r="AD24" i="5" s="1"/>
  <c r="AC378" i="5"/>
  <c r="AD378" i="5" s="1"/>
  <c r="AC492" i="5"/>
  <c r="AE492" i="5" s="1"/>
  <c r="AC210" i="5"/>
  <c r="AD210" i="5" s="1"/>
  <c r="AA303" i="5"/>
  <c r="AB91" i="5"/>
  <c r="W66" i="4"/>
  <c r="Y66" i="4" s="1"/>
  <c r="Z66" i="4" s="1"/>
  <c r="AC111" i="5"/>
  <c r="AD111" i="5" s="1"/>
  <c r="AC239" i="5"/>
  <c r="AE239" i="5" s="1"/>
  <c r="AC32" i="5"/>
  <c r="AE32" i="5" s="1"/>
  <c r="AA64" i="5"/>
  <c r="AA387" i="5"/>
  <c r="AC55" i="5"/>
  <c r="AE55" i="5" s="1"/>
  <c r="AC77" i="5"/>
  <c r="AE77" i="5" s="1"/>
  <c r="AC113" i="5"/>
  <c r="AD113" i="5" s="1"/>
  <c r="AC369" i="5"/>
  <c r="AE369" i="5" s="1"/>
  <c r="AA404" i="5"/>
  <c r="AB86" i="5"/>
  <c r="AA55" i="5"/>
  <c r="AB203" i="5"/>
  <c r="AC269" i="5"/>
  <c r="AS269" i="5" s="1"/>
  <c r="AC468" i="5"/>
  <c r="AD468" i="5" s="1"/>
  <c r="AB436" i="5"/>
  <c r="AA32" i="5"/>
  <c r="AA111" i="5"/>
  <c r="AC303" i="5"/>
  <c r="AS303" i="5" s="1"/>
  <c r="AC49" i="5"/>
  <c r="AD49" i="5" s="1"/>
  <c r="AC103" i="5"/>
  <c r="AD103" i="5" s="1"/>
  <c r="AC404" i="5"/>
  <c r="AD404" i="5" s="1"/>
  <c r="AA321" i="5"/>
  <c r="AC166" i="5"/>
  <c r="AD166" i="5" s="1"/>
  <c r="AB105" i="5"/>
  <c r="AA296" i="5"/>
  <c r="AA175" i="5"/>
  <c r="AC441" i="5"/>
  <c r="AE441" i="5" s="1"/>
  <c r="AC62" i="5"/>
  <c r="AD62" i="5" s="1"/>
  <c r="AC536" i="5"/>
  <c r="AS536" i="5" s="1"/>
  <c r="AC83" i="5"/>
  <c r="AS83" i="5" s="1"/>
  <c r="AC75" i="5"/>
  <c r="AD75" i="5" s="1"/>
  <c r="AC385" i="5"/>
  <c r="AE385" i="5" s="1"/>
  <c r="AA375" i="5"/>
  <c r="AA329" i="5"/>
  <c r="AA336" i="5"/>
  <c r="AA402" i="5"/>
  <c r="AB401" i="5"/>
  <c r="AA441" i="5"/>
  <c r="AB525" i="5"/>
  <c r="AC515" i="5"/>
  <c r="AS515" i="5" s="1"/>
  <c r="AC189" i="5"/>
  <c r="AS189" i="5" s="1"/>
  <c r="AC313" i="5"/>
  <c r="AD313" i="5" s="1"/>
  <c r="AC203" i="5"/>
  <c r="AS203" i="5" s="1"/>
  <c r="AC472" i="5"/>
  <c r="AE472" i="5" s="1"/>
  <c r="AC186" i="5"/>
  <c r="AD186" i="5" s="1"/>
  <c r="AC134" i="5"/>
  <c r="AE134" i="5" s="1"/>
  <c r="AB396" i="5"/>
  <c r="AA236" i="5"/>
  <c r="AA313" i="5"/>
  <c r="AA205" i="5"/>
  <c r="AB472" i="5"/>
  <c r="AB453" i="5"/>
  <c r="AC403" i="5"/>
  <c r="AD403" i="5" s="1"/>
  <c r="AC541" i="5"/>
  <c r="AD541" i="5" s="1"/>
  <c r="AC300" i="5"/>
  <c r="AD300" i="5" s="1"/>
  <c r="AC34" i="5"/>
  <c r="AS34" i="5" s="1"/>
  <c r="AC44" i="5"/>
  <c r="AD44" i="5" s="1"/>
  <c r="AA62" i="5"/>
  <c r="AA392" i="5"/>
  <c r="AC401" i="5"/>
  <c r="AE401" i="5" s="1"/>
  <c r="AC229" i="5"/>
  <c r="AD229" i="5" s="1"/>
  <c r="AC427" i="5"/>
  <c r="AS427" i="5" s="1"/>
  <c r="AB456" i="5"/>
  <c r="AB171" i="5"/>
  <c r="Y73" i="4"/>
  <c r="Z73" i="4" s="1"/>
  <c r="AA73" i="4" s="1"/>
  <c r="AC73" i="4" s="1"/>
  <c r="AD73" i="4" s="1"/>
  <c r="AC455" i="5"/>
  <c r="AD455" i="5" s="1"/>
  <c r="AC456" i="5"/>
  <c r="AS456" i="5" s="1"/>
  <c r="AC205" i="5"/>
  <c r="AD205" i="5" s="1"/>
  <c r="AC218" i="5"/>
  <c r="AE218" i="5" s="1"/>
  <c r="AC395" i="5"/>
  <c r="AS395" i="5" s="1"/>
  <c r="AC128" i="5"/>
  <c r="AD128" i="5" s="1"/>
  <c r="AC375" i="5"/>
  <c r="AD375" i="5" s="1"/>
  <c r="AE73" i="4"/>
  <c r="AA455" i="5"/>
  <c r="AA60" i="5"/>
  <c r="AB8" i="5"/>
  <c r="AA382" i="5"/>
  <c r="AC329" i="5"/>
  <c r="AS329" i="5" s="1"/>
  <c r="AC302" i="5"/>
  <c r="AE302" i="5" s="1"/>
  <c r="AC171" i="5"/>
  <c r="AS171" i="5" s="1"/>
  <c r="AC450" i="5"/>
  <c r="AS450" i="5" s="1"/>
  <c r="AC336" i="5"/>
  <c r="AD336" i="5" s="1"/>
  <c r="AC60" i="5"/>
  <c r="AD60" i="5" s="1"/>
  <c r="AC381" i="5"/>
  <c r="AS381" i="5" s="1"/>
  <c r="AC236" i="5"/>
  <c r="AE236" i="5" s="1"/>
  <c r="AC402" i="5"/>
  <c r="AD402" i="5" s="1"/>
  <c r="AC145" i="5"/>
  <c r="AD145" i="5" s="1"/>
  <c r="AC433" i="5"/>
  <c r="AS433" i="5" s="1"/>
  <c r="AC453" i="5"/>
  <c r="AE453" i="5" s="1"/>
  <c r="AC382" i="5"/>
  <c r="AD382" i="5" s="1"/>
  <c r="W135" i="4"/>
  <c r="Y135" i="4" s="1"/>
  <c r="Z135" i="4" s="1"/>
  <c r="AN11" i="5"/>
  <c r="AC125" i="5"/>
  <c r="AS125" i="5" s="1"/>
  <c r="AC513" i="5"/>
  <c r="AE513" i="5" s="1"/>
  <c r="AC377" i="5"/>
  <c r="AD377" i="5" s="1"/>
  <c r="AC29" i="5"/>
  <c r="AE29" i="5" s="1"/>
  <c r="AC129" i="5"/>
  <c r="AD129" i="5" s="1"/>
  <c r="AC69" i="5"/>
  <c r="AS69" i="5" s="1"/>
  <c r="AC193" i="5"/>
  <c r="AE193" i="5" s="1"/>
  <c r="AC486" i="5"/>
  <c r="AE486" i="5" s="1"/>
  <c r="AC398" i="5"/>
  <c r="AE398" i="5" s="1"/>
  <c r="AA294" i="5"/>
  <c r="AA69" i="5"/>
  <c r="AA486" i="5"/>
  <c r="AA70" i="5"/>
  <c r="AA548" i="5"/>
  <c r="AC70" i="5"/>
  <c r="AS70" i="5" s="1"/>
  <c r="AC251" i="5"/>
  <c r="AS251" i="5" s="1"/>
  <c r="AC228" i="5"/>
  <c r="AE228" i="5" s="1"/>
  <c r="AC285" i="5"/>
  <c r="AD285" i="5" s="1"/>
  <c r="AC110" i="5"/>
  <c r="AE110" i="5" s="1"/>
  <c r="AC43" i="5"/>
  <c r="AS43" i="5" s="1"/>
  <c r="AB400" i="5"/>
  <c r="AB533" i="5"/>
  <c r="AB513" i="5"/>
  <c r="AB509" i="5"/>
  <c r="AB228" i="5"/>
  <c r="AA29" i="5"/>
  <c r="AM33" i="4"/>
  <c r="AN33" i="4" s="1"/>
  <c r="AC179" i="5"/>
  <c r="AE179" i="5" s="1"/>
  <c r="AC394" i="5"/>
  <c r="AD394" i="5" s="1"/>
  <c r="AC481" i="5"/>
  <c r="AS481" i="5" s="1"/>
  <c r="AC533" i="5"/>
  <c r="AD533" i="5" s="1"/>
  <c r="AC424" i="5"/>
  <c r="AS424" i="5" s="1"/>
  <c r="AC268" i="5"/>
  <c r="AS268" i="5" s="1"/>
  <c r="AC270" i="5"/>
  <c r="AE270" i="5" s="1"/>
  <c r="AB255" i="5"/>
  <c r="AA129" i="5"/>
  <c r="AA394" i="5"/>
  <c r="AB270" i="5"/>
  <c r="AB425" i="5"/>
  <c r="AB491" i="5"/>
  <c r="AH18" i="4"/>
  <c r="AC444" i="5"/>
  <c r="AE444" i="5" s="1"/>
  <c r="AC555" i="5"/>
  <c r="AD555" i="5" s="1"/>
  <c r="AC338" i="5"/>
  <c r="AS338" i="5" s="1"/>
  <c r="AC163" i="5"/>
  <c r="AD163" i="5" s="1"/>
  <c r="AB163" i="5"/>
  <c r="AA157" i="5"/>
  <c r="AC99" i="5"/>
  <c r="AD99" i="5" s="1"/>
  <c r="AC255" i="5"/>
  <c r="AE255" i="5" s="1"/>
  <c r="AC553" i="5"/>
  <c r="AS553" i="5" s="1"/>
  <c r="AC388" i="5"/>
  <c r="AE388" i="5" s="1"/>
  <c r="AC247" i="5"/>
  <c r="AD247" i="5" s="1"/>
  <c r="AC93" i="5"/>
  <c r="AE93" i="5" s="1"/>
  <c r="W12" i="4"/>
  <c r="AE12" i="4" s="1"/>
  <c r="AC509" i="5"/>
  <c r="AD509" i="5" s="1"/>
  <c r="AC157" i="5"/>
  <c r="AD157" i="5" s="1"/>
  <c r="AC90" i="5"/>
  <c r="AE90" i="5" s="1"/>
  <c r="AC153" i="5"/>
  <c r="AD153" i="5" s="1"/>
  <c r="AC35" i="5"/>
  <c r="AD35" i="5" s="1"/>
  <c r="AC548" i="5"/>
  <c r="AE548" i="5" s="1"/>
  <c r="AC53" i="5"/>
  <c r="AE53" i="5" s="1"/>
  <c r="AA43" i="5"/>
  <c r="AA125" i="5"/>
  <c r="AC257" i="5"/>
  <c r="AS257" i="5" s="1"/>
  <c r="AT257" i="5" s="1"/>
  <c r="AC331" i="5"/>
  <c r="AS331" i="5" s="1"/>
  <c r="AC178" i="5"/>
  <c r="AD178" i="5" s="1"/>
  <c r="AC498" i="5"/>
  <c r="AS498" i="5" s="1"/>
  <c r="AC491" i="5"/>
  <c r="AS491" i="5" s="1"/>
  <c r="AC362" i="5"/>
  <c r="AS362" i="5" s="1"/>
  <c r="AC400" i="5"/>
  <c r="AE400" i="5" s="1"/>
  <c r="AC67" i="5"/>
  <c r="AE67" i="5" s="1"/>
  <c r="AC33" i="5"/>
  <c r="AS33" i="5" s="1"/>
  <c r="AC428" i="5"/>
  <c r="AE428" i="5" s="1"/>
  <c r="AC263" i="5"/>
  <c r="AD263" i="5" s="1"/>
  <c r="AB380" i="5"/>
  <c r="AA501" i="5"/>
  <c r="AB471" i="5"/>
  <c r="AB320" i="5"/>
  <c r="AA306" i="5"/>
  <c r="AC141" i="5"/>
  <c r="AD141" i="5" s="1"/>
  <c r="AC198" i="5"/>
  <c r="AD198" i="5" s="1"/>
  <c r="AC183" i="5"/>
  <c r="AS183" i="5" s="1"/>
  <c r="AC465" i="5"/>
  <c r="AS465" i="5" s="1"/>
  <c r="AA118" i="5"/>
  <c r="AB209" i="5"/>
  <c r="AA435" i="5"/>
  <c r="AC82" i="5"/>
  <c r="AE82" i="5" s="1"/>
  <c r="AC253" i="5"/>
  <c r="AS253" i="5" s="1"/>
  <c r="AC380" i="5"/>
  <c r="AS380" i="5" s="1"/>
  <c r="AC291" i="5"/>
  <c r="AE291" i="5" s="1"/>
  <c r="AC209" i="5"/>
  <c r="AD209" i="5" s="1"/>
  <c r="AC293" i="5"/>
  <c r="AE293" i="5" s="1"/>
  <c r="AC560" i="5"/>
  <c r="AE560" i="5" s="1"/>
  <c r="AC384" i="5"/>
  <c r="AD384" i="5" s="1"/>
  <c r="AC175" i="5"/>
  <c r="AS175" i="5" s="1"/>
  <c r="AT175" i="5" s="1"/>
  <c r="AC296" i="5"/>
  <c r="AS296" i="5" s="1"/>
  <c r="AC318" i="5"/>
  <c r="AD318" i="5" s="1"/>
  <c r="AC413" i="5"/>
  <c r="AS413" i="5" s="1"/>
  <c r="AB348" i="5"/>
  <c r="AA108" i="5"/>
  <c r="AC199" i="5"/>
  <c r="AD199" i="5" s="1"/>
  <c r="AA100" i="5"/>
  <c r="AC7" i="5"/>
  <c r="AS7" i="5" s="1"/>
  <c r="AC147" i="5"/>
  <c r="AS147" i="5" s="1"/>
  <c r="AU147" i="5" s="1"/>
  <c r="AC471" i="5"/>
  <c r="AS471" i="5" s="1"/>
  <c r="AC348" i="5"/>
  <c r="AS348" i="5" s="1"/>
  <c r="AC339" i="5"/>
  <c r="AS339" i="5" s="1"/>
  <c r="AC19" i="5"/>
  <c r="AD19" i="5" s="1"/>
  <c r="AC219" i="5"/>
  <c r="AE219" i="5" s="1"/>
  <c r="AC501" i="5"/>
  <c r="AD501" i="5" s="1"/>
  <c r="AC316" i="5"/>
  <c r="AE316" i="5" s="1"/>
  <c r="AB291" i="5"/>
  <c r="AA231" i="5"/>
  <c r="AB460" i="5"/>
  <c r="AA82" i="5"/>
  <c r="AA199" i="5"/>
  <c r="AB521" i="5"/>
  <c r="AA470" i="5"/>
  <c r="AC437" i="5"/>
  <c r="AD437" i="5" s="1"/>
  <c r="AC108" i="5"/>
  <c r="AD108" i="5" s="1"/>
  <c r="AC308" i="5"/>
  <c r="AD308" i="5" s="1"/>
  <c r="AC406" i="5"/>
  <c r="AD406" i="5" s="1"/>
  <c r="AC447" i="5"/>
  <c r="AD447" i="5" s="1"/>
  <c r="AC344" i="5"/>
  <c r="AD344" i="5" s="1"/>
  <c r="AC231" i="5"/>
  <c r="AD231" i="5" s="1"/>
  <c r="AC78" i="5"/>
  <c r="AS78" i="5" s="1"/>
  <c r="AT78" i="5" s="1"/>
  <c r="AB92" i="5"/>
  <c r="AC529" i="5"/>
  <c r="AE529" i="5" s="1"/>
  <c r="AC521" i="5"/>
  <c r="AS521" i="5" s="1"/>
  <c r="AC320" i="5"/>
  <c r="AE320" i="5" s="1"/>
  <c r="AC411" i="5"/>
  <c r="AE411" i="5" s="1"/>
  <c r="AC115" i="5"/>
  <c r="AD115" i="5" s="1"/>
  <c r="AM115" i="4"/>
  <c r="AN115" i="4" s="1"/>
  <c r="AM26" i="4"/>
  <c r="AN26" i="4" s="1"/>
  <c r="W26" i="4"/>
  <c r="AA409" i="5"/>
  <c r="AA414" i="5"/>
  <c r="AC321" i="5"/>
  <c r="AD321" i="5" s="1"/>
  <c r="AC410" i="5"/>
  <c r="AE410" i="5" s="1"/>
  <c r="AC480" i="5"/>
  <c r="AD480" i="5" s="1"/>
  <c r="AC135" i="5"/>
  <c r="AS135" i="5" s="1"/>
  <c r="AC420" i="5"/>
  <c r="AD420" i="5" s="1"/>
  <c r="AC559" i="5"/>
  <c r="AD559" i="5" s="1"/>
  <c r="AC436" i="5"/>
  <c r="AS436" i="5" s="1"/>
  <c r="AA66" i="5"/>
  <c r="AC182" i="5"/>
  <c r="AS182" i="5" s="1"/>
  <c r="AT182" i="5" s="1"/>
  <c r="AC20" i="5"/>
  <c r="AD20" i="5" s="1"/>
  <c r="AC45" i="5"/>
  <c r="AE45" i="5" s="1"/>
  <c r="AC201" i="5"/>
  <c r="AD201" i="5" s="1"/>
  <c r="AC102" i="5"/>
  <c r="AD102" i="5" s="1"/>
  <c r="AC323" i="5"/>
  <c r="AD323" i="5" s="1"/>
  <c r="AC66" i="5"/>
  <c r="AE66" i="5" s="1"/>
  <c r="AC528" i="5"/>
  <c r="AE528" i="5" s="1"/>
  <c r="AA369" i="5"/>
  <c r="AA317" i="5"/>
  <c r="AA410" i="5"/>
  <c r="AC204" i="5"/>
  <c r="AE204" i="5" s="1"/>
  <c r="AC506" i="5"/>
  <c r="AS506" i="5" s="1"/>
  <c r="AC409" i="5"/>
  <c r="AE409" i="5" s="1"/>
  <c r="AA282" i="5"/>
  <c r="AA506" i="5"/>
  <c r="AB135" i="5"/>
  <c r="AA201" i="5"/>
  <c r="AC272" i="5"/>
  <c r="AE272" i="5" s="1"/>
  <c r="AC414" i="5"/>
  <c r="AE414" i="5" s="1"/>
  <c r="AC81" i="5"/>
  <c r="AS81" i="5" s="1"/>
  <c r="AU81" i="5" s="1"/>
  <c r="AC387" i="5"/>
  <c r="AD387" i="5" s="1"/>
  <c r="AC266" i="5"/>
  <c r="AS266" i="5" s="1"/>
  <c r="AC282" i="5"/>
  <c r="AS282" i="5" s="1"/>
  <c r="AC72" i="5"/>
  <c r="AS72" i="5" s="1"/>
  <c r="AU72" i="5" s="1"/>
  <c r="AC558" i="5"/>
  <c r="AD558" i="5" s="1"/>
  <c r="AC317" i="5"/>
  <c r="AS317" i="5" s="1"/>
  <c r="AC240" i="5"/>
  <c r="AD240" i="5" s="1"/>
  <c r="AL11" i="5"/>
  <c r="AE96" i="4"/>
  <c r="X96" i="4"/>
  <c r="AJ96" i="4" s="1"/>
  <c r="AJ77" i="4"/>
  <c r="AO9" i="5"/>
  <c r="W39" i="4"/>
  <c r="X39" i="4" s="1"/>
  <c r="AJ39" i="4" s="1"/>
  <c r="W72" i="4"/>
  <c r="Y72" i="4" s="1"/>
  <c r="Z72" i="4" s="1"/>
  <c r="AF72" i="4" s="1"/>
  <c r="AG72" i="4" s="1"/>
  <c r="AI72" i="4" s="1"/>
  <c r="W22" i="4"/>
  <c r="X22" i="4" s="1"/>
  <c r="AJ22" i="4" s="1"/>
  <c r="AE140" i="4"/>
  <c r="X140" i="4"/>
  <c r="AJ140" i="4" s="1"/>
  <c r="W109" i="4"/>
  <c r="X109" i="4" s="1"/>
  <c r="AJ109" i="4" s="1"/>
  <c r="W129" i="4"/>
  <c r="Y129" i="4" s="1"/>
  <c r="Z129" i="4" s="1"/>
  <c r="AF129" i="4" s="1"/>
  <c r="AP9" i="5"/>
  <c r="AR9" i="5" s="1"/>
  <c r="W148" i="4"/>
  <c r="X148" i="4" s="1"/>
  <c r="AJ148" i="4" s="1"/>
  <c r="AP11" i="5"/>
  <c r="AQ11" i="5" s="1"/>
  <c r="AM121" i="4"/>
  <c r="AN121" i="4" s="1"/>
  <c r="W67" i="4"/>
  <c r="Y67" i="4" s="1"/>
  <c r="Z67" i="4" s="1"/>
  <c r="AM59" i="4"/>
  <c r="AN59" i="4" s="1"/>
  <c r="W59" i="4"/>
  <c r="X59" i="4" s="1"/>
  <c r="AJ59" i="4" s="1"/>
  <c r="AM132" i="4"/>
  <c r="AN132" i="4" s="1"/>
  <c r="W132" i="4"/>
  <c r="AM83" i="4"/>
  <c r="AN83" i="4" s="1"/>
  <c r="W83" i="4"/>
  <c r="AM141" i="4"/>
  <c r="AN141" i="4" s="1"/>
  <c r="W141" i="4"/>
  <c r="AM62" i="4"/>
  <c r="AN62" i="4" s="1"/>
  <c r="W62" i="4"/>
  <c r="AM21" i="4"/>
  <c r="AN21" i="4" s="1"/>
  <c r="W21" i="4"/>
  <c r="AN84" i="4"/>
  <c r="AM79" i="4"/>
  <c r="AN79" i="4" s="1"/>
  <c r="W79" i="4"/>
  <c r="Y79" i="4" s="1"/>
  <c r="Z79" i="4" s="1"/>
  <c r="W24" i="4"/>
  <c r="AM24" i="4"/>
  <c r="AN24" i="4" s="1"/>
  <c r="X105" i="4"/>
  <c r="AJ105" i="4" s="1"/>
  <c r="Y105" i="4"/>
  <c r="Z105" i="4" s="1"/>
  <c r="AE105" i="4"/>
  <c r="AH105" i="4"/>
  <c r="AM133" i="4"/>
  <c r="AN133" i="4" s="1"/>
  <c r="W133" i="4"/>
  <c r="W155" i="4"/>
  <c r="AE155" i="4" s="1"/>
  <c r="AM155" i="4"/>
  <c r="AN155" i="4" s="1"/>
  <c r="AM101" i="4"/>
  <c r="AN101" i="4" s="1"/>
  <c r="W101" i="4"/>
  <c r="AM34" i="4"/>
  <c r="AN34" i="4" s="1"/>
  <c r="W34" i="4"/>
  <c r="AM130" i="4"/>
  <c r="AN130" i="4" s="1"/>
  <c r="W130" i="4"/>
  <c r="Z140" i="4"/>
  <c r="AN143" i="4"/>
  <c r="AM144" i="4"/>
  <c r="AN144" i="4" s="1"/>
  <c r="W144" i="4"/>
  <c r="AN140" i="4"/>
  <c r="W152" i="4"/>
  <c r="Y152" i="4" s="1"/>
  <c r="Z152" i="4" s="1"/>
  <c r="W94" i="4"/>
  <c r="AE94" i="4" s="1"/>
  <c r="AM94" i="4"/>
  <c r="AN94" i="4" s="1"/>
  <c r="AM58" i="4"/>
  <c r="AN58" i="4" s="1"/>
  <c r="W58" i="4"/>
  <c r="AH155" i="4"/>
  <c r="AM10" i="4"/>
  <c r="AN10" i="4" s="1"/>
  <c r="W10" i="4"/>
  <c r="R9" i="5"/>
  <c r="S9" i="5"/>
  <c r="X84" i="4"/>
  <c r="AJ84" i="4" s="1"/>
  <c r="AE84" i="4"/>
  <c r="Y84" i="4"/>
  <c r="Z84" i="4" s="1"/>
  <c r="AI9" i="5"/>
  <c r="AH9" i="5"/>
  <c r="V9" i="5"/>
  <c r="U9" i="5"/>
  <c r="Y9" i="5"/>
  <c r="X9" i="5"/>
  <c r="AE40" i="4"/>
  <c r="AA11" i="5"/>
  <c r="AI11" i="5"/>
  <c r="AH11" i="5"/>
  <c r="S11" i="5"/>
  <c r="R11" i="5"/>
  <c r="X11" i="5"/>
  <c r="Y11" i="5"/>
  <c r="AR327" i="5"/>
  <c r="AR436" i="5"/>
  <c r="AQ438" i="5"/>
  <c r="AQ420" i="5"/>
  <c r="AR381" i="5"/>
  <c r="AQ392" i="5"/>
  <c r="AR261" i="5"/>
  <c r="AR531" i="5"/>
  <c r="AQ259" i="5"/>
  <c r="AR103" i="5"/>
  <c r="AR533" i="5"/>
  <c r="AR274" i="5"/>
  <c r="AQ66" i="5"/>
  <c r="AR474" i="5"/>
  <c r="AQ140" i="5"/>
  <c r="AQ101" i="5"/>
  <c r="AQ487" i="5"/>
  <c r="AR278" i="5"/>
  <c r="AR337" i="5"/>
  <c r="AQ143" i="5"/>
  <c r="AR397" i="5"/>
  <c r="AR226" i="5"/>
  <c r="AR296" i="5"/>
  <c r="AE122" i="4"/>
  <c r="AB128" i="5"/>
  <c r="AA180" i="5"/>
  <c r="AA361" i="5"/>
  <c r="AA338" i="5"/>
  <c r="AB353" i="5"/>
  <c r="AC315" i="5"/>
  <c r="AE315" i="5" s="1"/>
  <c r="AA267" i="5"/>
  <c r="AA253" i="5"/>
  <c r="AB362" i="5"/>
  <c r="AC396" i="5"/>
  <c r="AE396" i="5" s="1"/>
  <c r="AA318" i="5"/>
  <c r="AB511" i="5"/>
  <c r="AC539" i="5"/>
  <c r="AD539" i="5" s="1"/>
  <c r="AB465" i="5"/>
  <c r="AC430" i="5"/>
  <c r="AD430" i="5" s="1"/>
  <c r="AA346" i="5"/>
  <c r="AA281" i="5"/>
  <c r="AC8" i="5"/>
  <c r="AE8" i="5" s="1"/>
  <c r="AA158" i="5"/>
  <c r="AB357" i="5"/>
  <c r="AC290" i="5"/>
  <c r="AS290" i="5" s="1"/>
  <c r="AC305" i="5"/>
  <c r="AS305" i="5" s="1"/>
  <c r="AB206" i="5"/>
  <c r="AB440" i="5"/>
  <c r="AC292" i="5"/>
  <c r="AD292" i="5" s="1"/>
  <c r="AB65" i="5"/>
  <c r="AB214" i="5"/>
  <c r="AB101" i="5"/>
  <c r="AB326" i="5"/>
  <c r="AB253" i="5"/>
  <c r="AB287" i="5"/>
  <c r="AA465" i="5"/>
  <c r="AA295" i="5"/>
  <c r="AC346" i="5"/>
  <c r="AD346" i="5" s="1"/>
  <c r="AA186" i="5"/>
  <c r="AB158" i="5"/>
  <c r="AC407" i="5"/>
  <c r="AD407" i="5" s="1"/>
  <c r="AC357" i="5"/>
  <c r="AE357" i="5" s="1"/>
  <c r="AA290" i="5"/>
  <c r="AA305" i="5"/>
  <c r="AA440" i="5"/>
  <c r="AB292" i="5"/>
  <c r="AA65" i="5"/>
  <c r="AB230" i="5"/>
  <c r="AC326" i="5"/>
  <c r="AD326" i="5" s="1"/>
  <c r="AA353" i="5"/>
  <c r="AB339" i="5"/>
  <c r="AC95" i="5"/>
  <c r="AE95" i="5" s="1"/>
  <c r="AB295" i="5"/>
  <c r="AB186" i="5"/>
  <c r="AA488" i="5"/>
  <c r="AA407" i="5"/>
  <c r="AA427" i="5"/>
  <c r="AA323" i="5"/>
  <c r="AC227" i="5"/>
  <c r="AD227" i="5" s="1"/>
  <c r="AC230" i="5"/>
  <c r="AD230" i="5" s="1"/>
  <c r="AA315" i="5"/>
  <c r="AA245" i="5"/>
  <c r="AC284" i="5"/>
  <c r="AS284" i="5" s="1"/>
  <c r="AC287" i="5"/>
  <c r="AE287" i="5" s="1"/>
  <c r="AC311" i="5"/>
  <c r="AS311" i="5" s="1"/>
  <c r="AC124" i="5"/>
  <c r="AD124" i="5" s="1"/>
  <c r="AA496" i="5"/>
  <c r="AB377" i="5"/>
  <c r="AB245" i="5"/>
  <c r="AC224" i="5"/>
  <c r="AD224" i="5" s="1"/>
  <c r="AA339" i="5"/>
  <c r="AA284" i="5"/>
  <c r="AA95" i="5"/>
  <c r="AA311" i="5"/>
  <c r="AA365" i="5"/>
  <c r="AA391" i="5"/>
  <c r="AC172" i="5"/>
  <c r="AD172" i="5" s="1"/>
  <c r="AB20" i="5"/>
  <c r="AB458" i="5"/>
  <c r="AA127" i="5"/>
  <c r="AA122" i="5"/>
  <c r="AB323" i="5"/>
  <c r="AB496" i="5"/>
  <c r="AA377" i="5"/>
  <c r="AA172" i="5"/>
  <c r="AA197" i="5"/>
  <c r="AB399" i="5"/>
  <c r="AA224" i="5"/>
  <c r="AB365" i="5"/>
  <c r="AC176" i="5"/>
  <c r="AS176" i="5" s="1"/>
  <c r="AC391" i="5"/>
  <c r="AD391" i="5" s="1"/>
  <c r="AC458" i="5"/>
  <c r="AE458" i="5" s="1"/>
  <c r="AB127" i="5"/>
  <c r="AB122" i="5"/>
  <c r="AC435" i="5"/>
  <c r="AE435" i="5" s="1"/>
  <c r="AA176" i="5"/>
  <c r="AA504" i="5"/>
  <c r="AB117" i="5"/>
  <c r="AB124" i="5"/>
  <c r="AA239" i="5"/>
  <c r="AB197" i="5"/>
  <c r="AB45" i="5"/>
  <c r="AC196" i="5"/>
  <c r="AD196" i="5" s="1"/>
  <c r="AA450" i="5"/>
  <c r="AA20" i="5"/>
  <c r="AC442" i="5"/>
  <c r="AD442" i="5" s="1"/>
  <c r="AA269" i="5"/>
  <c r="AB473" i="5"/>
  <c r="AB450" i="5"/>
  <c r="AB165" i="5"/>
  <c r="AB120" i="5"/>
  <c r="AA45" i="5"/>
  <c r="AC423" i="5"/>
  <c r="AD423" i="5" s="1"/>
  <c r="AC490" i="5"/>
  <c r="AD490" i="5" s="1"/>
  <c r="AC355" i="5"/>
  <c r="AD355" i="5" s="1"/>
  <c r="AA300" i="5"/>
  <c r="AB433" i="5"/>
  <c r="AA248" i="5"/>
  <c r="AA252" i="5"/>
  <c r="AA84" i="5"/>
  <c r="AA23" i="5"/>
  <c r="AB427" i="5"/>
  <c r="AA28" i="5"/>
  <c r="AA399" i="5"/>
  <c r="AA87" i="5"/>
  <c r="AA381" i="5"/>
  <c r="AA178" i="5"/>
  <c r="AC28" i="5"/>
  <c r="AE28" i="5" s="1"/>
  <c r="AB178" i="5"/>
  <c r="AA334" i="5"/>
  <c r="AC524" i="5"/>
  <c r="AS524" i="5" s="1"/>
  <c r="AB54" i="5"/>
  <c r="AB143" i="5"/>
  <c r="AB61" i="5"/>
  <c r="AB246" i="5"/>
  <c r="AA21" i="5"/>
  <c r="AA225" i="5"/>
  <c r="AA10" i="5"/>
  <c r="AB341" i="5"/>
  <c r="AB268" i="5"/>
  <c r="AA480" i="5"/>
  <c r="AA434" i="5"/>
  <c r="AA104" i="5"/>
  <c r="AB434" i="5"/>
  <c r="AB280" i="5"/>
  <c r="AB182" i="5"/>
  <c r="AA530" i="5"/>
  <c r="AB542" i="5"/>
  <c r="X40" i="4"/>
  <c r="AJ40" i="4" s="1"/>
  <c r="AE82" i="4"/>
  <c r="AB302" i="5"/>
  <c r="AA310" i="5"/>
  <c r="AB307" i="5"/>
  <c r="AB30" i="5"/>
  <c r="AC187" i="5"/>
  <c r="AS187" i="5" s="1"/>
  <c r="AC167" i="5"/>
  <c r="AS167" i="5" s="1"/>
  <c r="AB508" i="5"/>
  <c r="AC449" i="5"/>
  <c r="AS449" i="5" s="1"/>
  <c r="AB44" i="5"/>
  <c r="AB449" i="5"/>
  <c r="AE71" i="4"/>
  <c r="AB210" i="5"/>
  <c r="AB73" i="5"/>
  <c r="AB279" i="5"/>
  <c r="AB159" i="5"/>
  <c r="AB411" i="5"/>
  <c r="AA383" i="5"/>
  <c r="AA183" i="5"/>
  <c r="AC322" i="5"/>
  <c r="AE322" i="5" s="1"/>
  <c r="AB237" i="5"/>
  <c r="AA73" i="5"/>
  <c r="AA337" i="5"/>
  <c r="AC37" i="5"/>
  <c r="AS37" i="5" s="1"/>
  <c r="AA510" i="5"/>
  <c r="AA152" i="5"/>
  <c r="AC86" i="5"/>
  <c r="AE86" i="5" s="1"/>
  <c r="AA508" i="5"/>
  <c r="AA78" i="5"/>
  <c r="AC79" i="5"/>
  <c r="AD79" i="5" s="1"/>
  <c r="AA162" i="5"/>
  <c r="AB240" i="5"/>
  <c r="AA79" i="5"/>
  <c r="AB378" i="5"/>
  <c r="AB233" i="5"/>
  <c r="AC249" i="5"/>
  <c r="AE249" i="5" s="1"/>
  <c r="AB68" i="5"/>
  <c r="AA190" i="5"/>
  <c r="AA52" i="5"/>
  <c r="AA12" i="5"/>
  <c r="AC177" i="5"/>
  <c r="AD177" i="5" s="1"/>
  <c r="AC211" i="5"/>
  <c r="AE211" i="5" s="1"/>
  <c r="AA227" i="5"/>
  <c r="AA237" i="5"/>
  <c r="AA352" i="5"/>
  <c r="AC233" i="5"/>
  <c r="AE233" i="5" s="1"/>
  <c r="AB249" i="5"/>
  <c r="AA68" i="5"/>
  <c r="AA234" i="5"/>
  <c r="AA177" i="5"/>
  <c r="AB156" i="5"/>
  <c r="AB198" i="5"/>
  <c r="AC419" i="5"/>
  <c r="AD419" i="5" s="1"/>
  <c r="AB211" i="5"/>
  <c r="AB195" i="5"/>
  <c r="AB345" i="5"/>
  <c r="AA378" i="5"/>
  <c r="AC246" i="5"/>
  <c r="AD246" i="5" s="1"/>
  <c r="AB123" i="5"/>
  <c r="AB271" i="5"/>
  <c r="AA56" i="5"/>
  <c r="AC352" i="5"/>
  <c r="AD352" i="5" s="1"/>
  <c r="AC393" i="5"/>
  <c r="AE393" i="5" s="1"/>
  <c r="AB234" i="5"/>
  <c r="AA556" i="5"/>
  <c r="AC330" i="5"/>
  <c r="AE330" i="5" s="1"/>
  <c r="AC156" i="5"/>
  <c r="AD156" i="5" s="1"/>
  <c r="AA164" i="5"/>
  <c r="AB141" i="5"/>
  <c r="AB386" i="5"/>
  <c r="AC195" i="5"/>
  <c r="AE195" i="5" s="1"/>
  <c r="AA552" i="5"/>
  <c r="AA115" i="5"/>
  <c r="AA280" i="5"/>
  <c r="AC123" i="5"/>
  <c r="AS123" i="5" s="1"/>
  <c r="AC271" i="5"/>
  <c r="AD271" i="5" s="1"/>
  <c r="AC56" i="5"/>
  <c r="AE56" i="5" s="1"/>
  <c r="AC159" i="5"/>
  <c r="AS159" i="5" s="1"/>
  <c r="AB393" i="5"/>
  <c r="AA187" i="5"/>
  <c r="AC337" i="5"/>
  <c r="AS337" i="5" s="1"/>
  <c r="AB556" i="5"/>
  <c r="AA44" i="5"/>
  <c r="AB37" i="5"/>
  <c r="AA330" i="5"/>
  <c r="AA218" i="5"/>
  <c r="AB102" i="5"/>
  <c r="AA141" i="5"/>
  <c r="AA167" i="5"/>
  <c r="AA229" i="5"/>
  <c r="AB115" i="5"/>
  <c r="AB77" i="5"/>
  <c r="AB21" i="5"/>
  <c r="AB310" i="5"/>
  <c r="AB218" i="5"/>
  <c r="AA102" i="5"/>
  <c r="AB183" i="5"/>
  <c r="AC30" i="5"/>
  <c r="AD30" i="5" s="1"/>
  <c r="AB322" i="5"/>
  <c r="AC542" i="5"/>
  <c r="AE542" i="5" s="1"/>
  <c r="AB229" i="5"/>
  <c r="AE108" i="4"/>
  <c r="AC162" i="5"/>
  <c r="AD162" i="5" s="1"/>
  <c r="AC52" i="5"/>
  <c r="AD52" i="5" s="1"/>
  <c r="AC307" i="5"/>
  <c r="AE307" i="5" s="1"/>
  <c r="AA182" i="5"/>
  <c r="AC152" i="5"/>
  <c r="AD152" i="5" s="1"/>
  <c r="AA210" i="5"/>
  <c r="AC10" i="5"/>
  <c r="AD10" i="5" s="1"/>
  <c r="AA279" i="5"/>
  <c r="AC190" i="5"/>
  <c r="AD190" i="5" s="1"/>
  <c r="AC225" i="5"/>
  <c r="AE225" i="5" s="1"/>
  <c r="AC96" i="5"/>
  <c r="AE96" i="5" s="1"/>
  <c r="AA240" i="5"/>
  <c r="AC164" i="5"/>
  <c r="AE164" i="5" s="1"/>
  <c r="AB12" i="5"/>
  <c r="AB78" i="5"/>
  <c r="AC299" i="5"/>
  <c r="AD299" i="5" s="1"/>
  <c r="AE70" i="4"/>
  <c r="AA243" i="5"/>
  <c r="AB38" i="5"/>
  <c r="AC63" i="5"/>
  <c r="AS63" i="5" s="1"/>
  <c r="AB154" i="5"/>
  <c r="AB272" i="5"/>
  <c r="AA385" i="5"/>
  <c r="AA492" i="5"/>
  <c r="AA72" i="5"/>
  <c r="AB559" i="5"/>
  <c r="AC250" i="5"/>
  <c r="AD250" i="5" s="1"/>
  <c r="AC131" i="5"/>
  <c r="AD131" i="5" s="1"/>
  <c r="AC64" i="5"/>
  <c r="AD64" i="5" s="1"/>
  <c r="AB67" i="5"/>
  <c r="AB477" i="5"/>
  <c r="AB204" i="5"/>
  <c r="AC516" i="5"/>
  <c r="AE516" i="5" s="1"/>
  <c r="AC347" i="5"/>
  <c r="AS347" i="5" s="1"/>
  <c r="AB99" i="5"/>
  <c r="AC74" i="5"/>
  <c r="AS74" i="5" s="1"/>
  <c r="AC169" i="5"/>
  <c r="AE169" i="5" s="1"/>
  <c r="AB83" i="5"/>
  <c r="AC281" i="5"/>
  <c r="AE281" i="5" s="1"/>
  <c r="AC154" i="5"/>
  <c r="AD154" i="5" s="1"/>
  <c r="AA107" i="5"/>
  <c r="AC146" i="5"/>
  <c r="AS146" i="5" s="1"/>
  <c r="AC98" i="5"/>
  <c r="AD98" i="5" s="1"/>
  <c r="AA559" i="5"/>
  <c r="AB131" i="5"/>
  <c r="AA266" i="5"/>
  <c r="AA204" i="5"/>
  <c r="AC550" i="5"/>
  <c r="AD550" i="5" s="1"/>
  <c r="AA478" i="5"/>
  <c r="AA374" i="5"/>
  <c r="AC11" i="5"/>
  <c r="AA328" i="5"/>
  <c r="AC328" i="5"/>
  <c r="AD328" i="5" s="1"/>
  <c r="AC526" i="5"/>
  <c r="AD526" i="5" s="1"/>
  <c r="AA113" i="5"/>
  <c r="AA500" i="5"/>
  <c r="AA516" i="5"/>
  <c r="AA457" i="5"/>
  <c r="AA541" i="5"/>
  <c r="AB347" i="5"/>
  <c r="AA99" i="5"/>
  <c r="AC273" i="5"/>
  <c r="AE273" i="5" s="1"/>
  <c r="AB74" i="5"/>
  <c r="AA344" i="5"/>
  <c r="AA319" i="5"/>
  <c r="AC107" i="5"/>
  <c r="AD107" i="5" s="1"/>
  <c r="AA146" i="5"/>
  <c r="AB98" i="5"/>
  <c r="AB534" i="5"/>
  <c r="AC139" i="5"/>
  <c r="AE139" i="5" s="1"/>
  <c r="AB419" i="5"/>
  <c r="AC170" i="5"/>
  <c r="AS170" i="5" s="1"/>
  <c r="AB266" i="5"/>
  <c r="AA173" i="5"/>
  <c r="AB96" i="5"/>
  <c r="X102" i="4"/>
  <c r="AJ102" i="4" s="1"/>
  <c r="AC288" i="5"/>
  <c r="AS288" i="5" s="1"/>
  <c r="AB413" i="5"/>
  <c r="AC488" i="5"/>
  <c r="AS488" i="5" s="1"/>
  <c r="AB526" i="5"/>
  <c r="AB113" i="5"/>
  <c r="AB500" i="5"/>
  <c r="AA134" i="5"/>
  <c r="AC457" i="5"/>
  <c r="AD457" i="5" s="1"/>
  <c r="AC71" i="5"/>
  <c r="AE71" i="5" s="1"/>
  <c r="AB541" i="5"/>
  <c r="AA273" i="5"/>
  <c r="AB344" i="5"/>
  <c r="AC258" i="5"/>
  <c r="AS258" i="5" s="1"/>
  <c r="AC319" i="5"/>
  <c r="AS319" i="5" s="1"/>
  <c r="AB39" i="5"/>
  <c r="AA534" i="5"/>
  <c r="AA198" i="5"/>
  <c r="AB139" i="5"/>
  <c r="AA170" i="5"/>
  <c r="AA345" i="5"/>
  <c r="AC370" i="5"/>
  <c r="AS370" i="5" s="1"/>
  <c r="AB71" i="5"/>
  <c r="AC39" i="5"/>
  <c r="AE39" i="5" s="1"/>
  <c r="AA519" i="5"/>
  <c r="AB134" i="5"/>
  <c r="AB432" i="5"/>
  <c r="AC100" i="5"/>
  <c r="AS100" i="5" s="1"/>
  <c r="AA238" i="5"/>
  <c r="AA22" i="5"/>
  <c r="AC85" i="5"/>
  <c r="AS85" i="5" s="1"/>
  <c r="AC235" i="5"/>
  <c r="AE235" i="5" s="1"/>
  <c r="AA444" i="5"/>
  <c r="AC92" i="5"/>
  <c r="AE92" i="5" s="1"/>
  <c r="AC185" i="5"/>
  <c r="AD185" i="5" s="1"/>
  <c r="AA517" i="5"/>
  <c r="AA258" i="5"/>
  <c r="AB370" i="5"/>
  <c r="AC161" i="5"/>
  <c r="AS161" i="5" s="1"/>
  <c r="AA432" i="5"/>
  <c r="AB299" i="5"/>
  <c r="AB22" i="5"/>
  <c r="AB85" i="5"/>
  <c r="AA185" i="5"/>
  <c r="AB238" i="5"/>
  <c r="AA277" i="5"/>
  <c r="AB481" i="5"/>
  <c r="AB466" i="5"/>
  <c r="AC412" i="5"/>
  <c r="AD412" i="5" s="1"/>
  <c r="AB381" i="5"/>
  <c r="AA47" i="5"/>
  <c r="AC464" i="5"/>
  <c r="AS464" i="5" s="1"/>
  <c r="AB248" i="5"/>
  <c r="AA408" i="5"/>
  <c r="AA433" i="5"/>
  <c r="AA349" i="5"/>
  <c r="AB312" i="5"/>
  <c r="AB555" i="5"/>
  <c r="AB443" i="5"/>
  <c r="AA505" i="5"/>
  <c r="AA155" i="5"/>
  <c r="AA512" i="5"/>
  <c r="AC334" i="5"/>
  <c r="AE334" i="5" s="1"/>
  <c r="AA355" i="5"/>
  <c r="AA547" i="5"/>
  <c r="AB451" i="5"/>
  <c r="AB232" i="5"/>
  <c r="AA46" i="5"/>
  <c r="AA420" i="5"/>
  <c r="AB536" i="5"/>
  <c r="AA481" i="5"/>
  <c r="AR210" i="5"/>
  <c r="AQ291" i="5"/>
  <c r="X23" i="4"/>
  <c r="AJ23" i="4" s="1"/>
  <c r="Y23" i="4"/>
  <c r="Z23" i="4" s="1"/>
  <c r="AE23" i="4"/>
  <c r="AN10" i="5"/>
  <c r="AO10" i="5"/>
  <c r="AE52" i="4"/>
  <c r="X52" i="4"/>
  <c r="AJ52" i="4" s="1"/>
  <c r="Y52" i="4"/>
  <c r="Z52" i="4" s="1"/>
  <c r="AA466" i="5"/>
  <c r="AA483" i="5"/>
  <c r="AB483" i="5"/>
  <c r="AC84" i="5"/>
  <c r="AD84" i="5" s="1"/>
  <c r="AB412" i="5"/>
  <c r="AC252" i="5"/>
  <c r="AS252" i="5" s="1"/>
  <c r="AB349" i="5"/>
  <c r="AA555" i="5"/>
  <c r="AB505" i="5"/>
  <c r="AB512" i="5"/>
  <c r="AA490" i="5"/>
  <c r="AA451" i="5"/>
  <c r="AA232" i="5"/>
  <c r="AB46" i="5"/>
  <c r="AA520" i="5"/>
  <c r="AA536" i="5"/>
  <c r="Y103" i="4"/>
  <c r="Z103" i="4" s="1"/>
  <c r="AF103" i="4" s="1"/>
  <c r="AO103" i="4" s="1"/>
  <c r="AE103" i="4"/>
  <c r="X103" i="4"/>
  <c r="AJ103" i="4" s="1"/>
  <c r="Y95" i="4"/>
  <c r="Z95" i="4" s="1"/>
  <c r="AE95" i="4"/>
  <c r="X95" i="4"/>
  <c r="AJ95" i="4" s="1"/>
  <c r="U10" i="5"/>
  <c r="V10" i="5"/>
  <c r="AE126" i="4"/>
  <c r="Y126" i="4"/>
  <c r="Z126" i="4" s="1"/>
  <c r="AE27" i="4"/>
  <c r="X128" i="4"/>
  <c r="AJ128" i="4" s="1"/>
  <c r="Y128" i="4"/>
  <c r="Z128" i="4" s="1"/>
  <c r="AE128" i="4"/>
  <c r="X93" i="4"/>
  <c r="AJ93" i="4" s="1"/>
  <c r="AE93" i="4"/>
  <c r="X45" i="4"/>
  <c r="AJ45" i="4" s="1"/>
  <c r="Y45" i="4"/>
  <c r="Z45" i="4" s="1"/>
  <c r="AF45" i="4" s="1"/>
  <c r="AG45" i="4" s="1"/>
  <c r="AI45" i="4" s="1"/>
  <c r="AE45" i="4"/>
  <c r="AE150" i="4"/>
  <c r="Y150" i="4"/>
  <c r="Z150" i="4" s="1"/>
  <c r="X68" i="4"/>
  <c r="AJ68" i="4" s="1"/>
  <c r="AE68" i="4"/>
  <c r="Y68" i="4"/>
  <c r="Z68" i="4" s="1"/>
  <c r="AF68" i="4" s="1"/>
  <c r="AG68" i="4" s="1"/>
  <c r="AI68" i="4" s="1"/>
  <c r="AH10" i="5"/>
  <c r="AI10" i="5"/>
  <c r="AA89" i="5"/>
  <c r="AA308" i="5"/>
  <c r="AA58" i="5"/>
  <c r="AB493" i="5"/>
  <c r="AA423" i="5"/>
  <c r="AA454" i="5"/>
  <c r="AC358" i="5"/>
  <c r="AE358" i="5" s="1"/>
  <c r="AA418" i="5"/>
  <c r="AA395" i="5"/>
  <c r="AB474" i="5"/>
  <c r="AB524" i="5"/>
  <c r="AC527" i="5"/>
  <c r="AE527" i="5" s="1"/>
  <c r="AA489" i="5"/>
  <c r="AA193" i="5"/>
  <c r="AQ181" i="5"/>
  <c r="X38" i="4"/>
  <c r="AJ38" i="4" s="1"/>
  <c r="Y38" i="4"/>
  <c r="Z38" i="4" s="1"/>
  <c r="AE38" i="4"/>
  <c r="X134" i="4"/>
  <c r="AJ134" i="4" s="1"/>
  <c r="Y134" i="4"/>
  <c r="Z134" i="4" s="1"/>
  <c r="AE134" i="4"/>
  <c r="R10" i="5"/>
  <c r="S10" i="5"/>
  <c r="X44" i="4"/>
  <c r="AE44" i="4"/>
  <c r="AE111" i="4"/>
  <c r="X111" i="4"/>
  <c r="AJ111" i="4" s="1"/>
  <c r="AA286" i="5"/>
  <c r="AB300" i="5"/>
  <c r="AC286" i="5"/>
  <c r="AS286" i="5" s="1"/>
  <c r="AC467" i="5"/>
  <c r="AS467" i="5" s="1"/>
  <c r="AB342" i="5"/>
  <c r="AC89" i="5"/>
  <c r="AD89" i="5" s="1"/>
  <c r="AB439" i="5"/>
  <c r="AB308" i="5"/>
  <c r="AC535" i="5"/>
  <c r="AD535" i="5" s="1"/>
  <c r="AC144" i="5"/>
  <c r="AS144" i="5" s="1"/>
  <c r="AB58" i="5"/>
  <c r="AC397" i="5"/>
  <c r="AS397" i="5" s="1"/>
  <c r="AC493" i="5"/>
  <c r="AD493" i="5" s="1"/>
  <c r="AC454" i="5"/>
  <c r="AS454" i="5" s="1"/>
  <c r="AA324" i="5"/>
  <c r="AA358" i="5"/>
  <c r="AB147" i="5"/>
  <c r="AC418" i="5"/>
  <c r="AD418" i="5" s="1"/>
  <c r="AB395" i="5"/>
  <c r="AB558" i="5"/>
  <c r="AC474" i="5"/>
  <c r="AD474" i="5" s="1"/>
  <c r="AC373" i="5"/>
  <c r="AS373" i="5" s="1"/>
  <c r="AB527" i="5"/>
  <c r="AC489" i="5"/>
  <c r="AS489" i="5" s="1"/>
  <c r="AB446" i="5"/>
  <c r="AC448" i="5"/>
  <c r="AS448" i="5" s="1"/>
  <c r="AC340" i="5"/>
  <c r="AD340" i="5" s="1"/>
  <c r="AB144" i="5"/>
  <c r="AE54" i="4"/>
  <c r="Y54" i="4"/>
  <c r="Z54" i="4" s="1"/>
  <c r="X108" i="4"/>
  <c r="Y8" i="4"/>
  <c r="Z8" i="4" s="1"/>
  <c r="AE8" i="4"/>
  <c r="X8" i="4"/>
  <c r="AJ8" i="4" s="1"/>
  <c r="X27" i="4"/>
  <c r="X70" i="4"/>
  <c r="AB34" i="5"/>
  <c r="AA467" i="5"/>
  <c r="AA342" i="5"/>
  <c r="AB485" i="5"/>
  <c r="AC439" i="5"/>
  <c r="AE439" i="5" s="1"/>
  <c r="AB325" i="5"/>
  <c r="AB535" i="5"/>
  <c r="AC367" i="5"/>
  <c r="AE367" i="5" s="1"/>
  <c r="AA415" i="5"/>
  <c r="AA397" i="5"/>
  <c r="AC324" i="5"/>
  <c r="AS324" i="5" s="1"/>
  <c r="AA147" i="5"/>
  <c r="AA558" i="5"/>
  <c r="AB109" i="5"/>
  <c r="AA373" i="5"/>
  <c r="AA446" i="5"/>
  <c r="AB448" i="5"/>
  <c r="AA340" i="5"/>
  <c r="AR94" i="5"/>
  <c r="Y157" i="4"/>
  <c r="Z157" i="4" s="1"/>
  <c r="AE157" i="4"/>
  <c r="AE102" i="4"/>
  <c r="AA184" i="5"/>
  <c r="AC485" i="5"/>
  <c r="AS485" i="5" s="1"/>
  <c r="AA325" i="5"/>
  <c r="AC47" i="5"/>
  <c r="AE47" i="5" s="1"/>
  <c r="AB367" i="5"/>
  <c r="AC415" i="5"/>
  <c r="AE415" i="5" s="1"/>
  <c r="AB464" i="5"/>
  <c r="AC408" i="5"/>
  <c r="AS408" i="5" s="1"/>
  <c r="AC312" i="5"/>
  <c r="AS312" i="5" s="1"/>
  <c r="AC443" i="5"/>
  <c r="AE443" i="5" s="1"/>
  <c r="AC109" i="5"/>
  <c r="AS109" i="5" s="1"/>
  <c r="AC547" i="5"/>
  <c r="AE547" i="5" s="1"/>
  <c r="AE43" i="4"/>
  <c r="AA81" i="5"/>
  <c r="Y77" i="4"/>
  <c r="Z77" i="4" s="1"/>
  <c r="AE77" i="4"/>
  <c r="AE86" i="4"/>
  <c r="X86" i="4"/>
  <c r="AJ86" i="4" s="1"/>
  <c r="Y86" i="4"/>
  <c r="Z86" i="4" s="1"/>
  <c r="AB184" i="5"/>
  <c r="AB81" i="5"/>
  <c r="X10" i="5"/>
  <c r="Y10" i="5"/>
  <c r="Y116" i="4"/>
  <c r="Z116" i="4" s="1"/>
  <c r="AE116" i="4"/>
  <c r="X71" i="4"/>
  <c r="AJ71" i="4" s="1"/>
  <c r="X116" i="4"/>
  <c r="AC192" i="5"/>
  <c r="AS192" i="5" s="1"/>
  <c r="AB242" i="5"/>
  <c r="AC549" i="5"/>
  <c r="AD549" i="5" s="1"/>
  <c r="AA145" i="5"/>
  <c r="AB145" i="5"/>
  <c r="AC149" i="5"/>
  <c r="AS149" i="5" s="1"/>
  <c r="AA264" i="5"/>
  <c r="AA528" i="5"/>
  <c r="AB51" i="5"/>
  <c r="AA476" i="5"/>
  <c r="AA33" i="5"/>
  <c r="AC445" i="5"/>
  <c r="AS445" i="5" s="1"/>
  <c r="AA553" i="5"/>
  <c r="AB24" i="5"/>
  <c r="AA398" i="5"/>
  <c r="AC88" i="5"/>
  <c r="AE88" i="5" s="1"/>
  <c r="AC368" i="5"/>
  <c r="AD368" i="5" s="1"/>
  <c r="AB406" i="5"/>
  <c r="AA497" i="5"/>
  <c r="AA136" i="5"/>
  <c r="AC431" i="5"/>
  <c r="AD431" i="5" s="1"/>
  <c r="AC519" i="5"/>
  <c r="AD519" i="5" s="1"/>
  <c r="AB191" i="5"/>
  <c r="AC484" i="5"/>
  <c r="AS484" i="5" s="1"/>
  <c r="AC461" i="5"/>
  <c r="AS461" i="5" s="1"/>
  <c r="AC207" i="5"/>
  <c r="AD207" i="5" s="1"/>
  <c r="AB41" i="5"/>
  <c r="AC538" i="5"/>
  <c r="AS538" i="5" s="1"/>
  <c r="AB200" i="5"/>
  <c r="AA314" i="5"/>
  <c r="AC61" i="5"/>
  <c r="AD61" i="5" s="1"/>
  <c r="AB215" i="5"/>
  <c r="AC87" i="5"/>
  <c r="AS87" i="5" s="1"/>
  <c r="AA67" i="5"/>
  <c r="AA126" i="5"/>
  <c r="AB384" i="5"/>
  <c r="AC503" i="5"/>
  <c r="AE503" i="5" s="1"/>
  <c r="AB264" i="5"/>
  <c r="AA153" i="5"/>
  <c r="AB110" i="5"/>
  <c r="AB316" i="5"/>
  <c r="AB437" i="5"/>
  <c r="AA148" i="5"/>
  <c r="AB476" i="5"/>
  <c r="AB33" i="5"/>
  <c r="AA138" i="5"/>
  <c r="AB76" i="5"/>
  <c r="AA24" i="5"/>
  <c r="AB88" i="5"/>
  <c r="AC510" i="5"/>
  <c r="AD510" i="5" s="1"/>
  <c r="AC545" i="5"/>
  <c r="AD545" i="5" s="1"/>
  <c r="AB459" i="5"/>
  <c r="AB40" i="5"/>
  <c r="AC91" i="5"/>
  <c r="AS91" i="5" s="1"/>
  <c r="AB136" i="5"/>
  <c r="AC191" i="5"/>
  <c r="AE191" i="5" s="1"/>
  <c r="AA484" i="5"/>
  <c r="AA461" i="5"/>
  <c r="AA207" i="5"/>
  <c r="AC276" i="5"/>
  <c r="AD276" i="5" s="1"/>
  <c r="AA538" i="5"/>
  <c r="AB173" i="5"/>
  <c r="AB388" i="5"/>
  <c r="AB126" i="5"/>
  <c r="B112" i="2"/>
  <c r="B154" i="2" s="1"/>
  <c r="H40" i="1" s="1"/>
  <c r="AB9" i="5"/>
  <c r="AA9" i="5"/>
  <c r="AC9" i="5"/>
  <c r="AC118" i="5"/>
  <c r="AS118" i="5" s="1"/>
  <c r="AB219" i="5"/>
  <c r="AC212" i="5"/>
  <c r="AS212" i="5" s="1"/>
  <c r="AA503" i="5"/>
  <c r="AA549" i="5"/>
  <c r="AC531" i="5"/>
  <c r="AD531" i="5" s="1"/>
  <c r="AB350" i="5"/>
  <c r="AC487" i="5"/>
  <c r="AD487" i="5" s="1"/>
  <c r="AA422" i="5"/>
  <c r="AA482" i="5"/>
  <c r="AA468" i="5"/>
  <c r="AA479" i="5"/>
  <c r="AA518" i="5"/>
  <c r="AB530" i="5"/>
  <c r="AA515" i="5"/>
  <c r="AC256" i="5"/>
  <c r="AS256" i="5" s="1"/>
  <c r="AA531" i="5"/>
  <c r="AC557" i="5"/>
  <c r="AS557" i="5" s="1"/>
  <c r="AA364" i="5"/>
  <c r="AC372" i="5"/>
  <c r="AE372" i="5" s="1"/>
  <c r="AB479" i="5"/>
  <c r="AA192" i="5"/>
  <c r="AC242" i="5"/>
  <c r="AD242" i="5" s="1"/>
  <c r="AB507" i="5"/>
  <c r="AA75" i="5"/>
  <c r="AC130" i="5"/>
  <c r="AS130" i="5" s="1"/>
  <c r="AB557" i="5"/>
  <c r="AC554" i="5"/>
  <c r="AS554" i="5" s="1"/>
  <c r="AB216" i="5"/>
  <c r="AA35" i="5"/>
  <c r="AB482" i="5"/>
  <c r="AA250" i="5"/>
  <c r="AC364" i="5"/>
  <c r="AE364" i="5" s="1"/>
  <c r="AA57" i="5"/>
  <c r="AA372" i="5"/>
  <c r="AC389" i="5"/>
  <c r="AE389" i="5" s="1"/>
  <c r="AA212" i="5"/>
  <c r="AB285" i="5"/>
  <c r="AB389" i="5"/>
  <c r="AA285" i="5"/>
  <c r="AA257" i="5"/>
  <c r="AB528" i="5"/>
  <c r="AC507" i="5"/>
  <c r="AD507" i="5" s="1"/>
  <c r="AB75" i="5"/>
  <c r="AB130" i="5"/>
  <c r="AC51" i="5"/>
  <c r="AE51" i="5" s="1"/>
  <c r="AB554" i="5"/>
  <c r="AA216" i="5"/>
  <c r="AB398" i="5"/>
  <c r="B118" i="2"/>
  <c r="B99" i="2" s="1"/>
  <c r="B119" i="2" s="1"/>
  <c r="AB35" i="5"/>
  <c r="AC497" i="5"/>
  <c r="AE497" i="5" s="1"/>
  <c r="AC41" i="5"/>
  <c r="AD41" i="5" s="1"/>
  <c r="AC57" i="5"/>
  <c r="AD57" i="5" s="1"/>
  <c r="AC215" i="5"/>
  <c r="AS215" i="5" s="1"/>
  <c r="AB257" i="5"/>
  <c r="AA200" i="5"/>
  <c r="AE92" i="4"/>
  <c r="X151" i="4"/>
  <c r="AJ151" i="4" s="1"/>
  <c r="AE53" i="4"/>
  <c r="B115" i="2"/>
  <c r="B96" i="2" s="1"/>
  <c r="B116" i="2" s="1"/>
  <c r="X81" i="4"/>
  <c r="AJ81" i="4" s="1"/>
  <c r="AE87" i="4"/>
  <c r="X117" i="4"/>
  <c r="AJ117" i="4" s="1"/>
  <c r="X80" i="4"/>
  <c r="AJ80" i="4" s="1"/>
  <c r="X122" i="4"/>
  <c r="AJ122" i="4" s="1"/>
  <c r="AE50" i="4"/>
  <c r="AE13" i="4"/>
  <c r="X65" i="4"/>
  <c r="AJ65" i="4" s="1"/>
  <c r="X82" i="4"/>
  <c r="AJ82" i="4" s="1"/>
  <c r="X13" i="4"/>
  <c r="AJ13" i="4" s="1"/>
  <c r="AE89" i="4"/>
  <c r="X89" i="4"/>
  <c r="AJ89" i="4" s="1"/>
  <c r="AE120" i="4"/>
  <c r="AF17" i="4"/>
  <c r="AG17" i="4" s="1"/>
  <c r="AI17" i="4" s="1"/>
  <c r="AF81" i="4"/>
  <c r="AG81" i="4" s="1"/>
  <c r="AI81" i="4" s="1"/>
  <c r="X41" i="4"/>
  <c r="AK41" i="4" s="1"/>
  <c r="AE97" i="4"/>
  <c r="X92" i="4"/>
  <c r="AJ92" i="4" s="1"/>
  <c r="AE117" i="4"/>
  <c r="AE41" i="4"/>
  <c r="AE17" i="4"/>
  <c r="AE33" i="4"/>
  <c r="AE60" i="4"/>
  <c r="AE113" i="4"/>
  <c r="X104" i="4"/>
  <c r="AK104" i="4" s="1"/>
  <c r="X138" i="4"/>
  <c r="AJ138" i="4" s="1"/>
  <c r="AE80" i="4"/>
  <c r="X97" i="4"/>
  <c r="AJ97" i="4" s="1"/>
  <c r="X120" i="4"/>
  <c r="AJ120" i="4" s="1"/>
  <c r="AA98" i="4"/>
  <c r="AC98" i="4" s="1"/>
  <c r="AD98" i="4" s="1"/>
  <c r="AE151" i="4"/>
  <c r="Z120" i="4"/>
  <c r="Z60" i="4"/>
  <c r="AF60" i="4" s="1"/>
  <c r="X17" i="4"/>
  <c r="AJ17" i="4" s="1"/>
  <c r="B76" i="2"/>
  <c r="X113" i="4"/>
  <c r="AJ113" i="4" s="1"/>
  <c r="AG151" i="4"/>
  <c r="AI151" i="4" s="1"/>
  <c r="AO151" i="4"/>
  <c r="AQ484" i="5"/>
  <c r="AR484" i="5"/>
  <c r="AQ500" i="5"/>
  <c r="AR500" i="5"/>
  <c r="AR347" i="5"/>
  <c r="AQ347" i="5"/>
  <c r="AQ341" i="5"/>
  <c r="AR341" i="5"/>
  <c r="AQ409" i="5"/>
  <c r="AR409" i="5"/>
  <c r="AR61" i="5"/>
  <c r="AQ61" i="5"/>
  <c r="B81" i="2"/>
  <c r="B82" i="2" s="1"/>
  <c r="H22" i="1" s="1"/>
  <c r="AR102" i="5"/>
  <c r="AQ102" i="5"/>
  <c r="AR120" i="5"/>
  <c r="AQ120" i="5"/>
  <c r="X32" i="4"/>
  <c r="AQ53" i="5"/>
  <c r="AR53" i="5"/>
  <c r="AR515" i="5"/>
  <c r="AQ515" i="5"/>
  <c r="AQ293" i="5"/>
  <c r="AR293" i="5"/>
  <c r="AR559" i="5"/>
  <c r="AQ559" i="5"/>
  <c r="AR8" i="5"/>
  <c r="AQ8" i="5"/>
  <c r="AQ223" i="5"/>
  <c r="AR223" i="5"/>
  <c r="AQ200" i="5"/>
  <c r="AR200" i="5"/>
  <c r="AQ519" i="5"/>
  <c r="AR519" i="5"/>
  <c r="AQ106" i="5"/>
  <c r="AR106" i="5"/>
  <c r="AQ289" i="5"/>
  <c r="AR289" i="5"/>
  <c r="AR235" i="5"/>
  <c r="AQ235" i="5"/>
  <c r="AQ343" i="5"/>
  <c r="AR343" i="5"/>
  <c r="AR456" i="5"/>
  <c r="AQ456" i="5"/>
  <c r="AQ96" i="5"/>
  <c r="AR96" i="5"/>
  <c r="AQ203" i="5"/>
  <c r="AR203" i="5"/>
  <c r="AR553" i="5"/>
  <c r="AQ553" i="5"/>
  <c r="AR151" i="5"/>
  <c r="AQ151" i="5"/>
  <c r="AQ424" i="5"/>
  <c r="AR424" i="5"/>
  <c r="AQ464" i="5"/>
  <c r="AR464" i="5"/>
  <c r="AQ320" i="5"/>
  <c r="AR320" i="5"/>
  <c r="AQ504" i="5"/>
  <c r="AR504" i="5"/>
  <c r="AQ137" i="5"/>
  <c r="AR137" i="5"/>
  <c r="AQ393" i="5"/>
  <c r="AR393" i="5"/>
  <c r="AR391" i="5"/>
  <c r="AQ391" i="5"/>
  <c r="AR268" i="5"/>
  <c r="AQ268" i="5"/>
  <c r="AQ400" i="5"/>
  <c r="AR400" i="5"/>
  <c r="AF154" i="4"/>
  <c r="AR303" i="5"/>
  <c r="AQ303" i="5"/>
  <c r="AQ32" i="5"/>
  <c r="AR32" i="5"/>
  <c r="AR523" i="5"/>
  <c r="AQ523" i="5"/>
  <c r="AR242" i="5"/>
  <c r="AQ242" i="5"/>
  <c r="AQ538" i="5"/>
  <c r="AR538" i="5"/>
  <c r="AQ505" i="5"/>
  <c r="AR505" i="5"/>
  <c r="AQ408" i="5"/>
  <c r="AR408" i="5"/>
  <c r="AQ468" i="5"/>
  <c r="AR468" i="5"/>
  <c r="AQ208" i="5"/>
  <c r="AR208" i="5"/>
  <c r="AR508" i="5"/>
  <c r="AQ508" i="5"/>
  <c r="AR532" i="5"/>
  <c r="AQ532" i="5"/>
  <c r="AR443" i="5"/>
  <c r="AQ443" i="5"/>
  <c r="AQ480" i="5"/>
  <c r="AR480" i="5"/>
  <c r="AR111" i="5"/>
  <c r="AQ111" i="5"/>
  <c r="AQ180" i="5"/>
  <c r="AR180" i="5"/>
  <c r="AR503" i="5"/>
  <c r="AQ503" i="5"/>
  <c r="AQ156" i="5"/>
  <c r="AR156" i="5"/>
  <c r="AR99" i="5"/>
  <c r="AQ99" i="5"/>
  <c r="AQ358" i="5"/>
  <c r="AR358" i="5"/>
  <c r="AQ439" i="5"/>
  <c r="AR439" i="5"/>
  <c r="AQ509" i="5"/>
  <c r="AR509" i="5"/>
  <c r="AQ230" i="5"/>
  <c r="AR230" i="5"/>
  <c r="AR115" i="5"/>
  <c r="AQ115" i="5"/>
  <c r="AQ256" i="5"/>
  <c r="AR256" i="5"/>
  <c r="AR546" i="5"/>
  <c r="AQ546" i="5"/>
  <c r="AQ207" i="5"/>
  <c r="AR207" i="5"/>
  <c r="AQ466" i="5"/>
  <c r="AR466" i="5"/>
  <c r="Y13" i="5"/>
  <c r="X13" i="5"/>
  <c r="AR265" i="5"/>
  <c r="AQ265" i="5"/>
  <c r="AR107" i="5"/>
  <c r="AQ107" i="5"/>
  <c r="AQ367" i="5"/>
  <c r="AR367" i="5"/>
  <c r="AR286" i="5"/>
  <c r="AQ286" i="5"/>
  <c r="AQ228" i="5"/>
  <c r="AR228" i="5"/>
  <c r="AR266" i="5"/>
  <c r="AQ266" i="5"/>
  <c r="AR248" i="5"/>
  <c r="AQ248" i="5"/>
  <c r="AR168" i="5"/>
  <c r="AQ168" i="5"/>
  <c r="AR427" i="5"/>
  <c r="AQ427" i="5"/>
  <c r="AQ399" i="5"/>
  <c r="AR399" i="5"/>
  <c r="AR164" i="5"/>
  <c r="AQ164" i="5"/>
  <c r="AQ329" i="5"/>
  <c r="AR329" i="5"/>
  <c r="AR63" i="5"/>
  <c r="AQ63" i="5"/>
  <c r="AR123" i="5"/>
  <c r="AQ123" i="5"/>
  <c r="AQ534" i="5"/>
  <c r="AR534" i="5"/>
  <c r="AR376" i="5"/>
  <c r="AQ376" i="5"/>
  <c r="AR28" i="5"/>
  <c r="AQ28" i="5"/>
  <c r="AQ526" i="5"/>
  <c r="AR526" i="5"/>
  <c r="AQ472" i="5"/>
  <c r="AR472" i="5"/>
  <c r="AR275" i="5"/>
  <c r="AQ275" i="5"/>
  <c r="AR198" i="5"/>
  <c r="AQ198" i="5"/>
  <c r="AQ482" i="5"/>
  <c r="AR482" i="5"/>
  <c r="AQ75" i="5"/>
  <c r="AR75" i="5"/>
  <c r="AQ170" i="5"/>
  <c r="AR170" i="5"/>
  <c r="AQ139" i="5"/>
  <c r="AR139" i="5"/>
  <c r="AG41" i="4"/>
  <c r="AI41" i="4" s="1"/>
  <c r="AO41" i="4"/>
  <c r="AQ529" i="5"/>
  <c r="AR529" i="5"/>
  <c r="AE115" i="4"/>
  <c r="AQ403" i="5"/>
  <c r="AR403" i="5"/>
  <c r="AR389" i="5"/>
  <c r="AQ389" i="5"/>
  <c r="AR352" i="5"/>
  <c r="AQ352" i="5"/>
  <c r="AR555" i="5"/>
  <c r="AQ555" i="5"/>
  <c r="AR366" i="5"/>
  <c r="AQ366" i="5"/>
  <c r="AQ458" i="5"/>
  <c r="AR458" i="5"/>
  <c r="AQ297" i="5"/>
  <c r="AR297" i="5"/>
  <c r="AQ84" i="5"/>
  <c r="AR84" i="5"/>
  <c r="AQ249" i="5"/>
  <c r="AR249" i="5"/>
  <c r="AR27" i="5"/>
  <c r="AQ27" i="5"/>
  <c r="AQ271" i="5"/>
  <c r="AR271" i="5"/>
  <c r="X16" i="4"/>
  <c r="AJ16" i="4" s="1"/>
  <c r="AQ294" i="5"/>
  <c r="AR294" i="5"/>
  <c r="AE81" i="4"/>
  <c r="AR149" i="5"/>
  <c r="AQ149" i="5"/>
  <c r="AR197" i="5"/>
  <c r="AQ197" i="5"/>
  <c r="AR52" i="5"/>
  <c r="AQ52" i="5"/>
  <c r="AQ373" i="5"/>
  <c r="AR373" i="5"/>
  <c r="AQ469" i="5"/>
  <c r="AR469" i="5"/>
  <c r="AR253" i="5"/>
  <c r="AQ253" i="5"/>
  <c r="AR100" i="5"/>
  <c r="AQ100" i="5"/>
  <c r="AL13" i="5"/>
  <c r="AK13" i="5"/>
  <c r="AQ76" i="5"/>
  <c r="AR76" i="5"/>
  <c r="AR224" i="5"/>
  <c r="AQ224" i="5"/>
  <c r="AQ55" i="5"/>
  <c r="AR55" i="5"/>
  <c r="AQ336" i="5"/>
  <c r="AR336" i="5"/>
  <c r="AR288" i="5"/>
  <c r="AQ288" i="5"/>
  <c r="AE107" i="4"/>
  <c r="AR85" i="5"/>
  <c r="AQ85" i="5"/>
  <c r="AR501" i="5"/>
  <c r="AQ501" i="5"/>
  <c r="X53" i="4"/>
  <c r="AA53" i="4" s="1"/>
  <c r="AC53" i="4" s="1"/>
  <c r="AD53" i="4" s="1"/>
  <c r="AQ251" i="5"/>
  <c r="AR251" i="5"/>
  <c r="AQ236" i="5"/>
  <c r="AR236" i="5"/>
  <c r="AR243" i="5"/>
  <c r="AQ243" i="5"/>
  <c r="AR471" i="5"/>
  <c r="AQ471" i="5"/>
  <c r="AQ435" i="5"/>
  <c r="AR435" i="5"/>
  <c r="AQ213" i="5"/>
  <c r="AR213" i="5"/>
  <c r="AQ513" i="5"/>
  <c r="AR513" i="5"/>
  <c r="AE32" i="4"/>
  <c r="AR334" i="5"/>
  <c r="AQ334" i="5"/>
  <c r="AQ395" i="5"/>
  <c r="AR395" i="5"/>
  <c r="AO13" i="5"/>
  <c r="AN13" i="5"/>
  <c r="AQ323" i="5"/>
  <c r="AR323" i="5"/>
  <c r="AR292" i="5"/>
  <c r="AQ292" i="5"/>
  <c r="AQ499" i="5"/>
  <c r="AR499" i="5"/>
  <c r="Z32" i="4"/>
  <c r="AQ33" i="5"/>
  <c r="AR33" i="5"/>
  <c r="AR331" i="5"/>
  <c r="AQ331" i="5"/>
  <c r="AQ537" i="5"/>
  <c r="AR537" i="5"/>
  <c r="AQ91" i="5"/>
  <c r="AR91" i="5"/>
  <c r="AQ161" i="5"/>
  <c r="AR161" i="5"/>
  <c r="AQ163" i="5"/>
  <c r="AR163" i="5"/>
  <c r="AQ272" i="5"/>
  <c r="AR272" i="5"/>
  <c r="AR31" i="5"/>
  <c r="AQ31" i="5"/>
  <c r="AQ349" i="5"/>
  <c r="AR349" i="5"/>
  <c r="AQ206" i="5"/>
  <c r="AR206" i="5"/>
  <c r="AR425" i="5"/>
  <c r="AQ425" i="5"/>
  <c r="AQ195" i="5"/>
  <c r="AR195" i="5"/>
  <c r="AQ29" i="5"/>
  <c r="AR29" i="5"/>
  <c r="AR108" i="5"/>
  <c r="AQ108" i="5"/>
  <c r="AR41" i="5"/>
  <c r="AQ41" i="5"/>
  <c r="X110" i="4"/>
  <c r="AA110" i="4" s="1"/>
  <c r="AC110" i="4" s="1"/>
  <c r="AD110" i="4" s="1"/>
  <c r="X121" i="4"/>
  <c r="AA121" i="4" s="1"/>
  <c r="AC121" i="4" s="1"/>
  <c r="AD121" i="4" s="1"/>
  <c r="X115" i="4"/>
  <c r="AR449" i="5"/>
  <c r="AQ449" i="5"/>
  <c r="AQ473" i="5"/>
  <c r="AR473" i="5"/>
  <c r="AQ136" i="5"/>
  <c r="AR136" i="5"/>
  <c r="AQ441" i="5"/>
  <c r="AR441" i="5"/>
  <c r="AQ361" i="5"/>
  <c r="AR361" i="5"/>
  <c r="AQ430" i="5"/>
  <c r="AR430" i="5"/>
  <c r="AR113" i="5"/>
  <c r="AQ113" i="5"/>
  <c r="AR240" i="5"/>
  <c r="AQ240" i="5"/>
  <c r="AQ285" i="5"/>
  <c r="AR285" i="5"/>
  <c r="AQ263" i="5"/>
  <c r="AR263" i="5"/>
  <c r="AR154" i="5"/>
  <c r="AQ154" i="5"/>
  <c r="AQ124" i="5"/>
  <c r="AR124" i="5"/>
  <c r="AR40" i="5"/>
  <c r="AQ40" i="5"/>
  <c r="AR363" i="5"/>
  <c r="AQ363" i="5"/>
  <c r="AB13" i="5"/>
  <c r="AA13" i="5"/>
  <c r="AQ549" i="5"/>
  <c r="AR549" i="5"/>
  <c r="AE104" i="4"/>
  <c r="AQ446" i="5"/>
  <c r="AR446" i="5"/>
  <c r="AR543" i="5"/>
  <c r="AQ543" i="5"/>
  <c r="AQ414" i="5"/>
  <c r="AR414" i="5"/>
  <c r="AQ407" i="5"/>
  <c r="AR407" i="5"/>
  <c r="AR215" i="5"/>
  <c r="AQ215" i="5"/>
  <c r="AE154" i="4"/>
  <c r="AQ431" i="5"/>
  <c r="AR431" i="5"/>
  <c r="AR7" i="5"/>
  <c r="AQ7" i="5"/>
  <c r="AR369" i="5"/>
  <c r="AQ369" i="5"/>
  <c r="AR177" i="5"/>
  <c r="AQ177" i="5"/>
  <c r="AR46" i="5"/>
  <c r="AQ46" i="5"/>
  <c r="AR80" i="5"/>
  <c r="AQ80" i="5"/>
  <c r="AQ362" i="5"/>
  <c r="AR362" i="5"/>
  <c r="AE65" i="4"/>
  <c r="AR411" i="5"/>
  <c r="AQ411" i="5"/>
  <c r="AQ97" i="5"/>
  <c r="AR97" i="5"/>
  <c r="AQ90" i="5"/>
  <c r="AR90" i="5"/>
  <c r="AQ19" i="5"/>
  <c r="AR19" i="5"/>
  <c r="AR308" i="5"/>
  <c r="AQ308" i="5"/>
  <c r="AQ188" i="5"/>
  <c r="AR188" i="5"/>
  <c r="AE110" i="4"/>
  <c r="AR121" i="5"/>
  <c r="AQ121" i="5"/>
  <c r="AQ241" i="5"/>
  <c r="AR241" i="5"/>
  <c r="AQ311" i="5"/>
  <c r="AR311" i="5"/>
  <c r="AR193" i="5"/>
  <c r="AQ193" i="5"/>
  <c r="AQ445" i="5"/>
  <c r="AR445" i="5"/>
  <c r="S13" i="5"/>
  <c r="R13" i="5"/>
  <c r="AQ269" i="5"/>
  <c r="AR269" i="5"/>
  <c r="AQ209" i="5"/>
  <c r="AR209" i="5"/>
  <c r="AQ433" i="5"/>
  <c r="AR433" i="5"/>
  <c r="AQ412" i="5"/>
  <c r="AR412" i="5"/>
  <c r="AQ322" i="5"/>
  <c r="AR322" i="5"/>
  <c r="AR514" i="5"/>
  <c r="AQ514" i="5"/>
  <c r="AE78" i="4"/>
  <c r="Z113" i="4"/>
  <c r="AF113" i="4" s="1"/>
  <c r="AR152" i="5"/>
  <c r="AQ152" i="5"/>
  <c r="AQ95" i="5"/>
  <c r="AR95" i="5"/>
  <c r="AR479" i="5"/>
  <c r="AQ479" i="5"/>
  <c r="AQ502" i="5"/>
  <c r="AR502" i="5"/>
  <c r="AQ518" i="5"/>
  <c r="AR518" i="5"/>
  <c r="AQ167" i="5"/>
  <c r="AR167" i="5"/>
  <c r="AE42" i="4"/>
  <c r="AQ442" i="5"/>
  <c r="AR442" i="5"/>
  <c r="AQ59" i="5"/>
  <c r="AR59" i="5"/>
  <c r="AR277" i="5"/>
  <c r="AQ277" i="5"/>
  <c r="AQ221" i="5"/>
  <c r="AR221" i="5"/>
  <c r="AQ310" i="5"/>
  <c r="AR310" i="5"/>
  <c r="AQ204" i="5"/>
  <c r="AR204" i="5"/>
  <c r="AR375" i="5"/>
  <c r="AQ375" i="5"/>
  <c r="AR507" i="5"/>
  <c r="AQ507" i="5"/>
  <c r="AQ191" i="5"/>
  <c r="AR191" i="5"/>
  <c r="AR298" i="5"/>
  <c r="AQ298" i="5"/>
  <c r="AQ357" i="5"/>
  <c r="AR357" i="5"/>
  <c r="AR309" i="5"/>
  <c r="AQ309" i="5"/>
  <c r="AQ478" i="5"/>
  <c r="AR478" i="5"/>
  <c r="AR89" i="5"/>
  <c r="AQ89" i="5"/>
  <c r="AR174" i="5"/>
  <c r="AQ174" i="5"/>
  <c r="AE56" i="4"/>
  <c r="AR385" i="5"/>
  <c r="AQ385" i="5"/>
  <c r="AR342" i="5"/>
  <c r="AQ342" i="5"/>
  <c r="AR186" i="5"/>
  <c r="AQ186" i="5"/>
  <c r="AQ282" i="5"/>
  <c r="AR282" i="5"/>
  <c r="AR57" i="5"/>
  <c r="AQ57" i="5"/>
  <c r="AQ440" i="5"/>
  <c r="AR440" i="5"/>
  <c r="AQ264" i="5"/>
  <c r="AR264" i="5"/>
  <c r="AQ467" i="5"/>
  <c r="AR467" i="5"/>
  <c r="AR162" i="5"/>
  <c r="AQ162" i="5"/>
  <c r="AQ419" i="5"/>
  <c r="AR419" i="5"/>
  <c r="AE16" i="4"/>
  <c r="AR295" i="5"/>
  <c r="AQ295" i="5"/>
  <c r="X139" i="4"/>
  <c r="AA139" i="4" s="1"/>
  <c r="AC139" i="4" s="1"/>
  <c r="AD139" i="4" s="1"/>
  <c r="X107" i="4"/>
  <c r="AA107" i="4" s="1"/>
  <c r="AC107" i="4" s="1"/>
  <c r="AD107" i="4" s="1"/>
  <c r="X60" i="4"/>
  <c r="AR116" i="5"/>
  <c r="AQ116" i="5"/>
  <c r="AR145" i="5"/>
  <c r="AQ145" i="5"/>
  <c r="AQ453" i="5"/>
  <c r="AR453" i="5"/>
  <c r="AQ220" i="5"/>
  <c r="AR220" i="5"/>
  <c r="AQ279" i="5"/>
  <c r="AR279" i="5"/>
  <c r="AR128" i="5"/>
  <c r="AQ128" i="5"/>
  <c r="AQ415" i="5"/>
  <c r="AR415" i="5"/>
  <c r="X87" i="4"/>
  <c r="AA87" i="4" s="1"/>
  <c r="AC87" i="4" s="1"/>
  <c r="AD87" i="4" s="1"/>
  <c r="AQ328" i="5"/>
  <c r="AR328" i="5"/>
  <c r="AQ160" i="5"/>
  <c r="AR160" i="5"/>
  <c r="AH13" i="5"/>
  <c r="AP13" i="5"/>
  <c r="AI13" i="5"/>
  <c r="AQ475" i="5"/>
  <c r="AR475" i="5"/>
  <c r="AQ423" i="5"/>
  <c r="AR423" i="5"/>
  <c r="X154" i="4"/>
  <c r="AA154" i="4" s="1"/>
  <c r="AC154" i="4" s="1"/>
  <c r="AD154" i="4" s="1"/>
  <c r="AQ35" i="5"/>
  <c r="AR35" i="5"/>
  <c r="AR155" i="5"/>
  <c r="AQ155" i="5"/>
  <c r="AQ351" i="5"/>
  <c r="AR351" i="5"/>
  <c r="AR114" i="5"/>
  <c r="AQ114" i="5"/>
  <c r="AR179" i="5"/>
  <c r="AQ179" i="5"/>
  <c r="AQ344" i="5"/>
  <c r="AR344" i="5"/>
  <c r="X78" i="4"/>
  <c r="AA78" i="4" s="1"/>
  <c r="AC78" i="4" s="1"/>
  <c r="AD78" i="4" s="1"/>
  <c r="X50" i="4"/>
  <c r="AA50" i="4" s="1"/>
  <c r="AC50" i="4" s="1"/>
  <c r="AD50" i="4" s="1"/>
  <c r="AQ459" i="5"/>
  <c r="AR459" i="5"/>
  <c r="AR172" i="5"/>
  <c r="AQ172" i="5"/>
  <c r="AR315" i="5"/>
  <c r="AQ315" i="5"/>
  <c r="AR196" i="5"/>
  <c r="AQ196" i="5"/>
  <c r="AQ325" i="5"/>
  <c r="AR325" i="5"/>
  <c r="AQ452" i="5"/>
  <c r="AR452" i="5"/>
  <c r="AR353" i="5"/>
  <c r="AQ353" i="5"/>
  <c r="AE139" i="4"/>
  <c r="AR68" i="5"/>
  <c r="AQ68" i="5"/>
  <c r="AQ62" i="5"/>
  <c r="AR62" i="5"/>
  <c r="X33" i="4"/>
  <c r="AQ299" i="5"/>
  <c r="AR299" i="5"/>
  <c r="AQ171" i="5"/>
  <c r="AR171" i="5"/>
  <c r="AR246" i="5"/>
  <c r="AQ246" i="5"/>
  <c r="AQ183" i="5"/>
  <c r="AR183" i="5"/>
  <c r="AR125" i="5"/>
  <c r="AQ125" i="5"/>
  <c r="AQ50" i="5"/>
  <c r="AR50" i="5"/>
  <c r="AQ67" i="5"/>
  <c r="AR67" i="5"/>
  <c r="AQ74" i="5"/>
  <c r="AR74" i="5"/>
  <c r="AQ132" i="5"/>
  <c r="AR132" i="5"/>
  <c r="AQ455" i="5"/>
  <c r="AR455" i="5"/>
  <c r="AR83" i="5"/>
  <c r="AQ83" i="5"/>
  <c r="AQ316" i="5"/>
  <c r="AR316" i="5"/>
  <c r="AQ490" i="5"/>
  <c r="AR490" i="5"/>
  <c r="AE121" i="4"/>
  <c r="AR421" i="5"/>
  <c r="AQ421" i="5"/>
  <c r="AQ231" i="5"/>
  <c r="AR231" i="5"/>
  <c r="AR317" i="5"/>
  <c r="AQ317" i="5"/>
  <c r="AR319" i="5"/>
  <c r="AQ319" i="5"/>
  <c r="X56" i="4"/>
  <c r="AA56" i="4" s="1"/>
  <c r="AC56" i="4" s="1"/>
  <c r="AD56" i="4" s="1"/>
  <c r="AQ280" i="5"/>
  <c r="AR280" i="5"/>
  <c r="AF104" i="4"/>
  <c r="AQ36" i="5"/>
  <c r="AR36" i="5"/>
  <c r="AR550" i="5"/>
  <c r="AQ550" i="5"/>
  <c r="AQ401" i="5"/>
  <c r="AR401" i="5"/>
  <c r="AR150" i="5"/>
  <c r="AQ150" i="5"/>
  <c r="AQ122" i="5"/>
  <c r="AR122" i="5"/>
  <c r="AQ339" i="5"/>
  <c r="AR339" i="5"/>
  <c r="AQ254" i="5"/>
  <c r="AR254" i="5"/>
  <c r="AR547" i="5"/>
  <c r="AQ547" i="5"/>
  <c r="AR413" i="5"/>
  <c r="AQ413" i="5"/>
  <c r="AQ511" i="5"/>
  <c r="AR511" i="5"/>
  <c r="AQ481" i="5"/>
  <c r="AR481" i="5"/>
  <c r="U13" i="5"/>
  <c r="V13" i="5"/>
  <c r="AC13" i="5"/>
  <c r="AR247" i="5"/>
  <c r="AQ247" i="5"/>
  <c r="AR86" i="5"/>
  <c r="AQ86" i="5"/>
  <c r="AR98" i="5"/>
  <c r="AQ98" i="5"/>
  <c r="AQ201" i="5"/>
  <c r="AR201" i="5"/>
  <c r="AE138" i="4"/>
  <c r="H34" i="1"/>
  <c r="B145" i="2"/>
  <c r="H35" i="1" s="1"/>
  <c r="AQ60" i="5"/>
  <c r="AR60" i="5"/>
  <c r="AQ429" i="5"/>
  <c r="AR429" i="5"/>
  <c r="AR377" i="5"/>
  <c r="AQ377" i="5"/>
  <c r="AQ554" i="5"/>
  <c r="AR554" i="5"/>
  <c r="X36" i="4"/>
  <c r="AA36" i="4" s="1"/>
  <c r="AC36" i="4" s="1"/>
  <c r="AD36" i="4" s="1"/>
  <c r="AQ489" i="5"/>
  <c r="AR489" i="5"/>
  <c r="AQ541" i="5"/>
  <c r="AR541" i="5"/>
  <c r="AR88" i="5"/>
  <c r="AQ88" i="5"/>
  <c r="AQ305" i="5"/>
  <c r="AR305" i="5"/>
  <c r="AR44" i="5"/>
  <c r="AQ44" i="5"/>
  <c r="AR39" i="5"/>
  <c r="AQ39" i="5"/>
  <c r="AQ73" i="5"/>
  <c r="AR73" i="5"/>
  <c r="AQ374" i="5"/>
  <c r="AR374" i="5"/>
  <c r="AQ416" i="5"/>
  <c r="AR416" i="5"/>
  <c r="X43" i="4"/>
  <c r="AQ388" i="5"/>
  <c r="AR388" i="5"/>
  <c r="AR185" i="5"/>
  <c r="AQ185" i="5"/>
  <c r="AR49" i="5"/>
  <c r="AQ49" i="5"/>
  <c r="AR71" i="5"/>
  <c r="AQ71" i="5"/>
  <c r="AA33" i="4" l="1"/>
  <c r="AC33" i="4" s="1"/>
  <c r="AD33" i="4" s="1"/>
  <c r="AE88" i="4"/>
  <c r="AE64" i="4"/>
  <c r="AE90" i="4"/>
  <c r="X90" i="4"/>
  <c r="X88" i="4"/>
  <c r="AA88" i="4" s="1"/>
  <c r="AC88" i="4" s="1"/>
  <c r="AD88" i="4" s="1"/>
  <c r="AE136" i="4"/>
  <c r="Y64" i="4"/>
  <c r="Z64" i="4" s="1"/>
  <c r="X149" i="4"/>
  <c r="AE149" i="4"/>
  <c r="AF51" i="4"/>
  <c r="AG51" i="4" s="1"/>
  <c r="AI51" i="4" s="1"/>
  <c r="AE51" i="4"/>
  <c r="X51" i="4"/>
  <c r="AJ51" i="4" s="1"/>
  <c r="X124" i="4"/>
  <c r="AJ124" i="4" s="1"/>
  <c r="AE124" i="4"/>
  <c r="AF124" i="4"/>
  <c r="AO124" i="4" s="1"/>
  <c r="AF153" i="4"/>
  <c r="AO27" i="4"/>
  <c r="X85" i="4"/>
  <c r="AJ85" i="4" s="1"/>
  <c r="X153" i="4"/>
  <c r="AJ153" i="4" s="1"/>
  <c r="AG82" i="4"/>
  <c r="AI82" i="4" s="1"/>
  <c r="AE85" i="4"/>
  <c r="AE153" i="4"/>
  <c r="AO78" i="4"/>
  <c r="AR78" i="4" s="1"/>
  <c r="AT78" i="4" s="1"/>
  <c r="AE47" i="4"/>
  <c r="AE112" i="4"/>
  <c r="AE131" i="4"/>
  <c r="X112" i="4"/>
  <c r="AA112" i="4" s="1"/>
  <c r="AC112" i="4" s="1"/>
  <c r="AD112" i="4" s="1"/>
  <c r="X19" i="4"/>
  <c r="AJ19" i="4" s="1"/>
  <c r="X131" i="4"/>
  <c r="AJ131" i="4" s="1"/>
  <c r="AE19" i="4"/>
  <c r="X99" i="4"/>
  <c r="AJ99" i="4" s="1"/>
  <c r="X28" i="4"/>
  <c r="AA28" i="4" s="1"/>
  <c r="AC28" i="4" s="1"/>
  <c r="AD28" i="4" s="1"/>
  <c r="AE99" i="4"/>
  <c r="AK44" i="4"/>
  <c r="X42" i="4"/>
  <c r="AJ42" i="4" s="1"/>
  <c r="AE28" i="4"/>
  <c r="X47" i="4"/>
  <c r="AJ47" i="4" s="1"/>
  <c r="X156" i="4"/>
  <c r="AA156" i="4" s="1"/>
  <c r="AC156" i="4" s="1"/>
  <c r="AD156" i="4" s="1"/>
  <c r="X136" i="4"/>
  <c r="AJ136" i="4" s="1"/>
  <c r="AO136" i="4"/>
  <c r="X118" i="4"/>
  <c r="AA118" i="4" s="1"/>
  <c r="AC118" i="4" s="1"/>
  <c r="AD118" i="4" s="1"/>
  <c r="AE118" i="4"/>
  <c r="AE156" i="4"/>
  <c r="AG71" i="4"/>
  <c r="AI71" i="4" s="1"/>
  <c r="AG53" i="4"/>
  <c r="AI53" i="4" s="1"/>
  <c r="AR53" i="4" s="1"/>
  <c r="AT53" i="4" s="1"/>
  <c r="AK70" i="4"/>
  <c r="AG19" i="4"/>
  <c r="AI19" i="4" s="1"/>
  <c r="AG102" i="4"/>
  <c r="AI102" i="4" s="1"/>
  <c r="X119" i="4"/>
  <c r="AA119" i="4" s="1"/>
  <c r="AC119" i="4" s="1"/>
  <c r="AD119" i="4" s="1"/>
  <c r="AO98" i="4"/>
  <c r="AR98" i="4" s="1"/>
  <c r="AT98" i="4" s="1"/>
  <c r="AE146" i="4"/>
  <c r="AF146" i="4"/>
  <c r="AG146" i="4" s="1"/>
  <c r="AI146" i="4" s="1"/>
  <c r="X146" i="4"/>
  <c r="AA146" i="4" s="1"/>
  <c r="AC146" i="4" s="1"/>
  <c r="AD146" i="4" s="1"/>
  <c r="AE48" i="4"/>
  <c r="AO40" i="4"/>
  <c r="AE119" i="4"/>
  <c r="AO31" i="4"/>
  <c r="X31" i="4"/>
  <c r="AA31" i="4" s="1"/>
  <c r="AC31" i="4" s="1"/>
  <c r="AD31" i="4" s="1"/>
  <c r="AE137" i="4"/>
  <c r="X55" i="4"/>
  <c r="AJ55" i="4" s="1"/>
  <c r="AE55" i="4"/>
  <c r="X48" i="4"/>
  <c r="AJ48" i="4" s="1"/>
  <c r="AO36" i="4"/>
  <c r="AR36" i="4" s="1"/>
  <c r="AT36" i="4" s="1"/>
  <c r="Y137" i="4"/>
  <c r="Z137" i="4" s="1"/>
  <c r="AF137" i="4" s="1"/>
  <c r="X29" i="4"/>
  <c r="AA29" i="4" s="1"/>
  <c r="AC29" i="4" s="1"/>
  <c r="AD29" i="4" s="1"/>
  <c r="AE31" i="4"/>
  <c r="AE29" i="4"/>
  <c r="AF29" i="4"/>
  <c r="AG29" i="4" s="1"/>
  <c r="AI29" i="4" s="1"/>
  <c r="AQ12" i="5"/>
  <c r="AR10" i="5"/>
  <c r="AE9" i="4"/>
  <c r="AG9" i="4"/>
  <c r="AI9" i="4" s="1"/>
  <c r="X9" i="4"/>
  <c r="AJ9" i="4" s="1"/>
  <c r="AE114" i="4"/>
  <c r="Y76" i="4"/>
  <c r="Z76" i="4" s="1"/>
  <c r="AF76" i="4" s="1"/>
  <c r="AE76" i="4"/>
  <c r="X114" i="4"/>
  <c r="AJ114" i="4" s="1"/>
  <c r="AK98" i="4"/>
  <c r="AG106" i="4"/>
  <c r="AI106" i="4" s="1"/>
  <c r="AE206" i="5"/>
  <c r="AE11" i="4"/>
  <c r="X106" i="4"/>
  <c r="AA106" i="4" s="1"/>
  <c r="AC106" i="4" s="1"/>
  <c r="AD106" i="4" s="1"/>
  <c r="AG89" i="4"/>
  <c r="AI89" i="4" s="1"/>
  <c r="X143" i="4"/>
  <c r="AJ143" i="4" s="1"/>
  <c r="AG96" i="4"/>
  <c r="AI96" i="4" s="1"/>
  <c r="AF143" i="4"/>
  <c r="AG143" i="4" s="1"/>
  <c r="AI143" i="4" s="1"/>
  <c r="AE106" i="4"/>
  <c r="AE143" i="4"/>
  <c r="X11" i="4"/>
  <c r="AJ11" i="4" s="1"/>
  <c r="AG112" i="4"/>
  <c r="AI112" i="4" s="1"/>
  <c r="AF147" i="4"/>
  <c r="AO147" i="4" s="1"/>
  <c r="X74" i="4"/>
  <c r="AJ74" i="4" s="1"/>
  <c r="AO74" i="4"/>
  <c r="AO25" i="4"/>
  <c r="AE522" i="5"/>
  <c r="AD522" i="5"/>
  <c r="X147" i="4"/>
  <c r="AA147" i="4" s="1"/>
  <c r="AC147" i="4" s="1"/>
  <c r="AD147" i="4" s="1"/>
  <c r="AE147" i="4"/>
  <c r="X25" i="4"/>
  <c r="AK25" i="4" s="1"/>
  <c r="AE25" i="4"/>
  <c r="Y100" i="4"/>
  <c r="Z100" i="4" s="1"/>
  <c r="AF100" i="4" s="1"/>
  <c r="AE100" i="4"/>
  <c r="AE74" i="4"/>
  <c r="AS459" i="5"/>
  <c r="AU459" i="5" s="1"/>
  <c r="AE49" i="4"/>
  <c r="AE91" i="4"/>
  <c r="AE36" i="4"/>
  <c r="Y91" i="4"/>
  <c r="Z91" i="4" s="1"/>
  <c r="AA91" i="4" s="1"/>
  <c r="AC91" i="4" s="1"/>
  <c r="AD91" i="4" s="1"/>
  <c r="AD265" i="5"/>
  <c r="X75" i="4"/>
  <c r="AJ75" i="4" s="1"/>
  <c r="X49" i="4"/>
  <c r="AA49" i="4" s="1"/>
  <c r="AC49" i="4" s="1"/>
  <c r="AD49" i="4" s="1"/>
  <c r="AE459" i="5"/>
  <c r="AE75" i="4"/>
  <c r="X123" i="4"/>
  <c r="AJ123" i="4" s="1"/>
  <c r="AF123" i="4"/>
  <c r="AO123" i="4" s="1"/>
  <c r="AE123" i="4"/>
  <c r="AE69" i="4"/>
  <c r="X69" i="4"/>
  <c r="AJ69" i="4" s="1"/>
  <c r="AE30" i="4"/>
  <c r="AG30" i="4"/>
  <c r="AI30" i="4" s="1"/>
  <c r="X30" i="4"/>
  <c r="AJ30" i="4" s="1"/>
  <c r="X127" i="4"/>
  <c r="AJ127" i="4" s="1"/>
  <c r="AD523" i="5"/>
  <c r="Y127" i="4"/>
  <c r="Z127" i="4" s="1"/>
  <c r="Y35" i="4"/>
  <c r="Z35" i="4" s="1"/>
  <c r="AF35" i="4" s="1"/>
  <c r="AE35" i="4"/>
  <c r="AG87" i="4"/>
  <c r="AI87" i="4" s="1"/>
  <c r="AR87" i="4" s="1"/>
  <c r="AT87" i="4" s="1"/>
  <c r="AS525" i="5"/>
  <c r="AU525" i="5" s="1"/>
  <c r="AS264" i="5"/>
  <c r="AU264" i="5" s="1"/>
  <c r="X63" i="4"/>
  <c r="AJ63" i="4" s="1"/>
  <c r="Y63" i="4"/>
  <c r="Z63" i="4" s="1"/>
  <c r="AF63" i="4" s="1"/>
  <c r="AD371" i="5"/>
  <c r="AS371" i="5"/>
  <c r="AU371" i="5" s="1"/>
  <c r="AD221" i="5"/>
  <c r="AE221" i="5"/>
  <c r="AE512" i="5"/>
  <c r="AD512" i="5"/>
  <c r="Y7" i="4"/>
  <c r="Z7" i="4" s="1"/>
  <c r="X7" i="4"/>
  <c r="AJ7" i="4" s="1"/>
  <c r="AD206" i="5"/>
  <c r="X18" i="4"/>
  <c r="AJ18" i="4" s="1"/>
  <c r="AE18" i="4"/>
  <c r="AG18" i="4"/>
  <c r="AI18" i="4" s="1"/>
  <c r="AO18" i="4"/>
  <c r="AS523" i="5"/>
  <c r="AU523" i="5" s="1"/>
  <c r="AD80" i="5"/>
  <c r="AD525" i="5"/>
  <c r="AE80" i="5"/>
  <c r="AD105" i="5"/>
  <c r="AE546" i="5"/>
  <c r="AS546" i="5"/>
  <c r="AU546" i="5" s="1"/>
  <c r="AD537" i="5"/>
  <c r="AS379" i="5"/>
  <c r="AT379" i="5" s="1"/>
  <c r="AS537" i="5"/>
  <c r="AT537" i="5" s="1"/>
  <c r="AD379" i="5"/>
  <c r="AE117" i="5"/>
  <c r="AE234" i="5"/>
  <c r="AS234" i="5"/>
  <c r="AU234" i="5" s="1"/>
  <c r="AD392" i="5"/>
  <c r="AS446" i="5"/>
  <c r="AT446" i="5" s="1"/>
  <c r="AD26" i="5"/>
  <c r="AD121" i="5"/>
  <c r="AD254" i="5"/>
  <c r="AD160" i="5"/>
  <c r="AE121" i="5"/>
  <c r="AE446" i="5"/>
  <c r="AE392" i="5"/>
  <c r="AE160" i="5"/>
  <c r="AS376" i="5"/>
  <c r="AT376" i="5" s="1"/>
  <c r="AD429" i="5"/>
  <c r="AE432" i="5"/>
  <c r="AE429" i="5"/>
  <c r="AD432" i="5"/>
  <c r="AE426" i="5"/>
  <c r="AS23" i="5"/>
  <c r="AT23" i="5" s="1"/>
  <c r="AS426" i="5"/>
  <c r="AT426" i="5" s="1"/>
  <c r="Y37" i="4"/>
  <c r="Z37" i="4" s="1"/>
  <c r="AA37" i="4" s="1"/>
  <c r="AC37" i="4" s="1"/>
  <c r="AD37" i="4" s="1"/>
  <c r="AE23" i="5"/>
  <c r="AE534" i="5"/>
  <c r="AS534" i="5"/>
  <c r="AT534" i="5" s="1"/>
  <c r="AS530" i="5"/>
  <c r="AU530" i="5" s="1"/>
  <c r="AE530" i="5"/>
  <c r="X145" i="4"/>
  <c r="AJ145" i="4" s="1"/>
  <c r="AE145" i="4"/>
  <c r="AE376" i="5"/>
  <c r="AS105" i="5"/>
  <c r="AU105" i="5" s="1"/>
  <c r="AD264" i="5"/>
  <c r="AD508" i="5"/>
  <c r="AD417" i="5"/>
  <c r="AD422" i="5"/>
  <c r="AS483" i="5"/>
  <c r="AU483" i="5" s="1"/>
  <c r="AS508" i="5"/>
  <c r="AU508" i="5" s="1"/>
  <c r="AE289" i="5"/>
  <c r="AD232" i="5"/>
  <c r="AE483" i="5"/>
  <c r="AE279" i="5"/>
  <c r="AE254" i="5"/>
  <c r="AE232" i="5"/>
  <c r="AD500" i="5"/>
  <c r="AD279" i="5"/>
  <c r="X66" i="4"/>
  <c r="AJ66" i="4" s="1"/>
  <c r="AE422" i="5"/>
  <c r="AS532" i="5"/>
  <c r="AT532" i="5" s="1"/>
  <c r="AS200" i="5"/>
  <c r="AT200" i="5" s="1"/>
  <c r="AE500" i="5"/>
  <c r="AS26" i="5"/>
  <c r="AT26" i="5" s="1"/>
  <c r="AE532" i="5"/>
  <c r="AD479" i="5"/>
  <c r="AS289" i="5"/>
  <c r="AT289" i="5" s="1"/>
  <c r="AE14" i="4"/>
  <c r="AS469" i="5"/>
  <c r="AU469" i="5" s="1"/>
  <c r="AD469" i="5"/>
  <c r="AE417" i="5"/>
  <c r="AS243" i="5"/>
  <c r="AU243" i="5" s="1"/>
  <c r="AS345" i="5"/>
  <c r="AT345" i="5" s="1"/>
  <c r="AD117" i="5"/>
  <c r="AS97" i="5"/>
  <c r="AT97" i="5" s="1"/>
  <c r="AS463" i="5"/>
  <c r="AU463" i="5" s="1"/>
  <c r="AE97" i="5"/>
  <c r="K36" i="2"/>
  <c r="L36" i="2"/>
  <c r="X46" i="4"/>
  <c r="AK46" i="4" s="1"/>
  <c r="AE15" i="4"/>
  <c r="AO46" i="4"/>
  <c r="AE37" i="4"/>
  <c r="AS265" i="5"/>
  <c r="AT265" i="5" s="1"/>
  <c r="AE520" i="5"/>
  <c r="AD520" i="5"/>
  <c r="AS184" i="5"/>
  <c r="AT184" i="5" s="1"/>
  <c r="AE184" i="5"/>
  <c r="AD463" i="5"/>
  <c r="AE205" i="5"/>
  <c r="AD470" i="5"/>
  <c r="AS470" i="5"/>
  <c r="AU470" i="5" s="1"/>
  <c r="AD556" i="5"/>
  <c r="AS327" i="5"/>
  <c r="AT327" i="5" s="1"/>
  <c r="AS509" i="5"/>
  <c r="AT509" i="5" s="1"/>
  <c r="AD511" i="5"/>
  <c r="AE140" i="5"/>
  <c r="AD452" i="5"/>
  <c r="AS226" i="5"/>
  <c r="AT226" i="5" s="1"/>
  <c r="AE354" i="5"/>
  <c r="AS22" i="5"/>
  <c r="AT22" i="5" s="1"/>
  <c r="AE213" i="5"/>
  <c r="AS511" i="5"/>
  <c r="AT511" i="5" s="1"/>
  <c r="AS297" i="5"/>
  <c r="AT297" i="5" s="1"/>
  <c r="AS466" i="5"/>
  <c r="AU466" i="5" s="1"/>
  <c r="AE297" i="5"/>
  <c r="AS213" i="5"/>
  <c r="AU213" i="5" s="1"/>
  <c r="AS540" i="5"/>
  <c r="AU540" i="5" s="1"/>
  <c r="AE359" i="5"/>
  <c r="Y20" i="4"/>
  <c r="Z20" i="4" s="1"/>
  <c r="AF20" i="4" s="1"/>
  <c r="AE20" i="4"/>
  <c r="AD444" i="5"/>
  <c r="AD183" i="5"/>
  <c r="AS49" i="5"/>
  <c r="AT49" i="5" s="1"/>
  <c r="AE46" i="4"/>
  <c r="AA43" i="4"/>
  <c r="AC43" i="4" s="1"/>
  <c r="AD43" i="4" s="1"/>
  <c r="AD540" i="5"/>
  <c r="AS359" i="5"/>
  <c r="AT359" i="5" s="1"/>
  <c r="AE365" i="5"/>
  <c r="AS514" i="5"/>
  <c r="AT514" i="5" s="1"/>
  <c r="AE479" i="5"/>
  <c r="X14" i="4"/>
  <c r="AJ14" i="4" s="1"/>
  <c r="AE24" i="5"/>
  <c r="AS166" i="5"/>
  <c r="AT166" i="5" s="1"/>
  <c r="AD136" i="5"/>
  <c r="X61" i="4"/>
  <c r="AJ61" i="4" s="1"/>
  <c r="AE66" i="4"/>
  <c r="AF66" i="4"/>
  <c r="AO66" i="4" s="1"/>
  <c r="AD302" i="5"/>
  <c r="AA149" i="4"/>
  <c r="AC149" i="4" s="1"/>
  <c r="AD149" i="4" s="1"/>
  <c r="AO61" i="4"/>
  <c r="AA115" i="4"/>
  <c r="AC115" i="4" s="1"/>
  <c r="AD115" i="4" s="1"/>
  <c r="AE61" i="4"/>
  <c r="AE40" i="5"/>
  <c r="AE237" i="5"/>
  <c r="AE42" i="5"/>
  <c r="AD386" i="5"/>
  <c r="AE261" i="5"/>
  <c r="AS188" i="5"/>
  <c r="AT188" i="5" s="1"/>
  <c r="AE386" i="5"/>
  <c r="AS42" i="5"/>
  <c r="AU42" i="5" s="1"/>
  <c r="AF142" i="4"/>
  <c r="AG142" i="4" s="1"/>
  <c r="AI142" i="4" s="1"/>
  <c r="AS248" i="5"/>
  <c r="AU248" i="5" s="1"/>
  <c r="AD261" i="5"/>
  <c r="AE142" i="4"/>
  <c r="AS361" i="5"/>
  <c r="AU361" i="5" s="1"/>
  <c r="AD361" i="5"/>
  <c r="AD543" i="5"/>
  <c r="AD280" i="5"/>
  <c r="AS313" i="5"/>
  <c r="AU313" i="5" s="1"/>
  <c r="X142" i="4"/>
  <c r="AJ142" i="4" s="1"/>
  <c r="AE280" i="5"/>
  <c r="AD301" i="5"/>
  <c r="AE303" i="5"/>
  <c r="AE482" i="5"/>
  <c r="AE382" i="5"/>
  <c r="AS351" i="5"/>
  <c r="AT351" i="5" s="1"/>
  <c r="AS518" i="5"/>
  <c r="AU518" i="5" s="1"/>
  <c r="AS31" i="5"/>
  <c r="AT31" i="5" s="1"/>
  <c r="AE491" i="5"/>
  <c r="AT278" i="5"/>
  <c r="AD365" i="5"/>
  <c r="AE501" i="5"/>
  <c r="AS353" i="5"/>
  <c r="AT353" i="5" s="1"/>
  <c r="AS421" i="5"/>
  <c r="AT421" i="5" s="1"/>
  <c r="AD332" i="5"/>
  <c r="AE332" i="5"/>
  <c r="AD518" i="5"/>
  <c r="AD203" i="5"/>
  <c r="AE166" i="5"/>
  <c r="AS302" i="5"/>
  <c r="AU302" i="5" s="1"/>
  <c r="AE70" i="5"/>
  <c r="AS145" i="5"/>
  <c r="AU145" i="5" s="1"/>
  <c r="AD514" i="5"/>
  <c r="AS300" i="5"/>
  <c r="AT300" i="5" s="1"/>
  <c r="AS444" i="5"/>
  <c r="AU444" i="5" s="1"/>
  <c r="AD345" i="5"/>
  <c r="AE136" i="5"/>
  <c r="AE243" i="5"/>
  <c r="AS113" i="5"/>
  <c r="AU113" i="5" s="1"/>
  <c r="AE300" i="5"/>
  <c r="AS382" i="5"/>
  <c r="AT382" i="5" s="1"/>
  <c r="AD482" i="5"/>
  <c r="AS58" i="5"/>
  <c r="AU58" i="5" s="1"/>
  <c r="AE58" i="5"/>
  <c r="AD48" i="5"/>
  <c r="AD363" i="5"/>
  <c r="AS201" i="5"/>
  <c r="AU201" i="5" s="1"/>
  <c r="AS349" i="5"/>
  <c r="AT349" i="5" s="1"/>
  <c r="AE336" i="5"/>
  <c r="AS137" i="5"/>
  <c r="AT137" i="5" s="1"/>
  <c r="AE59" i="5"/>
  <c r="AE349" i="5"/>
  <c r="AE378" i="5"/>
  <c r="AS222" i="5"/>
  <c r="AU222" i="5" s="1"/>
  <c r="AS336" i="5"/>
  <c r="AT336" i="5" s="1"/>
  <c r="AS21" i="5"/>
  <c r="AT21" i="5" s="1"/>
  <c r="AD21" i="5"/>
  <c r="AS148" i="5"/>
  <c r="AT148" i="5" s="1"/>
  <c r="AE248" i="5"/>
  <c r="AE188" i="5"/>
  <c r="AE137" i="5"/>
  <c r="AD59" i="5"/>
  <c r="AD374" i="5"/>
  <c r="AD32" i="5"/>
  <c r="AS478" i="5"/>
  <c r="AU478" i="5" s="1"/>
  <c r="AE223" i="5"/>
  <c r="AS374" i="5"/>
  <c r="AU374" i="5" s="1"/>
  <c r="AE455" i="5"/>
  <c r="AS32" i="5"/>
  <c r="AT32" i="5" s="1"/>
  <c r="AD478" i="5"/>
  <c r="AD223" i="5"/>
  <c r="AE199" i="5"/>
  <c r="AD303" i="5"/>
  <c r="AE313" i="5"/>
  <c r="AD481" i="5"/>
  <c r="AD237" i="5"/>
  <c r="AS363" i="5"/>
  <c r="AT363" i="5" s="1"/>
  <c r="AS378" i="5"/>
  <c r="AU378" i="5" s="1"/>
  <c r="AE222" i="5"/>
  <c r="AE69" i="5"/>
  <c r="AE543" i="5"/>
  <c r="AS301" i="5"/>
  <c r="AU301" i="5" s="1"/>
  <c r="AS455" i="5"/>
  <c r="AU455" i="5" s="1"/>
  <c r="AD453" i="5"/>
  <c r="AS48" i="5"/>
  <c r="AU48" i="5" s="1"/>
  <c r="AD138" i="5"/>
  <c r="AS138" i="5"/>
  <c r="AT138" i="5" s="1"/>
  <c r="AD360" i="5"/>
  <c r="AS477" i="5"/>
  <c r="AT477" i="5" s="1"/>
  <c r="AE333" i="5"/>
  <c r="AE477" i="5"/>
  <c r="AS94" i="5"/>
  <c r="AU94" i="5" s="1"/>
  <c r="AD194" i="5"/>
  <c r="AS306" i="5"/>
  <c r="AU306" i="5" s="1"/>
  <c r="AS494" i="5"/>
  <c r="AU494" i="5" s="1"/>
  <c r="AA96" i="4"/>
  <c r="AC96" i="4" s="1"/>
  <c r="AD96" i="4" s="1"/>
  <c r="AD94" i="5"/>
  <c r="AD333" i="5"/>
  <c r="AS360" i="5"/>
  <c r="AU360" i="5" s="1"/>
  <c r="AS259" i="5"/>
  <c r="AU259" i="5" s="1"/>
  <c r="AD460" i="5"/>
  <c r="AT147" i="5"/>
  <c r="AS194" i="5"/>
  <c r="AU194" i="5" s="1"/>
  <c r="AD306" i="5"/>
  <c r="AE494" i="5"/>
  <c r="AT54" i="5"/>
  <c r="AS158" i="5"/>
  <c r="AU158" i="5" s="1"/>
  <c r="AD54" i="5"/>
  <c r="AE173" i="5"/>
  <c r="AD269" i="5"/>
  <c r="AS119" i="5"/>
  <c r="AU119" i="5" s="1"/>
  <c r="AE186" i="5"/>
  <c r="AE460" i="5"/>
  <c r="AD475" i="5"/>
  <c r="AE399" i="5"/>
  <c r="AD398" i="5"/>
  <c r="AS475" i="5"/>
  <c r="AU475" i="5" s="1"/>
  <c r="AD536" i="5"/>
  <c r="AE165" i="5"/>
  <c r="AE125" i="5"/>
  <c r="AS186" i="5"/>
  <c r="AU186" i="5" s="1"/>
  <c r="AD399" i="5"/>
  <c r="AD456" i="5"/>
  <c r="AE54" i="5"/>
  <c r="AS425" i="5"/>
  <c r="AT425" i="5" s="1"/>
  <c r="AS55" i="5"/>
  <c r="AT55" i="5" s="1"/>
  <c r="AE135" i="4"/>
  <c r="AE533" i="5"/>
  <c r="AD31" i="5"/>
  <c r="AS440" i="5"/>
  <c r="AT440" i="5" s="1"/>
  <c r="AD366" i="5"/>
  <c r="AS462" i="5"/>
  <c r="AU462" i="5" s="1"/>
  <c r="AE65" i="5"/>
  <c r="AD436" i="5"/>
  <c r="AD400" i="5"/>
  <c r="AD296" i="5"/>
  <c r="AS283" i="5"/>
  <c r="AT283" i="5" s="1"/>
  <c r="AE269" i="5"/>
  <c r="AE241" i="5"/>
  <c r="AS517" i="5"/>
  <c r="AT517" i="5" s="1"/>
  <c r="AE208" i="5"/>
  <c r="AS140" i="5"/>
  <c r="AU140" i="5" s="1"/>
  <c r="AS556" i="5"/>
  <c r="AU556" i="5" s="1"/>
  <c r="AE22" i="5"/>
  <c r="AD151" i="5"/>
  <c r="AD226" i="5"/>
  <c r="AD466" i="5"/>
  <c r="AS62" i="5"/>
  <c r="AT62" i="5" s="1"/>
  <c r="AS354" i="5"/>
  <c r="AU354" i="5" s="1"/>
  <c r="AS309" i="5"/>
  <c r="AT309" i="5" s="1"/>
  <c r="AD401" i="5"/>
  <c r="AS325" i="5"/>
  <c r="AU325" i="5" s="1"/>
  <c r="X15" i="4"/>
  <c r="AJ15" i="4" s="1"/>
  <c r="AE210" i="5"/>
  <c r="AE151" i="5"/>
  <c r="AD472" i="5"/>
  <c r="AD112" i="5"/>
  <c r="AE551" i="5"/>
  <c r="AE309" i="5"/>
  <c r="AD486" i="5"/>
  <c r="AE112" i="5"/>
  <c r="AS551" i="5"/>
  <c r="AU551" i="5" s="1"/>
  <c r="AD245" i="5"/>
  <c r="AD277" i="5"/>
  <c r="AS116" i="5"/>
  <c r="AT116" i="5" s="1"/>
  <c r="AD325" i="5"/>
  <c r="AS504" i="5"/>
  <c r="AT504" i="5" s="1"/>
  <c r="AS210" i="5"/>
  <c r="AU210" i="5" s="1"/>
  <c r="AE304" i="5"/>
  <c r="AD327" i="5"/>
  <c r="AS452" i="5"/>
  <c r="AU452" i="5" s="1"/>
  <c r="AD504" i="5"/>
  <c r="AD304" i="5"/>
  <c r="AS245" i="5"/>
  <c r="AT245" i="5" s="1"/>
  <c r="AS46" i="5"/>
  <c r="AT46" i="5" s="1"/>
  <c r="AS277" i="5"/>
  <c r="AU277" i="5" s="1"/>
  <c r="AD158" i="5"/>
  <c r="AD46" i="5"/>
  <c r="AD116" i="5"/>
  <c r="AS438" i="5"/>
  <c r="AT438" i="5" s="1"/>
  <c r="AS244" i="5"/>
  <c r="AU244" i="5" s="1"/>
  <c r="AD189" i="5"/>
  <c r="AD40" i="5"/>
  <c r="AE502" i="5"/>
  <c r="AD38" i="5"/>
  <c r="AD180" i="5"/>
  <c r="AE101" i="5"/>
  <c r="AE480" i="5"/>
  <c r="AS548" i="5"/>
  <c r="AT548" i="5" s="1"/>
  <c r="AS36" i="5"/>
  <c r="AU36" i="5" s="1"/>
  <c r="AS502" i="5"/>
  <c r="AT502" i="5" s="1"/>
  <c r="AS310" i="5"/>
  <c r="AU310" i="5" s="1"/>
  <c r="AD142" i="5"/>
  <c r="AE76" i="5"/>
  <c r="AS308" i="5"/>
  <c r="AU308" i="5" s="1"/>
  <c r="AD338" i="5"/>
  <c r="AE142" i="5"/>
  <c r="AD274" i="5"/>
  <c r="AD238" i="5"/>
  <c r="AE19" i="5"/>
  <c r="AD150" i="5"/>
  <c r="AE544" i="5"/>
  <c r="AD450" i="5"/>
  <c r="AS115" i="5"/>
  <c r="AT115" i="5" s="1"/>
  <c r="AD295" i="5"/>
  <c r="AE115" i="5"/>
  <c r="AD491" i="5"/>
  <c r="AS150" i="5"/>
  <c r="AU150" i="5" s="1"/>
  <c r="AE552" i="5"/>
  <c r="AE517" i="5"/>
  <c r="AE341" i="5"/>
  <c r="AE25" i="5"/>
  <c r="AS552" i="5"/>
  <c r="AT552" i="5" s="1"/>
  <c r="AD241" i="5"/>
  <c r="AD298" i="5"/>
  <c r="AS25" i="5"/>
  <c r="AT25" i="5" s="1"/>
  <c r="AE298" i="5"/>
  <c r="AD451" i="5"/>
  <c r="AT202" i="5"/>
  <c r="AE202" i="5"/>
  <c r="AD202" i="5"/>
  <c r="AD208" i="5"/>
  <c r="AS451" i="5"/>
  <c r="AU451" i="5" s="1"/>
  <c r="AS267" i="5"/>
  <c r="AU267" i="5" s="1"/>
  <c r="AS174" i="5"/>
  <c r="AU174" i="5" s="1"/>
  <c r="AS104" i="5"/>
  <c r="AU104" i="5" s="1"/>
  <c r="AE145" i="5"/>
  <c r="AD104" i="5"/>
  <c r="AS178" i="5"/>
  <c r="AU178" i="5" s="1"/>
  <c r="AE113" i="5"/>
  <c r="AE200" i="5"/>
  <c r="AS533" i="5"/>
  <c r="AT533" i="5" s="1"/>
  <c r="AE216" i="5"/>
  <c r="AS120" i="5"/>
  <c r="AU120" i="5" s="1"/>
  <c r="AS501" i="5"/>
  <c r="AU501" i="5" s="1"/>
  <c r="AE456" i="5"/>
  <c r="AD421" i="5"/>
  <c r="AE120" i="5"/>
  <c r="AU78" i="5"/>
  <c r="AE351" i="5"/>
  <c r="AD275" i="5"/>
  <c r="AD440" i="5"/>
  <c r="AS400" i="5"/>
  <c r="AT400" i="5" s="1"/>
  <c r="AE203" i="5"/>
  <c r="AS366" i="5"/>
  <c r="AU366" i="5" s="1"/>
  <c r="AD216" i="5"/>
  <c r="AE434" i="5"/>
  <c r="AS390" i="5"/>
  <c r="AU390" i="5" s="1"/>
  <c r="AD383" i="5"/>
  <c r="AE275" i="5"/>
  <c r="AE181" i="5"/>
  <c r="AD260" i="5"/>
  <c r="AD434" i="5"/>
  <c r="AE384" i="5"/>
  <c r="AE425" i="5"/>
  <c r="AE390" i="5"/>
  <c r="AD165" i="5"/>
  <c r="AD335" i="5"/>
  <c r="AD506" i="5"/>
  <c r="AD181" i="5"/>
  <c r="AE260" i="5"/>
  <c r="AS383" i="5"/>
  <c r="AU383" i="5" s="1"/>
  <c r="AS492" i="5"/>
  <c r="AU492" i="5" s="1"/>
  <c r="AS384" i="5"/>
  <c r="AT384" i="5" s="1"/>
  <c r="AS335" i="5"/>
  <c r="AU335" i="5" s="1"/>
  <c r="AE506" i="5"/>
  <c r="AD492" i="5"/>
  <c r="AD353" i="5"/>
  <c r="AE495" i="5"/>
  <c r="AS193" i="5"/>
  <c r="AT193" i="5" s="1"/>
  <c r="AD114" i="5"/>
  <c r="AD495" i="5"/>
  <c r="AT81" i="5"/>
  <c r="AD283" i="5"/>
  <c r="AS114" i="5"/>
  <c r="AT114" i="5" s="1"/>
  <c r="AS420" i="5"/>
  <c r="AT420" i="5" s="1"/>
  <c r="AD441" i="5"/>
  <c r="AE462" i="5"/>
  <c r="AS441" i="5"/>
  <c r="AU441" i="5" s="1"/>
  <c r="AE420" i="5"/>
  <c r="AE278" i="5"/>
  <c r="AS60" i="5"/>
  <c r="AU60" i="5" s="1"/>
  <c r="X135" i="4"/>
  <c r="AJ135" i="4" s="1"/>
  <c r="AD278" i="5"/>
  <c r="AD81" i="5"/>
  <c r="AE122" i="5"/>
  <c r="AE49" i="5"/>
  <c r="AD70" i="5"/>
  <c r="AS122" i="5"/>
  <c r="AT122" i="5" s="1"/>
  <c r="AE81" i="5"/>
  <c r="AE78" i="5"/>
  <c r="AE60" i="5"/>
  <c r="AE36" i="5"/>
  <c r="AD356" i="5"/>
  <c r="AD310" i="5"/>
  <c r="AF125" i="4"/>
  <c r="AG125" i="4" s="1"/>
  <c r="AI125" i="4" s="1"/>
  <c r="AD127" i="5"/>
  <c r="AE356" i="5"/>
  <c r="AE125" i="4"/>
  <c r="AE127" i="5"/>
  <c r="AE143" i="5"/>
  <c r="AD343" i="5"/>
  <c r="AS314" i="5"/>
  <c r="AT314" i="5" s="1"/>
  <c r="AE343" i="5"/>
  <c r="AS50" i="5"/>
  <c r="AT50" i="5" s="1"/>
  <c r="AE342" i="5"/>
  <c r="X125" i="4"/>
  <c r="AJ125" i="4" s="1"/>
  <c r="AS143" i="5"/>
  <c r="AT143" i="5" s="1"/>
  <c r="AE12" i="5"/>
  <c r="AS541" i="5"/>
  <c r="AT541" i="5" s="1"/>
  <c r="AD50" i="5"/>
  <c r="AD428" i="5"/>
  <c r="AS12" i="5"/>
  <c r="AU12" i="5" s="1"/>
  <c r="AS496" i="5"/>
  <c r="AU496" i="5" s="1"/>
  <c r="AE496" i="5"/>
  <c r="AE314" i="5"/>
  <c r="AE38" i="5"/>
  <c r="AD342" i="5"/>
  <c r="AE308" i="5"/>
  <c r="AS77" i="5"/>
  <c r="AT77" i="5" s="1"/>
  <c r="AX77" i="5" s="1"/>
  <c r="AY77" i="5" s="1"/>
  <c r="AS476" i="5"/>
  <c r="AT476" i="5" s="1"/>
  <c r="AS405" i="5"/>
  <c r="AU405" i="5" s="1"/>
  <c r="AE106" i="5"/>
  <c r="AD244" i="5"/>
  <c r="AS295" i="5"/>
  <c r="AU295" i="5" s="1"/>
  <c r="AS76" i="5"/>
  <c r="AU76" i="5" s="1"/>
  <c r="AD438" i="5"/>
  <c r="AE405" i="5"/>
  <c r="AS106" i="5"/>
  <c r="AT106" i="5" s="1"/>
  <c r="AS134" i="5"/>
  <c r="AU134" i="5" s="1"/>
  <c r="AE180" i="5"/>
  <c r="AE476" i="5"/>
  <c r="AS90" i="5"/>
  <c r="AU90" i="5" s="1"/>
  <c r="AD282" i="5"/>
  <c r="AD528" i="5"/>
  <c r="X57" i="4"/>
  <c r="AJ57" i="4" s="1"/>
  <c r="AD77" i="5"/>
  <c r="AE57" i="4"/>
  <c r="AD239" i="5"/>
  <c r="AS24" i="5"/>
  <c r="AT24" i="5" s="1"/>
  <c r="AE338" i="5"/>
  <c r="AE274" i="5"/>
  <c r="AD294" i="5"/>
  <c r="AS239" i="5"/>
  <c r="AU239" i="5" s="1"/>
  <c r="AS293" i="5"/>
  <c r="AT293" i="5" s="1"/>
  <c r="AD262" i="5"/>
  <c r="AS44" i="5"/>
  <c r="AT44" i="5" s="1"/>
  <c r="AE294" i="5"/>
  <c r="AD217" i="5"/>
  <c r="AE247" i="5"/>
  <c r="AS238" i="5"/>
  <c r="AU238" i="5" s="1"/>
  <c r="AD293" i="5"/>
  <c r="AE189" i="5"/>
  <c r="AE262" i="5"/>
  <c r="AS344" i="5"/>
  <c r="AU344" i="5" s="1"/>
  <c r="AD101" i="5"/>
  <c r="AE44" i="5"/>
  <c r="AS394" i="5"/>
  <c r="AT394" i="5" s="1"/>
  <c r="AS19" i="5"/>
  <c r="AT19" i="5" s="1"/>
  <c r="AS453" i="5"/>
  <c r="AT453" i="5" s="1"/>
  <c r="AD548" i="5"/>
  <c r="AE148" i="5"/>
  <c r="AD197" i="5"/>
  <c r="AS220" i="5"/>
  <c r="AU220" i="5" s="1"/>
  <c r="AD544" i="5"/>
  <c r="AE450" i="5"/>
  <c r="AK96" i="4"/>
  <c r="AS217" i="5"/>
  <c r="AU217" i="5" s="1"/>
  <c r="AS197" i="5"/>
  <c r="AU197" i="5" s="1"/>
  <c r="AE220" i="5"/>
  <c r="AE266" i="5"/>
  <c r="AD257" i="5"/>
  <c r="AE436" i="5"/>
  <c r="AD174" i="5"/>
  <c r="AS410" i="5"/>
  <c r="AU410" i="5" s="1"/>
  <c r="AE34" i="5"/>
  <c r="AS132" i="5"/>
  <c r="AU132" i="5" s="1"/>
  <c r="AS27" i="5"/>
  <c r="AU27" i="5" s="1"/>
  <c r="AE133" i="5"/>
  <c r="AS126" i="5"/>
  <c r="AT126" i="5" s="1"/>
  <c r="AS416" i="5"/>
  <c r="AT416" i="5" s="1"/>
  <c r="AS385" i="5"/>
  <c r="AT385" i="5" s="1"/>
  <c r="AS111" i="5"/>
  <c r="AU111" i="5" s="1"/>
  <c r="AD133" i="5"/>
  <c r="AD267" i="5"/>
  <c r="AS68" i="5"/>
  <c r="AT68" i="5" s="1"/>
  <c r="AE416" i="5"/>
  <c r="AD27" i="5"/>
  <c r="AS447" i="5"/>
  <c r="AT447" i="5" s="1"/>
  <c r="AD385" i="5"/>
  <c r="AD350" i="5"/>
  <c r="AS350" i="5"/>
  <c r="AT350" i="5" s="1"/>
  <c r="AE375" i="5"/>
  <c r="AS179" i="5"/>
  <c r="AU179" i="5" s="1"/>
  <c r="AE35" i="5"/>
  <c r="AD73" i="5"/>
  <c r="AD29" i="5"/>
  <c r="AS155" i="5"/>
  <c r="AU155" i="5" s="1"/>
  <c r="AE505" i="5"/>
  <c r="AS369" i="5"/>
  <c r="AT369" i="5" s="1"/>
  <c r="AE43" i="5"/>
  <c r="AD155" i="5"/>
  <c r="AE68" i="5"/>
  <c r="AS73" i="5"/>
  <c r="AT73" i="5" s="1"/>
  <c r="AE111" i="5"/>
  <c r="AD369" i="5"/>
  <c r="AD341" i="5"/>
  <c r="AS505" i="5"/>
  <c r="AT505" i="5" s="1"/>
  <c r="AD126" i="5"/>
  <c r="AS388" i="5"/>
  <c r="AU388" i="5" s="1"/>
  <c r="AD465" i="5"/>
  <c r="AD132" i="5"/>
  <c r="AU257" i="5"/>
  <c r="AD125" i="5"/>
  <c r="AD529" i="5"/>
  <c r="AE296" i="5"/>
  <c r="AD253" i="5"/>
  <c r="AD228" i="5"/>
  <c r="AD55" i="5"/>
  <c r="AS529" i="5"/>
  <c r="AU529" i="5" s="1"/>
  <c r="AD499" i="5"/>
  <c r="AD168" i="5"/>
  <c r="AS228" i="5"/>
  <c r="AU228" i="5" s="1"/>
  <c r="AD236" i="5"/>
  <c r="AE499" i="5"/>
  <c r="AE403" i="5"/>
  <c r="AD33" i="5"/>
  <c r="AE147" i="5"/>
  <c r="AE157" i="5"/>
  <c r="AS168" i="5"/>
  <c r="AU168" i="5" s="1"/>
  <c r="AS99" i="5"/>
  <c r="AU99" i="5" s="1"/>
  <c r="AE253" i="5"/>
  <c r="AD66" i="5"/>
  <c r="AS473" i="5"/>
  <c r="AU473" i="5" s="1"/>
  <c r="AS236" i="5"/>
  <c r="AU236" i="5" s="1"/>
  <c r="AE214" i="5"/>
  <c r="AS141" i="5"/>
  <c r="AU141" i="5" s="1"/>
  <c r="AS404" i="5"/>
  <c r="AU404" i="5" s="1"/>
  <c r="AD268" i="5"/>
  <c r="AS403" i="5"/>
  <c r="AU403" i="5" s="1"/>
  <c r="AE33" i="5"/>
  <c r="AS218" i="5"/>
  <c r="AT218" i="5" s="1"/>
  <c r="AS398" i="5"/>
  <c r="AT398" i="5" s="1"/>
  <c r="AD173" i="5"/>
  <c r="AS66" i="5"/>
  <c r="AU66" i="5" s="1"/>
  <c r="AE473" i="5"/>
  <c r="AD119" i="5"/>
  <c r="AS214" i="5"/>
  <c r="AU214" i="5" s="1"/>
  <c r="AE141" i="5"/>
  <c r="AE404" i="5"/>
  <c r="AE268" i="5"/>
  <c r="AD259" i="5"/>
  <c r="AD266" i="5"/>
  <c r="AE257" i="5"/>
  <c r="AS229" i="5"/>
  <c r="AU229" i="5" s="1"/>
  <c r="AE229" i="5"/>
  <c r="AE536" i="5"/>
  <c r="AS108" i="5"/>
  <c r="AT108" i="5" s="1"/>
  <c r="AD218" i="5"/>
  <c r="AS65" i="5"/>
  <c r="AU65" i="5" s="1"/>
  <c r="AD147" i="5"/>
  <c r="AE99" i="5"/>
  <c r="AS157" i="5"/>
  <c r="AU157" i="5" s="1"/>
  <c r="AE541" i="5"/>
  <c r="AD90" i="5"/>
  <c r="AE282" i="5"/>
  <c r="AS468" i="5"/>
  <c r="AT468" i="5" s="1"/>
  <c r="AS528" i="5"/>
  <c r="AU528" i="5" s="1"/>
  <c r="AD134" i="5"/>
  <c r="AS428" i="5"/>
  <c r="AU428" i="5" s="1"/>
  <c r="AE468" i="5"/>
  <c r="AS198" i="5"/>
  <c r="AT198" i="5" s="1"/>
  <c r="AD513" i="5"/>
  <c r="AE329" i="5"/>
  <c r="AS285" i="5"/>
  <c r="AT285" i="5" s="1"/>
  <c r="AE521" i="5"/>
  <c r="AE380" i="5"/>
  <c r="AS513" i="5"/>
  <c r="AU513" i="5" s="1"/>
  <c r="AE331" i="5"/>
  <c r="AD395" i="5"/>
  <c r="AS318" i="5"/>
  <c r="AU318" i="5" s="1"/>
  <c r="AD329" i="5"/>
  <c r="AD83" i="5"/>
  <c r="AE285" i="5"/>
  <c r="AD521" i="5"/>
  <c r="AE198" i="5"/>
  <c r="AD255" i="5"/>
  <c r="AE471" i="5"/>
  <c r="AD471" i="5"/>
  <c r="AD380" i="5"/>
  <c r="AD331" i="5"/>
  <c r="AE395" i="5"/>
  <c r="AE318" i="5"/>
  <c r="AS270" i="5"/>
  <c r="AT270" i="5" s="1"/>
  <c r="AD427" i="5"/>
  <c r="AE83" i="5"/>
  <c r="AS402" i="5"/>
  <c r="AU402" i="5" s="1"/>
  <c r="AD270" i="5"/>
  <c r="AE427" i="5"/>
  <c r="AE402" i="5"/>
  <c r="AS255" i="5"/>
  <c r="AT255" i="5" s="1"/>
  <c r="Y39" i="4"/>
  <c r="Z39" i="4" s="1"/>
  <c r="AF39" i="4" s="1"/>
  <c r="AE62" i="5"/>
  <c r="AS205" i="5"/>
  <c r="AT205" i="5" s="1"/>
  <c r="AD251" i="5"/>
  <c r="AU175" i="5"/>
  <c r="AS82" i="5"/>
  <c r="AU82" i="5" s="1"/>
  <c r="AE39" i="4"/>
  <c r="AS401" i="5"/>
  <c r="AU401" i="5" s="1"/>
  <c r="AS437" i="5"/>
  <c r="AT437" i="5" s="1"/>
  <c r="AD82" i="5"/>
  <c r="AE437" i="5"/>
  <c r="AE251" i="5"/>
  <c r="AD424" i="5"/>
  <c r="AS387" i="5"/>
  <c r="AT387" i="5" s="1"/>
  <c r="AS103" i="5"/>
  <c r="AT103" i="5" s="1"/>
  <c r="AE175" i="5"/>
  <c r="AD381" i="5"/>
  <c r="AE424" i="5"/>
  <c r="AS316" i="5"/>
  <c r="AU316" i="5" s="1"/>
  <c r="AD7" i="5"/>
  <c r="B215" i="2" s="1"/>
  <c r="B216" i="2" s="1"/>
  <c r="B217" i="2" s="1"/>
  <c r="B227" i="2" s="1"/>
  <c r="B229" i="2" s="1"/>
  <c r="AE381" i="5"/>
  <c r="AD67" i="5"/>
  <c r="AO118" i="4"/>
  <c r="AE509" i="5"/>
  <c r="AD316" i="5"/>
  <c r="AS67" i="5"/>
  <c r="AU67" i="5" s="1"/>
  <c r="AS486" i="5"/>
  <c r="AU486" i="5" s="1"/>
  <c r="AE7" i="5"/>
  <c r="AS472" i="5"/>
  <c r="AT472" i="5" s="1"/>
  <c r="AE103" i="5"/>
  <c r="AD175" i="5"/>
  <c r="AD410" i="5"/>
  <c r="AE339" i="5"/>
  <c r="AS558" i="5"/>
  <c r="AU558" i="5" s="1"/>
  <c r="AE555" i="5"/>
  <c r="AE515" i="5"/>
  <c r="AD553" i="5"/>
  <c r="AD339" i="5"/>
  <c r="AE178" i="5"/>
  <c r="AE72" i="5"/>
  <c r="X12" i="4"/>
  <c r="AJ12" i="4" s="1"/>
  <c r="AD34" i="5"/>
  <c r="AE558" i="5"/>
  <c r="AS555" i="5"/>
  <c r="AU555" i="5" s="1"/>
  <c r="AE553" i="5"/>
  <c r="AS128" i="5"/>
  <c r="AT128" i="5" s="1"/>
  <c r="AE209" i="5"/>
  <c r="AD388" i="5"/>
  <c r="AE406" i="5"/>
  <c r="AD498" i="5"/>
  <c r="AD515" i="5"/>
  <c r="AD433" i="5"/>
  <c r="AE498" i="5"/>
  <c r="AS411" i="5"/>
  <c r="AU411" i="5" s="1"/>
  <c r="AS321" i="5"/>
  <c r="AU321" i="5" s="1"/>
  <c r="AE377" i="5"/>
  <c r="AE153" i="5"/>
  <c r="AE263" i="5"/>
  <c r="AE75" i="5"/>
  <c r="AE102" i="5"/>
  <c r="AD193" i="5"/>
  <c r="AE128" i="5"/>
  <c r="AS102" i="5"/>
  <c r="AT102" i="5" s="1"/>
  <c r="AD110" i="5"/>
  <c r="Y12" i="4"/>
  <c r="Z12" i="4" s="1"/>
  <c r="AD411" i="5"/>
  <c r="AS263" i="5"/>
  <c r="AU263" i="5" s="1"/>
  <c r="AS75" i="5"/>
  <c r="AU75" i="5" s="1"/>
  <c r="AS209" i="5"/>
  <c r="AT209" i="5" s="1"/>
  <c r="AE171" i="5"/>
  <c r="AE433" i="5"/>
  <c r="AS29" i="5"/>
  <c r="AT29" i="5" s="1"/>
  <c r="AS377" i="5"/>
  <c r="AU377" i="5" s="1"/>
  <c r="AS153" i="5"/>
  <c r="AT153" i="5" s="1"/>
  <c r="AE465" i="5"/>
  <c r="AD43" i="5"/>
  <c r="AD179" i="5"/>
  <c r="AS110" i="5"/>
  <c r="AU110" i="5" s="1"/>
  <c r="AE447" i="5"/>
  <c r="AD171" i="5"/>
  <c r="AS35" i="5"/>
  <c r="AT35" i="5" s="1"/>
  <c r="AS375" i="5"/>
  <c r="AT375" i="5" s="1"/>
  <c r="AE182" i="5"/>
  <c r="AD78" i="5"/>
  <c r="AS20" i="5"/>
  <c r="AT20" i="5" s="1"/>
  <c r="AD69" i="5"/>
  <c r="AE135" i="5"/>
  <c r="AD414" i="5"/>
  <c r="AE481" i="5"/>
  <c r="AD560" i="5"/>
  <c r="AS240" i="5"/>
  <c r="AT240" i="5" s="1"/>
  <c r="AE129" i="5"/>
  <c r="AD135" i="5"/>
  <c r="AE394" i="5"/>
  <c r="AD362" i="5"/>
  <c r="AS414" i="5"/>
  <c r="AT414" i="5" s="1"/>
  <c r="AD204" i="5"/>
  <c r="AS560" i="5"/>
  <c r="AT560" i="5" s="1"/>
  <c r="AS231" i="5"/>
  <c r="AU231" i="5" s="1"/>
  <c r="AS219" i="5"/>
  <c r="AT219" i="5" s="1"/>
  <c r="AS129" i="5"/>
  <c r="AT129" i="5" s="1"/>
  <c r="AE201" i="5"/>
  <c r="AD93" i="5"/>
  <c r="AE362" i="5"/>
  <c r="AS53" i="5"/>
  <c r="AT53" i="5" s="1"/>
  <c r="AS204" i="5"/>
  <c r="AT204" i="5" s="1"/>
  <c r="AE231" i="5"/>
  <c r="AE240" i="5"/>
  <c r="AE163" i="5"/>
  <c r="AD53" i="5"/>
  <c r="AD219" i="5"/>
  <c r="AS93" i="5"/>
  <c r="AT93" i="5" s="1"/>
  <c r="AS199" i="5"/>
  <c r="AT199" i="5" s="1"/>
  <c r="AE344" i="5"/>
  <c r="AS163" i="5"/>
  <c r="AT163" i="5" s="1"/>
  <c r="AS247" i="5"/>
  <c r="AT247" i="5" s="1"/>
  <c r="AE321" i="5"/>
  <c r="AD320" i="5"/>
  <c r="AS291" i="5"/>
  <c r="AU291" i="5" s="1"/>
  <c r="AE108" i="5"/>
  <c r="AD348" i="5"/>
  <c r="AS320" i="5"/>
  <c r="AT320" i="5" s="1"/>
  <c r="AD291" i="5"/>
  <c r="AE183" i="5"/>
  <c r="AE348" i="5"/>
  <c r="AU182" i="5"/>
  <c r="AT72" i="5"/>
  <c r="AE413" i="5"/>
  <c r="AD182" i="5"/>
  <c r="AD413" i="5"/>
  <c r="AD72" i="5"/>
  <c r="AS406" i="5"/>
  <c r="AT406" i="5" s="1"/>
  <c r="AS480" i="5"/>
  <c r="AT480" i="5" s="1"/>
  <c r="AD45" i="5"/>
  <c r="AE317" i="5"/>
  <c r="AE20" i="5"/>
  <c r="AD317" i="5"/>
  <c r="AS272" i="5"/>
  <c r="AU272" i="5" s="1"/>
  <c r="Y26" i="4"/>
  <c r="Z26" i="4" s="1"/>
  <c r="X26" i="4"/>
  <c r="AJ26" i="4" s="1"/>
  <c r="AE26" i="4"/>
  <c r="AD272" i="5"/>
  <c r="AS45" i="5"/>
  <c r="AT45" i="5" s="1"/>
  <c r="AE323" i="5"/>
  <c r="AE559" i="5"/>
  <c r="AS323" i="5"/>
  <c r="AU323" i="5" s="1"/>
  <c r="AS559" i="5"/>
  <c r="AU559" i="5" s="1"/>
  <c r="AS409" i="5"/>
  <c r="AU409" i="5" s="1"/>
  <c r="AE387" i="5"/>
  <c r="AD409" i="5"/>
  <c r="AR11" i="5"/>
  <c r="Y22" i="4"/>
  <c r="Z22" i="4" s="1"/>
  <c r="AA22" i="4" s="1"/>
  <c r="AC22" i="4" s="1"/>
  <c r="AD22" i="4" s="1"/>
  <c r="AE22" i="4"/>
  <c r="AE129" i="4"/>
  <c r="X72" i="4"/>
  <c r="AJ72" i="4" s="1"/>
  <c r="AE72" i="4"/>
  <c r="AO72" i="4"/>
  <c r="AS11" i="5"/>
  <c r="AU11" i="5" s="1"/>
  <c r="Y148" i="4"/>
  <c r="Z148" i="4" s="1"/>
  <c r="AF148" i="4" s="1"/>
  <c r="AE148" i="4"/>
  <c r="Y109" i="4"/>
  <c r="Z109" i="4" s="1"/>
  <c r="AF109" i="4" s="1"/>
  <c r="AE109" i="4"/>
  <c r="AT127" i="5"/>
  <c r="AS287" i="5"/>
  <c r="AT287" i="5" s="1"/>
  <c r="AQ9" i="5"/>
  <c r="AE79" i="4"/>
  <c r="X129" i="4"/>
  <c r="AJ129" i="4" s="1"/>
  <c r="AF152" i="4"/>
  <c r="AG152" i="4" s="1"/>
  <c r="AI152" i="4" s="1"/>
  <c r="AS249" i="5"/>
  <c r="AU249" i="5" s="1"/>
  <c r="AF67" i="4"/>
  <c r="AG67" i="4" s="1"/>
  <c r="AI67" i="4" s="1"/>
  <c r="AE67" i="4"/>
  <c r="X67" i="4"/>
  <c r="AA67" i="4" s="1"/>
  <c r="AC67" i="4" s="1"/>
  <c r="AD67" i="4" s="1"/>
  <c r="X79" i="4"/>
  <c r="AJ79" i="4" s="1"/>
  <c r="AD130" i="5"/>
  <c r="AD449" i="5"/>
  <c r="X152" i="4"/>
  <c r="AA152" i="4" s="1"/>
  <c r="AC152" i="4" s="1"/>
  <c r="AD152" i="4" s="1"/>
  <c r="AE152" i="4"/>
  <c r="Y34" i="4"/>
  <c r="Z34" i="4" s="1"/>
  <c r="AE34" i="4"/>
  <c r="X34" i="4"/>
  <c r="AJ34" i="4" s="1"/>
  <c r="X133" i="4"/>
  <c r="AJ133" i="4" s="1"/>
  <c r="AE133" i="4"/>
  <c r="Y133" i="4"/>
  <c r="Z133" i="4" s="1"/>
  <c r="Y21" i="4"/>
  <c r="Z21" i="4" s="1"/>
  <c r="AE21" i="4"/>
  <c r="X21" i="4"/>
  <c r="AJ21" i="4" s="1"/>
  <c r="Y58" i="4"/>
  <c r="Z58" i="4" s="1"/>
  <c r="X58" i="4"/>
  <c r="AJ58" i="4" s="1"/>
  <c r="AE58" i="4"/>
  <c r="Y144" i="4"/>
  <c r="X144" i="4"/>
  <c r="AE144" i="4"/>
  <c r="Y24" i="4"/>
  <c r="Z24" i="4" s="1"/>
  <c r="AE24" i="4"/>
  <c r="X24" i="4"/>
  <c r="Y83" i="4"/>
  <c r="Z83" i="4" s="1"/>
  <c r="AE83" i="4"/>
  <c r="AE62" i="4"/>
  <c r="Y62" i="4"/>
  <c r="Z62" i="4" s="1"/>
  <c r="Y101" i="4"/>
  <c r="Z101" i="4" s="1"/>
  <c r="X101" i="4"/>
  <c r="AJ101" i="4" s="1"/>
  <c r="AE101" i="4"/>
  <c r="AF79" i="4"/>
  <c r="Y132" i="4"/>
  <c r="Z132" i="4" s="1"/>
  <c r="AF132" i="4" s="1"/>
  <c r="AE132" i="4"/>
  <c r="X132" i="4"/>
  <c r="Y94" i="4"/>
  <c r="Z94" i="4" s="1"/>
  <c r="X94" i="4"/>
  <c r="AA140" i="4"/>
  <c r="AC140" i="4" s="1"/>
  <c r="AD140" i="4" s="1"/>
  <c r="AK140" i="4"/>
  <c r="AF140" i="4"/>
  <c r="X62" i="4"/>
  <c r="AJ62" i="4" s="1"/>
  <c r="X83" i="4"/>
  <c r="AJ83" i="4" s="1"/>
  <c r="X141" i="4"/>
  <c r="AJ141" i="4" s="1"/>
  <c r="Y141" i="4"/>
  <c r="AE141" i="4"/>
  <c r="Y59" i="4"/>
  <c r="Z59" i="4" s="1"/>
  <c r="AE59" i="4"/>
  <c r="Y10" i="4"/>
  <c r="Z10" i="4" s="1"/>
  <c r="X10" i="4"/>
  <c r="AJ10" i="4" s="1"/>
  <c r="AE10" i="4"/>
  <c r="Y130" i="4"/>
  <c r="X130" i="4"/>
  <c r="AE130" i="4"/>
  <c r="X155" i="4"/>
  <c r="Y155" i="4"/>
  <c r="AF105" i="4"/>
  <c r="AA105" i="4"/>
  <c r="AC105" i="4" s="1"/>
  <c r="AD105" i="4" s="1"/>
  <c r="AK105" i="4"/>
  <c r="AD287" i="5"/>
  <c r="AD249" i="5"/>
  <c r="AE449" i="5"/>
  <c r="AE292" i="5"/>
  <c r="AS393" i="5"/>
  <c r="AT393" i="5" s="1"/>
  <c r="AS292" i="5"/>
  <c r="AU292" i="5" s="1"/>
  <c r="AS391" i="5"/>
  <c r="AT391" i="5" s="1"/>
  <c r="AD393" i="5"/>
  <c r="AE391" i="5"/>
  <c r="AA84" i="4"/>
  <c r="AC84" i="4" s="1"/>
  <c r="AD84" i="4" s="1"/>
  <c r="AK84" i="4"/>
  <c r="AF84" i="4"/>
  <c r="AE286" i="5"/>
  <c r="AD286" i="5"/>
  <c r="AS162" i="5"/>
  <c r="AT162" i="5" s="1"/>
  <c r="AD123" i="5"/>
  <c r="AD74" i="5"/>
  <c r="AD11" i="5"/>
  <c r="AG75" i="4"/>
  <c r="AI75" i="4" s="1"/>
  <c r="AE11" i="5"/>
  <c r="AS235" i="5"/>
  <c r="AU235" i="5" s="1"/>
  <c r="AE10" i="5"/>
  <c r="AS10" i="5"/>
  <c r="AU10" i="5" s="1"/>
  <c r="AD235" i="5"/>
  <c r="AE123" i="5"/>
  <c r="AE74" i="5"/>
  <c r="AE162" i="5"/>
  <c r="AS299" i="5"/>
  <c r="AU299" i="5" s="1"/>
  <c r="AA123" i="4"/>
  <c r="AC123" i="4" s="1"/>
  <c r="AD123" i="4" s="1"/>
  <c r="AO108" i="4"/>
  <c r="AK40" i="4"/>
  <c r="AA32" i="4"/>
  <c r="AC32" i="4" s="1"/>
  <c r="AD32" i="4" s="1"/>
  <c r="AD557" i="5"/>
  <c r="AE549" i="5"/>
  <c r="AE271" i="5"/>
  <c r="AA40" i="4"/>
  <c r="AC40" i="4" s="1"/>
  <c r="AD40" i="4" s="1"/>
  <c r="AD311" i="5"/>
  <c r="AS8" i="5"/>
  <c r="AT8" i="5" s="1"/>
  <c r="AS169" i="5"/>
  <c r="AT169" i="5" s="1"/>
  <c r="AE340" i="5"/>
  <c r="AD397" i="5"/>
  <c r="AD538" i="5"/>
  <c r="AE407" i="5"/>
  <c r="AD176" i="5"/>
  <c r="AE311" i="5"/>
  <c r="AE130" i="5"/>
  <c r="AS340" i="5"/>
  <c r="AU340" i="5" s="1"/>
  <c r="AE412" i="5"/>
  <c r="AS271" i="5"/>
  <c r="AT271" i="5" s="1"/>
  <c r="AD445" i="5"/>
  <c r="AS95" i="5"/>
  <c r="AT95" i="5" s="1"/>
  <c r="AE538" i="5"/>
  <c r="AS412" i="5"/>
  <c r="AT412" i="5" s="1"/>
  <c r="AD334" i="5"/>
  <c r="AE445" i="5"/>
  <c r="AD95" i="5"/>
  <c r="AD458" i="5"/>
  <c r="AS79" i="5"/>
  <c r="AT79" i="5" s="1"/>
  <c r="AX78" i="5" s="1"/>
  <c r="AY78" i="5" s="1"/>
  <c r="AE52" i="5"/>
  <c r="AS458" i="5"/>
  <c r="AU458" i="5" s="1"/>
  <c r="AE79" i="5"/>
  <c r="AS52" i="5"/>
  <c r="AU52" i="5" s="1"/>
  <c r="AD233" i="5"/>
  <c r="AE510" i="5"/>
  <c r="AE467" i="5"/>
  <c r="AS233" i="5"/>
  <c r="AU233" i="5" s="1"/>
  <c r="AS396" i="5"/>
  <c r="AT396" i="5" s="1"/>
  <c r="AD169" i="5"/>
  <c r="AS510" i="5"/>
  <c r="AU510" i="5" s="1"/>
  <c r="AD467" i="5"/>
  <c r="AE299" i="5"/>
  <c r="AD396" i="5"/>
  <c r="AE397" i="5"/>
  <c r="AS443" i="5"/>
  <c r="AU443" i="5" s="1"/>
  <c r="AE373" i="5"/>
  <c r="AD448" i="5"/>
  <c r="AS364" i="5"/>
  <c r="AT364" i="5" s="1"/>
  <c r="AE215" i="5"/>
  <c r="AD215" i="5"/>
  <c r="AS549" i="5"/>
  <c r="AU549" i="5" s="1"/>
  <c r="AE557" i="5"/>
  <c r="AE448" i="5"/>
  <c r="AD364" i="5"/>
  <c r="AS56" i="5"/>
  <c r="AU56" i="5" s="1"/>
  <c r="AE370" i="5"/>
  <c r="AE107" i="5"/>
  <c r="AE57" i="5"/>
  <c r="AD39" i="5"/>
  <c r="AS191" i="5"/>
  <c r="AU191" i="5" s="1"/>
  <c r="AE172" i="5"/>
  <c r="AS490" i="5"/>
  <c r="AT490" i="5" s="1"/>
  <c r="AD464" i="5"/>
  <c r="AD373" i="5"/>
  <c r="AS539" i="5"/>
  <c r="AT539" i="5" s="1"/>
  <c r="AD443" i="5"/>
  <c r="AS550" i="5"/>
  <c r="AU550" i="5" s="1"/>
  <c r="AS503" i="5"/>
  <c r="AT503" i="5" s="1"/>
  <c r="AE490" i="5"/>
  <c r="AE539" i="5"/>
  <c r="AE550" i="5"/>
  <c r="AD290" i="5"/>
  <c r="AE464" i="5"/>
  <c r="AE252" i="5"/>
  <c r="AD96" i="5"/>
  <c r="AS154" i="5"/>
  <c r="AU154" i="5" s="1"/>
  <c r="AE290" i="5"/>
  <c r="AD370" i="5"/>
  <c r="AS230" i="5"/>
  <c r="AT230" i="5" s="1"/>
  <c r="AD252" i="5"/>
  <c r="AS96" i="5"/>
  <c r="AU96" i="5" s="1"/>
  <c r="AE154" i="5"/>
  <c r="AD542" i="5"/>
  <c r="AS457" i="5"/>
  <c r="AT457" i="5" s="1"/>
  <c r="AE457" i="5"/>
  <c r="AE230" i="5"/>
  <c r="AS542" i="5"/>
  <c r="AU542" i="5" s="1"/>
  <c r="AD191" i="5"/>
  <c r="AS57" i="5"/>
  <c r="AT57" i="5" s="1"/>
  <c r="AS207" i="5"/>
  <c r="AU207" i="5" s="1"/>
  <c r="AE207" i="5"/>
  <c r="AE212" i="5"/>
  <c r="AD284" i="5"/>
  <c r="AD212" i="5"/>
  <c r="AE418" i="5"/>
  <c r="AE85" i="5"/>
  <c r="AS196" i="5"/>
  <c r="AU196" i="5" s="1"/>
  <c r="AS352" i="5"/>
  <c r="AU352" i="5" s="1"/>
  <c r="AE161" i="5"/>
  <c r="AE64" i="5"/>
  <c r="AD547" i="5"/>
  <c r="AE288" i="5"/>
  <c r="AD187" i="5"/>
  <c r="AD435" i="5"/>
  <c r="AE305" i="5"/>
  <c r="AE187" i="5"/>
  <c r="AS435" i="5"/>
  <c r="AT435" i="5" s="1"/>
  <c r="AD305" i="5"/>
  <c r="AD71" i="5"/>
  <c r="AD315" i="5"/>
  <c r="AS315" i="5"/>
  <c r="AT315" i="5" s="1"/>
  <c r="AE250" i="5"/>
  <c r="AE156" i="5"/>
  <c r="AS346" i="5"/>
  <c r="AT346" i="5" s="1"/>
  <c r="AD149" i="5"/>
  <c r="AE312" i="5"/>
  <c r="AS124" i="5"/>
  <c r="AU124" i="5" s="1"/>
  <c r="AD367" i="5"/>
  <c r="AE124" i="5"/>
  <c r="AE526" i="5"/>
  <c r="AS307" i="5"/>
  <c r="AT307" i="5" s="1"/>
  <c r="AS211" i="5"/>
  <c r="AT211" i="5" s="1"/>
  <c r="AS526" i="5"/>
  <c r="AU526" i="5" s="1"/>
  <c r="AE531" i="5"/>
  <c r="AD312" i="5"/>
  <c r="AD225" i="5"/>
  <c r="AD159" i="5"/>
  <c r="AS330" i="5"/>
  <c r="AT330" i="5" s="1"/>
  <c r="AD485" i="5"/>
  <c r="AS419" i="5"/>
  <c r="AU419" i="5" s="1"/>
  <c r="AD330" i="5"/>
  <c r="AE485" i="5"/>
  <c r="AS139" i="5"/>
  <c r="AT139" i="5" s="1"/>
  <c r="AS185" i="5"/>
  <c r="AT185" i="5" s="1"/>
  <c r="AS519" i="5"/>
  <c r="AU519" i="5" s="1"/>
  <c r="AS227" i="5"/>
  <c r="AU227" i="5" s="1"/>
  <c r="AE246" i="5"/>
  <c r="AE224" i="5"/>
  <c r="AD47" i="5"/>
  <c r="AS487" i="5"/>
  <c r="AU487" i="5" s="1"/>
  <c r="AA124" i="4"/>
  <c r="AC124" i="4" s="1"/>
  <c r="AD124" i="4" s="1"/>
  <c r="AE487" i="5"/>
  <c r="AE326" i="5"/>
  <c r="AD167" i="5"/>
  <c r="AD28" i="5"/>
  <c r="AS326" i="5"/>
  <c r="AU326" i="5" s="1"/>
  <c r="AE118" i="5"/>
  <c r="AE176" i="5"/>
  <c r="AS407" i="5"/>
  <c r="AT407" i="5" s="1"/>
  <c r="AS39" i="5"/>
  <c r="AT39" i="5" s="1"/>
  <c r="AE98" i="5"/>
  <c r="AS172" i="5"/>
  <c r="AU172" i="5" s="1"/>
  <c r="AE284" i="5"/>
  <c r="AS547" i="5"/>
  <c r="AU547" i="5" s="1"/>
  <c r="AD488" i="5"/>
  <c r="AS418" i="5"/>
  <c r="AT418" i="5" s="1"/>
  <c r="AE196" i="5"/>
  <c r="AS357" i="5"/>
  <c r="AU357" i="5" s="1"/>
  <c r="AD358" i="5"/>
  <c r="AS98" i="5"/>
  <c r="AT98" i="5" s="1"/>
  <c r="AE488" i="5"/>
  <c r="AD357" i="5"/>
  <c r="AD144" i="5"/>
  <c r="AS322" i="5"/>
  <c r="AT322" i="5" s="1"/>
  <c r="AE144" i="5"/>
  <c r="AS107" i="5"/>
  <c r="AU107" i="5" s="1"/>
  <c r="AE352" i="5"/>
  <c r="AD85" i="5"/>
  <c r="AD322" i="5"/>
  <c r="AD161" i="5"/>
  <c r="AS64" i="5"/>
  <c r="AT64" i="5" s="1"/>
  <c r="AD8" i="5"/>
  <c r="AD139" i="5"/>
  <c r="AE346" i="5"/>
  <c r="AE423" i="5"/>
  <c r="AE185" i="5"/>
  <c r="AE419" i="5"/>
  <c r="AE159" i="5"/>
  <c r="AE227" i="5"/>
  <c r="AD37" i="5"/>
  <c r="AS246" i="5"/>
  <c r="AU246" i="5" s="1"/>
  <c r="AD524" i="5"/>
  <c r="AS423" i="5"/>
  <c r="AU423" i="5" s="1"/>
  <c r="AE37" i="5"/>
  <c r="AE524" i="5"/>
  <c r="AE319" i="5"/>
  <c r="AE100" i="5"/>
  <c r="AD319" i="5"/>
  <c r="AD273" i="5"/>
  <c r="AE442" i="5"/>
  <c r="AS225" i="5"/>
  <c r="AT225" i="5" s="1"/>
  <c r="AD100" i="5"/>
  <c r="AS273" i="5"/>
  <c r="AT273" i="5" s="1"/>
  <c r="AS281" i="5"/>
  <c r="AT281" i="5" s="1"/>
  <c r="AE408" i="5"/>
  <c r="AS442" i="5"/>
  <c r="AU442" i="5" s="1"/>
  <c r="AD281" i="5"/>
  <c r="AE535" i="5"/>
  <c r="AD86" i="5"/>
  <c r="AS535" i="5"/>
  <c r="AU535" i="5" s="1"/>
  <c r="AE489" i="5"/>
  <c r="AO68" i="4"/>
  <c r="AD489" i="5"/>
  <c r="AS224" i="5"/>
  <c r="AT224" i="5" s="1"/>
  <c r="AE61" i="5"/>
  <c r="AK68" i="4"/>
  <c r="AE355" i="5"/>
  <c r="AE430" i="5"/>
  <c r="AS61" i="5"/>
  <c r="AU61" i="5" s="1"/>
  <c r="AE177" i="5"/>
  <c r="AS28" i="5"/>
  <c r="AU28" i="5" s="1"/>
  <c r="AS355" i="5"/>
  <c r="AT355" i="5" s="1"/>
  <c r="AS430" i="5"/>
  <c r="AU430" i="5" s="1"/>
  <c r="AD256" i="5"/>
  <c r="AE337" i="5"/>
  <c r="AD389" i="5"/>
  <c r="AD56" i="5"/>
  <c r="AD307" i="5"/>
  <c r="AD211" i="5"/>
  <c r="AG103" i="4"/>
  <c r="AI103" i="4" s="1"/>
  <c r="AD87" i="5"/>
  <c r="AE493" i="5"/>
  <c r="AA68" i="4"/>
  <c r="AC68" i="4" s="1"/>
  <c r="AD68" i="4" s="1"/>
  <c r="AA19" i="4"/>
  <c r="AC19" i="4" s="1"/>
  <c r="AD19" i="4" s="1"/>
  <c r="AS493" i="5"/>
  <c r="AT493" i="5" s="1"/>
  <c r="AS195" i="5"/>
  <c r="AT195" i="5" s="1"/>
  <c r="AS92" i="5"/>
  <c r="AT92" i="5" s="1"/>
  <c r="AS190" i="5"/>
  <c r="AU190" i="5" s="1"/>
  <c r="AS30" i="5"/>
  <c r="AU30" i="5" s="1"/>
  <c r="AD195" i="5"/>
  <c r="AK103" i="4"/>
  <c r="AE190" i="5"/>
  <c r="AE30" i="5"/>
  <c r="AS41" i="5"/>
  <c r="AU41" i="5" s="1"/>
  <c r="AD439" i="5"/>
  <c r="AD192" i="5"/>
  <c r="AS86" i="5"/>
  <c r="AT86" i="5" s="1"/>
  <c r="AS177" i="5"/>
  <c r="AT177" i="5" s="1"/>
  <c r="AS164" i="5"/>
  <c r="AU164" i="5" s="1"/>
  <c r="AD164" i="5"/>
  <c r="AE461" i="5"/>
  <c r="AE192" i="5"/>
  <c r="AE347" i="5"/>
  <c r="AE146" i="5"/>
  <c r="AE41" i="5"/>
  <c r="AD51" i="5"/>
  <c r="AS527" i="5"/>
  <c r="AU527" i="5" s="1"/>
  <c r="AD337" i="5"/>
  <c r="AE87" i="5"/>
  <c r="AK82" i="4"/>
  <c r="AD461" i="5"/>
  <c r="AS367" i="5"/>
  <c r="AU367" i="5" s="1"/>
  <c r="AS51" i="5"/>
  <c r="AU51" i="5" s="1"/>
  <c r="AA120" i="4"/>
  <c r="AC120" i="4" s="1"/>
  <c r="AD120" i="4" s="1"/>
  <c r="AA99" i="4"/>
  <c r="AC99" i="4" s="1"/>
  <c r="AD99" i="4" s="1"/>
  <c r="AD527" i="5"/>
  <c r="AD408" i="5"/>
  <c r="AS389" i="5"/>
  <c r="AT389" i="5" s="1"/>
  <c r="AA103" i="4"/>
  <c r="AC103" i="4" s="1"/>
  <c r="AD103" i="4" s="1"/>
  <c r="AK102" i="4"/>
  <c r="AS368" i="5"/>
  <c r="AT368" i="5" s="1"/>
  <c r="AE368" i="5"/>
  <c r="AE63" i="5"/>
  <c r="AE131" i="5"/>
  <c r="AS131" i="5"/>
  <c r="AT131" i="5" s="1"/>
  <c r="AE167" i="5"/>
  <c r="AK81" i="4"/>
  <c r="AD347" i="5"/>
  <c r="AD146" i="5"/>
  <c r="AD63" i="5"/>
  <c r="AS439" i="5"/>
  <c r="AT439" i="5" s="1"/>
  <c r="AG97" i="4"/>
  <c r="AI97" i="4" s="1"/>
  <c r="AA45" i="4"/>
  <c r="AC45" i="4" s="1"/>
  <c r="AD45" i="4" s="1"/>
  <c r="AA102" i="4"/>
  <c r="AC102" i="4" s="1"/>
  <c r="AD102" i="4" s="1"/>
  <c r="AS156" i="5"/>
  <c r="AU156" i="5" s="1"/>
  <c r="AS71" i="5"/>
  <c r="AT71" i="5" s="1"/>
  <c r="AD170" i="5"/>
  <c r="AE170" i="5"/>
  <c r="AS250" i="5"/>
  <c r="AT250" i="5" s="1"/>
  <c r="AF32" i="4"/>
  <c r="AG32" i="4" s="1"/>
  <c r="AI32" i="4" s="1"/>
  <c r="AA122" i="4"/>
  <c r="AC122" i="4" s="1"/>
  <c r="AD122" i="4" s="1"/>
  <c r="AK45" i="4"/>
  <c r="AS415" i="5"/>
  <c r="AU415" i="5" s="1"/>
  <c r="AA60" i="4"/>
  <c r="AC60" i="4" s="1"/>
  <c r="AD60" i="4" s="1"/>
  <c r="AD415" i="5"/>
  <c r="AO45" i="4"/>
  <c r="AD516" i="5"/>
  <c r="AA82" i="4"/>
  <c r="AC82" i="4" s="1"/>
  <c r="AD82" i="4" s="1"/>
  <c r="AS516" i="5"/>
  <c r="AU516" i="5" s="1"/>
  <c r="AS152" i="5"/>
  <c r="AU152" i="5" s="1"/>
  <c r="AE152" i="5"/>
  <c r="AD288" i="5"/>
  <c r="AK71" i="4"/>
  <c r="AE149" i="5"/>
  <c r="AF120" i="4"/>
  <c r="AO120" i="4" s="1"/>
  <c r="AS531" i="5"/>
  <c r="AU531" i="5" s="1"/>
  <c r="AE554" i="5"/>
  <c r="AS334" i="5"/>
  <c r="AU334" i="5" s="1"/>
  <c r="AE256" i="5"/>
  <c r="AD554" i="5"/>
  <c r="AK120" i="4"/>
  <c r="AE258" i="5"/>
  <c r="AE276" i="5"/>
  <c r="AE328" i="5"/>
  <c r="AS358" i="5"/>
  <c r="AU358" i="5" s="1"/>
  <c r="AE519" i="5"/>
  <c r="AD92" i="5"/>
  <c r="AS372" i="5"/>
  <c r="AT372" i="5" s="1"/>
  <c r="AS276" i="5"/>
  <c r="AT276" i="5" s="1"/>
  <c r="AS507" i="5"/>
  <c r="AT507" i="5" s="1"/>
  <c r="AD258" i="5"/>
  <c r="AS328" i="5"/>
  <c r="AT328" i="5" s="1"/>
  <c r="AE507" i="5"/>
  <c r="AK80" i="4"/>
  <c r="AA81" i="4"/>
  <c r="AC81" i="4" s="1"/>
  <c r="AD81" i="4" s="1"/>
  <c r="AF52" i="4"/>
  <c r="AA52" i="4"/>
  <c r="AC52" i="4" s="1"/>
  <c r="AD52" i="4" s="1"/>
  <c r="AE431" i="5"/>
  <c r="AS89" i="5"/>
  <c r="AU89" i="5" s="1"/>
  <c r="AS47" i="5"/>
  <c r="AT47" i="5" s="1"/>
  <c r="AE474" i="5"/>
  <c r="AF116" i="4"/>
  <c r="AK116" i="4"/>
  <c r="AJ108" i="4"/>
  <c r="AK108" i="4"/>
  <c r="AF38" i="4"/>
  <c r="AA38" i="4"/>
  <c r="AC38" i="4" s="1"/>
  <c r="AD38" i="4" s="1"/>
  <c r="AK38" i="4"/>
  <c r="AO70" i="4"/>
  <c r="AG70" i="4"/>
  <c r="AI70" i="4" s="1"/>
  <c r="AS431" i="5"/>
  <c r="AU431" i="5" s="1"/>
  <c r="AE89" i="5"/>
  <c r="AS474" i="5"/>
  <c r="AT474" i="5" s="1"/>
  <c r="B93" i="2"/>
  <c r="B113" i="2" s="1"/>
  <c r="H25" i="1" s="1"/>
  <c r="AG44" i="4"/>
  <c r="AI44" i="4" s="1"/>
  <c r="AO44" i="4"/>
  <c r="AA126" i="4"/>
  <c r="AC126" i="4" s="1"/>
  <c r="AD126" i="4" s="1"/>
  <c r="AF126" i="4"/>
  <c r="AK126" i="4"/>
  <c r="AF95" i="4"/>
  <c r="AK95" i="4"/>
  <c r="AA95" i="4"/>
  <c r="AC95" i="4" s="1"/>
  <c r="AD95" i="4" s="1"/>
  <c r="AK64" i="4"/>
  <c r="AF64" i="4"/>
  <c r="AA64" i="4"/>
  <c r="AC64" i="4" s="1"/>
  <c r="AD64" i="4" s="1"/>
  <c r="AS545" i="5"/>
  <c r="AU545" i="5" s="1"/>
  <c r="AD109" i="5"/>
  <c r="AA117" i="4"/>
  <c r="AC117" i="4" s="1"/>
  <c r="AD117" i="4" s="1"/>
  <c r="AA75" i="4"/>
  <c r="AC75" i="4" s="1"/>
  <c r="AD75" i="4" s="1"/>
  <c r="AF86" i="4"/>
  <c r="AA86" i="4"/>
  <c r="AC86" i="4" s="1"/>
  <c r="AD86" i="4" s="1"/>
  <c r="AK86" i="4"/>
  <c r="AJ27" i="4"/>
  <c r="AA27" i="4"/>
  <c r="AC27" i="4" s="1"/>
  <c r="AD27" i="4" s="1"/>
  <c r="AK27" i="4"/>
  <c r="AF69" i="4"/>
  <c r="AE545" i="5"/>
  <c r="AE109" i="5"/>
  <c r="AD324" i="5"/>
  <c r="AA157" i="4"/>
  <c r="AC157" i="4" s="1"/>
  <c r="AD157" i="4" s="1"/>
  <c r="AF157" i="4"/>
  <c r="AK157" i="4"/>
  <c r="AF14" i="4"/>
  <c r="AF150" i="4"/>
  <c r="AA150" i="4"/>
  <c r="AC150" i="4" s="1"/>
  <c r="AD150" i="4" s="1"/>
  <c r="AK150" i="4"/>
  <c r="AA111" i="4"/>
  <c r="AC111" i="4" s="1"/>
  <c r="AD111" i="4" s="1"/>
  <c r="AS84" i="5"/>
  <c r="AT84" i="5" s="1"/>
  <c r="AE454" i="5"/>
  <c r="AA116" i="4"/>
  <c r="AC116" i="4" s="1"/>
  <c r="AD116" i="4" s="1"/>
  <c r="AJ116" i="4"/>
  <c r="AA71" i="4"/>
  <c r="AC71" i="4" s="1"/>
  <c r="AD71" i="4" s="1"/>
  <c r="AA30" i="4"/>
  <c r="AC30" i="4" s="1"/>
  <c r="AD30" i="4" s="1"/>
  <c r="AF54" i="4"/>
  <c r="AA54" i="4"/>
  <c r="AC54" i="4" s="1"/>
  <c r="AD54" i="4" s="1"/>
  <c r="AK54" i="4"/>
  <c r="AA44" i="4"/>
  <c r="AC44" i="4" s="1"/>
  <c r="AD44" i="4" s="1"/>
  <c r="AJ44" i="4"/>
  <c r="AK128" i="4"/>
  <c r="AF128" i="4"/>
  <c r="AA128" i="4"/>
  <c r="AC128" i="4" s="1"/>
  <c r="AD128" i="4" s="1"/>
  <c r="AK111" i="4"/>
  <c r="AF77" i="4"/>
  <c r="AA77" i="4"/>
  <c r="AC77" i="4" s="1"/>
  <c r="AD77" i="4" s="1"/>
  <c r="AK77" i="4"/>
  <c r="AE324" i="5"/>
  <c r="AE84" i="5"/>
  <c r="AD372" i="5"/>
  <c r="AK122" i="4"/>
  <c r="AD454" i="5"/>
  <c r="AA108" i="4"/>
  <c r="AC108" i="4" s="1"/>
  <c r="AD108" i="4" s="1"/>
  <c r="AA8" i="4"/>
  <c r="AC8" i="4" s="1"/>
  <c r="AD8" i="4" s="1"/>
  <c r="AF8" i="4"/>
  <c r="AK8" i="4"/>
  <c r="AA134" i="4"/>
  <c r="AC134" i="4" s="1"/>
  <c r="AD134" i="4" s="1"/>
  <c r="AF134" i="4"/>
  <c r="AK134" i="4"/>
  <c r="AA93" i="4"/>
  <c r="AC93" i="4" s="1"/>
  <c r="AD93" i="4" s="1"/>
  <c r="AF93" i="4"/>
  <c r="AK93" i="4"/>
  <c r="AO111" i="4"/>
  <c r="AG111" i="4"/>
  <c r="AI111" i="4" s="1"/>
  <c r="AK52" i="4"/>
  <c r="AA80" i="4"/>
  <c r="AC80" i="4" s="1"/>
  <c r="AD80" i="4" s="1"/>
  <c r="AF47" i="4"/>
  <c r="AA47" i="4"/>
  <c r="AC47" i="4" s="1"/>
  <c r="AD47" i="4" s="1"/>
  <c r="AF135" i="4"/>
  <c r="AJ70" i="4"/>
  <c r="AA70" i="4"/>
  <c r="AC70" i="4" s="1"/>
  <c r="AD70" i="4" s="1"/>
  <c r="AF23" i="4"/>
  <c r="AA23" i="4"/>
  <c r="AC23" i="4" s="1"/>
  <c r="AD23" i="4" s="1"/>
  <c r="AK23" i="4"/>
  <c r="AD118" i="5"/>
  <c r="AS242" i="5"/>
  <c r="AU242" i="5" s="1"/>
  <c r="AE91" i="5"/>
  <c r="AE242" i="5"/>
  <c r="AE484" i="5"/>
  <c r="AS88" i="5"/>
  <c r="AU88" i="5" s="1"/>
  <c r="AD91" i="5"/>
  <c r="AS497" i="5"/>
  <c r="AU497" i="5" s="1"/>
  <c r="AD484" i="5"/>
  <c r="AD88" i="5"/>
  <c r="AD497" i="5"/>
  <c r="AD503" i="5"/>
  <c r="AE9" i="5"/>
  <c r="AS9" i="5"/>
  <c r="AD9" i="5"/>
  <c r="AO85" i="4"/>
  <c r="AK89" i="4"/>
  <c r="AK65" i="4"/>
  <c r="AO81" i="4"/>
  <c r="AA151" i="4"/>
  <c r="AC151" i="4" s="1"/>
  <c r="AD151" i="4" s="1"/>
  <c r="AR151" i="4" s="1"/>
  <c r="AT151" i="4" s="1"/>
  <c r="AG49" i="4"/>
  <c r="AI49" i="4" s="1"/>
  <c r="AA153" i="4"/>
  <c r="AC153" i="4" s="1"/>
  <c r="AD153" i="4" s="1"/>
  <c r="AK117" i="4"/>
  <c r="AK151" i="4"/>
  <c r="AG114" i="4"/>
  <c r="AI114" i="4" s="1"/>
  <c r="AK13" i="4"/>
  <c r="AG43" i="4"/>
  <c r="AI43" i="4" s="1"/>
  <c r="AA13" i="4"/>
  <c r="AC13" i="4" s="1"/>
  <c r="AD13" i="4" s="1"/>
  <c r="AO17" i="4"/>
  <c r="AK92" i="4"/>
  <c r="AA65" i="4"/>
  <c r="AC65" i="4" s="1"/>
  <c r="AD65" i="4" s="1"/>
  <c r="AG149" i="4"/>
  <c r="AI149" i="4" s="1"/>
  <c r="AA89" i="4"/>
  <c r="AC89" i="4" s="1"/>
  <c r="AD89" i="4" s="1"/>
  <c r="AA17" i="4"/>
  <c r="AC17" i="4" s="1"/>
  <c r="AD17" i="4" s="1"/>
  <c r="AG139" i="4"/>
  <c r="AI139" i="4" s="1"/>
  <c r="AR139" i="4" s="1"/>
  <c r="AT139" i="4" s="1"/>
  <c r="AA92" i="4"/>
  <c r="AC92" i="4" s="1"/>
  <c r="AD92" i="4" s="1"/>
  <c r="AK97" i="4"/>
  <c r="AK17" i="4"/>
  <c r="AA48" i="4"/>
  <c r="AC48" i="4" s="1"/>
  <c r="AD48" i="4" s="1"/>
  <c r="AA97" i="4"/>
  <c r="AC97" i="4" s="1"/>
  <c r="AD97" i="4" s="1"/>
  <c r="AA136" i="4"/>
  <c r="AC136" i="4" s="1"/>
  <c r="AD136" i="4" s="1"/>
  <c r="AA85" i="4"/>
  <c r="AC85" i="4" s="1"/>
  <c r="AD85" i="4" s="1"/>
  <c r="AA90" i="4"/>
  <c r="AC90" i="4" s="1"/>
  <c r="AD90" i="4" s="1"/>
  <c r="AK138" i="4"/>
  <c r="AA25" i="4"/>
  <c r="AC25" i="4" s="1"/>
  <c r="AD25" i="4" s="1"/>
  <c r="AA113" i="4"/>
  <c r="AC113" i="4" s="1"/>
  <c r="AD113" i="4" s="1"/>
  <c r="AA114" i="4"/>
  <c r="AC114" i="4" s="1"/>
  <c r="AD114" i="4" s="1"/>
  <c r="AA138" i="4"/>
  <c r="AC138" i="4" s="1"/>
  <c r="AD138" i="4" s="1"/>
  <c r="AJ104" i="4"/>
  <c r="AA104" i="4"/>
  <c r="AC104" i="4" s="1"/>
  <c r="AD104" i="4" s="1"/>
  <c r="AK16" i="4"/>
  <c r="AJ41" i="4"/>
  <c r="AA41" i="4"/>
  <c r="AC41" i="4" s="1"/>
  <c r="AD41" i="4" s="1"/>
  <c r="AR41" i="4" s="1"/>
  <c r="AT41" i="4" s="1"/>
  <c r="AK113" i="4"/>
  <c r="AA131" i="4"/>
  <c r="AC131" i="4" s="1"/>
  <c r="AD131" i="4" s="1"/>
  <c r="AO48" i="4"/>
  <c r="AG48" i="4"/>
  <c r="AI48" i="4" s="1"/>
  <c r="AG131" i="4"/>
  <c r="AI131" i="4" s="1"/>
  <c r="AO131" i="4"/>
  <c r="AG90" i="4"/>
  <c r="AI90" i="4" s="1"/>
  <c r="AO90" i="4"/>
  <c r="AG117" i="4"/>
  <c r="AI117" i="4" s="1"/>
  <c r="AO117" i="4"/>
  <c r="AT7" i="5"/>
  <c r="AU7" i="5"/>
  <c r="AT83" i="5"/>
  <c r="AU83" i="5"/>
  <c r="AT146" i="5"/>
  <c r="AU146" i="5"/>
  <c r="AO57" i="4"/>
  <c r="AG57" i="4"/>
  <c r="AI57" i="4" s="1"/>
  <c r="AU500" i="5"/>
  <c r="AT500" i="5"/>
  <c r="AU294" i="5"/>
  <c r="AT294" i="5"/>
  <c r="AF73" i="4"/>
  <c r="AK73" i="4"/>
  <c r="AJ36" i="4"/>
  <c r="AK36" i="4"/>
  <c r="AT109" i="5"/>
  <c r="AU109" i="5"/>
  <c r="AT337" i="5"/>
  <c r="AU337" i="5"/>
  <c r="AG104" i="4"/>
  <c r="AI104" i="4" s="1"/>
  <c r="AO104" i="4"/>
  <c r="AT434" i="5"/>
  <c r="AU434" i="5"/>
  <c r="AU424" i="5"/>
  <c r="AT424" i="5"/>
  <c r="AU171" i="5"/>
  <c r="AT171" i="5"/>
  <c r="AJ154" i="4"/>
  <c r="AK154" i="4"/>
  <c r="AT208" i="5"/>
  <c r="AU208" i="5"/>
  <c r="AU118" i="5"/>
  <c r="AT118" i="5"/>
  <c r="AU522" i="5"/>
  <c r="AT522" i="5"/>
  <c r="AG138" i="4"/>
  <c r="AI138" i="4" s="1"/>
  <c r="AO138" i="4"/>
  <c r="AT317" i="5"/>
  <c r="AU317" i="5"/>
  <c r="AJ115" i="4"/>
  <c r="AK115" i="4"/>
  <c r="AT461" i="5"/>
  <c r="AU461" i="5"/>
  <c r="AU159" i="5"/>
  <c r="AT159" i="5"/>
  <c r="AU303" i="5"/>
  <c r="AT303" i="5"/>
  <c r="AT520" i="5"/>
  <c r="AU520" i="5"/>
  <c r="AT347" i="5"/>
  <c r="AU347" i="5"/>
  <c r="AO33" i="4"/>
  <c r="AG33" i="4"/>
  <c r="AI33" i="4" s="1"/>
  <c r="AT101" i="5"/>
  <c r="AU101" i="5"/>
  <c r="AU495" i="5"/>
  <c r="AT495" i="5"/>
  <c r="AT544" i="5"/>
  <c r="AU544" i="5"/>
  <c r="AT33" i="5"/>
  <c r="AU33" i="5"/>
  <c r="AU413" i="5"/>
  <c r="AT413" i="5"/>
  <c r="AU279" i="5"/>
  <c r="AT279" i="5"/>
  <c r="AJ32" i="4"/>
  <c r="AK32" i="4"/>
  <c r="AA16" i="4"/>
  <c r="AC16" i="4" s="1"/>
  <c r="AD16" i="4" s="1"/>
  <c r="AU135" i="5"/>
  <c r="AT135" i="5"/>
  <c r="AU251" i="5"/>
  <c r="AT251" i="5"/>
  <c r="AT180" i="5"/>
  <c r="AU180" i="5"/>
  <c r="AE13" i="5"/>
  <c r="AD13" i="5"/>
  <c r="AS13" i="5"/>
  <c r="AO60" i="4"/>
  <c r="AG60" i="4"/>
  <c r="AI60" i="4" s="1"/>
  <c r="AU173" i="5"/>
  <c r="AT173" i="5"/>
  <c r="AJ78" i="4"/>
  <c r="AK78" i="4"/>
  <c r="AU183" i="5"/>
  <c r="AT183" i="5"/>
  <c r="AX182" i="5" s="1"/>
  <c r="AY182" i="5" s="1"/>
  <c r="AT392" i="5"/>
  <c r="AU392" i="5"/>
  <c r="AT464" i="5"/>
  <c r="AU464" i="5"/>
  <c r="AJ60" i="4"/>
  <c r="AK60" i="4"/>
  <c r="AJ139" i="4"/>
  <c r="AK139" i="4"/>
  <c r="AG121" i="4"/>
  <c r="AI121" i="4" s="1"/>
  <c r="AO121" i="4"/>
  <c r="AU100" i="5"/>
  <c r="AT100" i="5"/>
  <c r="AT160" i="5"/>
  <c r="AU160" i="5"/>
  <c r="AU167" i="5"/>
  <c r="AT167" i="5"/>
  <c r="AT286" i="5"/>
  <c r="AU286" i="5"/>
  <c r="AU362" i="5"/>
  <c r="AT362" i="5"/>
  <c r="AO107" i="4"/>
  <c r="AG107" i="4"/>
  <c r="AI107" i="4" s="1"/>
  <c r="AJ121" i="4"/>
  <c r="AK121" i="4"/>
  <c r="AJ53" i="4"/>
  <c r="AK53" i="4"/>
  <c r="AT479" i="5"/>
  <c r="AU479" i="5"/>
  <c r="AG153" i="4"/>
  <c r="AI153" i="4" s="1"/>
  <c r="AO153" i="4"/>
  <c r="AT454" i="5"/>
  <c r="AU454" i="5"/>
  <c r="AT34" i="5"/>
  <c r="AU34" i="5"/>
  <c r="AO80" i="4"/>
  <c r="AG80" i="4"/>
  <c r="AI80" i="4" s="1"/>
  <c r="AT187" i="5"/>
  <c r="AU187" i="5"/>
  <c r="AT223" i="5"/>
  <c r="AU223" i="5"/>
  <c r="AU449" i="5"/>
  <c r="AT449" i="5"/>
  <c r="AT181" i="5"/>
  <c r="AU181" i="5"/>
  <c r="AT206" i="5"/>
  <c r="AU206" i="5"/>
  <c r="AU481" i="5"/>
  <c r="AT481" i="5"/>
  <c r="AU136" i="5"/>
  <c r="AT136" i="5"/>
  <c r="AG13" i="4"/>
  <c r="AI13" i="4" s="1"/>
  <c r="AO13" i="4"/>
  <c r="AU258" i="5"/>
  <c r="AT258" i="5"/>
  <c r="AX257" i="5" s="1"/>
  <c r="AY257" i="5" s="1"/>
  <c r="AT397" i="5"/>
  <c r="AU397" i="5"/>
  <c r="AU252" i="5"/>
  <c r="AT252" i="5"/>
  <c r="AU254" i="5"/>
  <c r="AT254" i="5"/>
  <c r="AU365" i="5"/>
  <c r="AT365" i="5"/>
  <c r="AU85" i="5"/>
  <c r="AT85" i="5"/>
  <c r="AU165" i="5"/>
  <c r="AT165" i="5"/>
  <c r="AG113" i="4"/>
  <c r="AI113" i="4" s="1"/>
  <c r="AO113" i="4"/>
  <c r="AT448" i="5"/>
  <c r="AU448" i="5"/>
  <c r="AT161" i="5"/>
  <c r="AU161" i="5"/>
  <c r="AJ110" i="4"/>
  <c r="AK110" i="4"/>
  <c r="AT331" i="5"/>
  <c r="AU331" i="5"/>
  <c r="AU395" i="5"/>
  <c r="AT395" i="5"/>
  <c r="AT282" i="5"/>
  <c r="AU282" i="5"/>
  <c r="AT192" i="5"/>
  <c r="AU192" i="5"/>
  <c r="AU456" i="5"/>
  <c r="AT456" i="5"/>
  <c r="AU329" i="5"/>
  <c r="AT329" i="5"/>
  <c r="AU515" i="5"/>
  <c r="AT515" i="5"/>
  <c r="AT43" i="5"/>
  <c r="AU43" i="5"/>
  <c r="AU538" i="5"/>
  <c r="AT538" i="5"/>
  <c r="AT521" i="5"/>
  <c r="AU521" i="5"/>
  <c r="AU408" i="5"/>
  <c r="AT408" i="5"/>
  <c r="AU274" i="5"/>
  <c r="AT274" i="5"/>
  <c r="AG129" i="4"/>
  <c r="AI129" i="4" s="1"/>
  <c r="AO129" i="4"/>
  <c r="AO88" i="4"/>
  <c r="AG88" i="4"/>
  <c r="AI88" i="4" s="1"/>
  <c r="AU142" i="5"/>
  <c r="AT142" i="5"/>
  <c r="AU333" i="5"/>
  <c r="AT333" i="5"/>
  <c r="AT221" i="5"/>
  <c r="AU221" i="5"/>
  <c r="AT170" i="5"/>
  <c r="AU170" i="5"/>
  <c r="AU460" i="5"/>
  <c r="AT460" i="5"/>
  <c r="AU253" i="5"/>
  <c r="AT253" i="5"/>
  <c r="AJ88" i="4"/>
  <c r="AK88" i="4"/>
  <c r="AT298" i="5"/>
  <c r="AU298" i="5"/>
  <c r="AG99" i="4"/>
  <c r="AI99" i="4" s="1"/>
  <c r="AO99" i="4"/>
  <c r="AT554" i="5"/>
  <c r="AU554" i="5"/>
  <c r="AG145" i="4"/>
  <c r="AI145" i="4" s="1"/>
  <c r="AO145" i="4"/>
  <c r="AJ56" i="4"/>
  <c r="AK56" i="4"/>
  <c r="AT491" i="5"/>
  <c r="AU491" i="5"/>
  <c r="AJ149" i="4"/>
  <c r="AK149" i="4"/>
  <c r="AU348" i="5"/>
  <c r="AT348" i="5"/>
  <c r="AT485" i="5"/>
  <c r="AU485" i="5"/>
  <c r="AU87" i="5"/>
  <c r="AT87" i="5"/>
  <c r="AU432" i="5"/>
  <c r="AT432" i="5"/>
  <c r="AG56" i="4"/>
  <c r="AI56" i="4" s="1"/>
  <c r="AO56" i="4"/>
  <c r="AU467" i="5"/>
  <c r="AT467" i="5"/>
  <c r="AT269" i="5"/>
  <c r="AU269" i="5"/>
  <c r="AJ156" i="4"/>
  <c r="AK156" i="4"/>
  <c r="AU121" i="5"/>
  <c r="AT121" i="5"/>
  <c r="AU288" i="5"/>
  <c r="AT288" i="5"/>
  <c r="AU203" i="5"/>
  <c r="AT203" i="5"/>
  <c r="AU488" i="5"/>
  <c r="AT488" i="5"/>
  <c r="AU429" i="5"/>
  <c r="AT429" i="5"/>
  <c r="AU260" i="5"/>
  <c r="AT260" i="5"/>
  <c r="AT290" i="5"/>
  <c r="AU290" i="5"/>
  <c r="AT37" i="5"/>
  <c r="AU37" i="5"/>
  <c r="AU40" i="5"/>
  <c r="AT40" i="5"/>
  <c r="AU144" i="5"/>
  <c r="AT144" i="5"/>
  <c r="AT557" i="5"/>
  <c r="AU557" i="5"/>
  <c r="AU482" i="5"/>
  <c r="AT482" i="5"/>
  <c r="AT176" i="5"/>
  <c r="AX175" i="5" s="1"/>
  <c r="AY175" i="5" s="1"/>
  <c r="AU176" i="5"/>
  <c r="AU311" i="5"/>
  <c r="AT311" i="5"/>
  <c r="AT149" i="5"/>
  <c r="AU149" i="5"/>
  <c r="AJ33" i="4"/>
  <c r="AK33" i="4"/>
  <c r="AU471" i="5"/>
  <c r="AT471" i="5"/>
  <c r="AU341" i="5"/>
  <c r="AT341" i="5"/>
  <c r="AO42" i="4"/>
  <c r="AG42" i="4"/>
  <c r="AI42" i="4" s="1"/>
  <c r="AU338" i="5"/>
  <c r="AT338" i="5"/>
  <c r="AU498" i="5"/>
  <c r="AT498" i="5"/>
  <c r="AU417" i="5"/>
  <c r="AT417" i="5"/>
  <c r="AG28" i="4"/>
  <c r="AI28" i="4" s="1"/>
  <c r="AO28" i="4"/>
  <c r="AT275" i="5"/>
  <c r="AU275" i="5"/>
  <c r="AU422" i="5"/>
  <c r="AT422" i="5"/>
  <c r="AT343" i="5"/>
  <c r="AU343" i="5"/>
  <c r="AU280" i="5"/>
  <c r="AT280" i="5"/>
  <c r="AU319" i="5"/>
  <c r="AT319" i="5"/>
  <c r="AT74" i="5"/>
  <c r="AU74" i="5"/>
  <c r="AT465" i="5"/>
  <c r="AU465" i="5"/>
  <c r="AU427" i="5"/>
  <c r="AT427" i="5"/>
  <c r="AU268" i="5"/>
  <c r="AT268" i="5"/>
  <c r="AT304" i="5"/>
  <c r="AU304" i="5"/>
  <c r="AU386" i="5"/>
  <c r="AT386" i="5"/>
  <c r="AG154" i="4"/>
  <c r="AI154" i="4" s="1"/>
  <c r="AO154" i="4"/>
  <c r="AT70" i="5"/>
  <c r="AU70" i="5"/>
  <c r="AT339" i="5"/>
  <c r="AU339" i="5"/>
  <c r="AU342" i="5"/>
  <c r="AT342" i="5"/>
  <c r="AU256" i="5"/>
  <c r="AT256" i="5"/>
  <c r="AG15" i="4"/>
  <c r="AI15" i="4" s="1"/>
  <c r="AO15" i="4"/>
  <c r="AT296" i="5"/>
  <c r="AU296" i="5"/>
  <c r="AU489" i="5"/>
  <c r="AT489" i="5"/>
  <c r="AU232" i="5"/>
  <c r="AT232" i="5"/>
  <c r="AU262" i="5"/>
  <c r="AT262" i="5"/>
  <c r="AU499" i="5"/>
  <c r="AT499" i="5"/>
  <c r="AJ90" i="4"/>
  <c r="AK90" i="4"/>
  <c r="AU216" i="5"/>
  <c r="AT216" i="5"/>
  <c r="AU130" i="5"/>
  <c r="AT130" i="5"/>
  <c r="AO115" i="4"/>
  <c r="AG115" i="4"/>
  <c r="AI115" i="4" s="1"/>
  <c r="AT69" i="5"/>
  <c r="AU69" i="5"/>
  <c r="AU189" i="5"/>
  <c r="AT189" i="5"/>
  <c r="AJ43" i="4"/>
  <c r="AK43" i="4"/>
  <c r="AG92" i="4"/>
  <c r="AI92" i="4" s="1"/>
  <c r="AO92" i="4"/>
  <c r="AG119" i="4"/>
  <c r="AI119" i="4" s="1"/>
  <c r="AO119" i="4"/>
  <c r="AG65" i="4"/>
  <c r="AI65" i="4" s="1"/>
  <c r="AO65" i="4"/>
  <c r="AG110" i="4"/>
  <c r="AI110" i="4" s="1"/>
  <c r="AO110" i="4"/>
  <c r="AJ50" i="4"/>
  <c r="AK50" i="4"/>
  <c r="AJ87" i="4"/>
  <c r="AK87" i="4"/>
  <c r="AU433" i="5"/>
  <c r="AT433" i="5"/>
  <c r="AT356" i="5"/>
  <c r="AU356" i="5"/>
  <c r="AU123" i="5"/>
  <c r="AT123" i="5"/>
  <c r="AT506" i="5"/>
  <c r="AU506" i="5"/>
  <c r="AO55" i="4"/>
  <c r="AG55" i="4"/>
  <c r="AI55" i="4" s="1"/>
  <c r="AU373" i="5"/>
  <c r="AT373" i="5"/>
  <c r="AU215" i="5"/>
  <c r="AT215" i="5"/>
  <c r="AT484" i="5"/>
  <c r="AU484" i="5"/>
  <c r="AT332" i="5"/>
  <c r="AU332" i="5"/>
  <c r="AU151" i="5"/>
  <c r="AT151" i="5"/>
  <c r="AT436" i="5"/>
  <c r="AU436" i="5"/>
  <c r="AU399" i="5"/>
  <c r="AT399" i="5"/>
  <c r="AT553" i="5"/>
  <c r="AU553" i="5"/>
  <c r="AT63" i="5"/>
  <c r="AU63" i="5"/>
  <c r="AT450" i="5"/>
  <c r="AU450" i="5"/>
  <c r="AU524" i="5"/>
  <c r="AT524" i="5"/>
  <c r="AG11" i="4"/>
  <c r="AI11" i="4" s="1"/>
  <c r="AO11" i="4"/>
  <c r="AT536" i="5"/>
  <c r="AU536" i="5"/>
  <c r="AU91" i="5"/>
  <c r="AT91" i="5"/>
  <c r="AU380" i="5"/>
  <c r="AT380" i="5"/>
  <c r="AU324" i="5"/>
  <c r="AT324" i="5"/>
  <c r="AT237" i="5"/>
  <c r="AU237" i="5"/>
  <c r="AU80" i="5"/>
  <c r="AT80" i="5"/>
  <c r="AQ13" i="5"/>
  <c r="AR13" i="5"/>
  <c r="AU59" i="5"/>
  <c r="AT59" i="5"/>
  <c r="AJ107" i="4"/>
  <c r="AK107" i="4"/>
  <c r="AT261" i="5"/>
  <c r="AU261" i="5"/>
  <c r="AU125" i="5"/>
  <c r="AT125" i="5"/>
  <c r="AU305" i="5"/>
  <c r="AT305" i="5"/>
  <c r="AG122" i="4"/>
  <c r="AI122" i="4" s="1"/>
  <c r="AO122" i="4"/>
  <c r="AT117" i="5"/>
  <c r="AU117" i="5"/>
  <c r="AT543" i="5"/>
  <c r="AU543" i="5"/>
  <c r="AU38" i="5"/>
  <c r="AT38" i="5"/>
  <c r="AG50" i="4"/>
  <c r="AI50" i="4" s="1"/>
  <c r="AO50" i="4"/>
  <c r="AU241" i="5"/>
  <c r="AT241" i="5"/>
  <c r="AU312" i="5"/>
  <c r="AT312" i="5"/>
  <c r="AT284" i="5"/>
  <c r="AU284" i="5"/>
  <c r="AU381" i="5"/>
  <c r="AT381" i="5"/>
  <c r="AU212" i="5"/>
  <c r="AT212" i="5"/>
  <c r="AT512" i="5"/>
  <c r="AU512" i="5"/>
  <c r="AT445" i="5"/>
  <c r="AU445" i="5"/>
  <c r="AT112" i="5"/>
  <c r="AU112" i="5"/>
  <c r="AU370" i="5"/>
  <c r="AT370" i="5"/>
  <c r="AU133" i="5"/>
  <c r="AT133" i="5"/>
  <c r="AG156" i="4"/>
  <c r="AI156" i="4" s="1"/>
  <c r="AO156" i="4"/>
  <c r="AT266" i="5"/>
  <c r="AU266" i="5"/>
  <c r="AO16" i="4"/>
  <c r="AG16" i="4"/>
  <c r="AI16" i="4" s="1"/>
  <c r="AA143" i="4" l="1"/>
  <c r="AC143" i="4" s="1"/>
  <c r="AD143" i="4" s="1"/>
  <c r="AA55" i="4"/>
  <c r="AC55" i="4" s="1"/>
  <c r="AD55" i="4" s="1"/>
  <c r="AR55" i="4" s="1"/>
  <c r="AT55" i="4" s="1"/>
  <c r="AK28" i="4"/>
  <c r="AA74" i="4"/>
  <c r="AC74" i="4" s="1"/>
  <c r="AD74" i="4" s="1"/>
  <c r="AR74" i="4" s="1"/>
  <c r="AT74" i="4" s="1"/>
  <c r="AA69" i="4"/>
  <c r="AC69" i="4" s="1"/>
  <c r="AD69" i="4" s="1"/>
  <c r="AO51" i="4"/>
  <c r="AR51" i="4" s="1"/>
  <c r="AT51" i="4" s="1"/>
  <c r="AA51" i="4"/>
  <c r="AC51" i="4" s="1"/>
  <c r="AD51" i="4" s="1"/>
  <c r="AA42" i="4"/>
  <c r="AC42" i="4" s="1"/>
  <c r="AD42" i="4" s="1"/>
  <c r="AK42" i="4"/>
  <c r="AK47" i="4"/>
  <c r="AK124" i="4"/>
  <c r="AK51" i="4"/>
  <c r="AG124" i="4"/>
  <c r="AI124" i="4" s="1"/>
  <c r="AR124" i="4" s="1"/>
  <c r="AT124" i="4" s="1"/>
  <c r="AK153" i="4"/>
  <c r="AK85" i="4"/>
  <c r="AJ146" i="4"/>
  <c r="AK131" i="4"/>
  <c r="AK146" i="4"/>
  <c r="AR27" i="4"/>
  <c r="AT27" i="4" s="1"/>
  <c r="AJ28" i="4"/>
  <c r="AR89" i="4"/>
  <c r="AT89" i="4" s="1"/>
  <c r="AR82" i="4"/>
  <c r="AT82" i="4" s="1"/>
  <c r="AK12" i="4"/>
  <c r="AK112" i="4"/>
  <c r="AJ112" i="4"/>
  <c r="AR19" i="4"/>
  <c r="AT19" i="4" s="1"/>
  <c r="AR112" i="4"/>
  <c r="AT112" i="4" s="1"/>
  <c r="AK19" i="4"/>
  <c r="AK118" i="4"/>
  <c r="AR136" i="4"/>
  <c r="AT136" i="4" s="1"/>
  <c r="AJ118" i="4"/>
  <c r="AK29" i="4"/>
  <c r="AJ29" i="4"/>
  <c r="AK99" i="4"/>
  <c r="AK136" i="4"/>
  <c r="AK119" i="4"/>
  <c r="AK114" i="4"/>
  <c r="AR71" i="4"/>
  <c r="AT71" i="4" s="1"/>
  <c r="AO146" i="4"/>
  <c r="AR146" i="4" s="1"/>
  <c r="AT146" i="4" s="1"/>
  <c r="AR118" i="4"/>
  <c r="AT118" i="4" s="1"/>
  <c r="AJ119" i="4"/>
  <c r="AK69" i="4"/>
  <c r="AK48" i="4"/>
  <c r="AR102" i="4"/>
  <c r="AT102" i="4" s="1"/>
  <c r="AK74" i="4"/>
  <c r="AA137" i="4"/>
  <c r="AC137" i="4" s="1"/>
  <c r="AD137" i="4" s="1"/>
  <c r="AK137" i="4"/>
  <c r="AR40" i="4"/>
  <c r="AT40" i="4" s="1"/>
  <c r="AR31" i="4"/>
  <c r="AT31" i="4" s="1"/>
  <c r="AK31" i="4"/>
  <c r="AK55" i="4"/>
  <c r="AJ31" i="4"/>
  <c r="AR25" i="4"/>
  <c r="AT25" i="4" s="1"/>
  <c r="AK11" i="4"/>
  <c r="AK75" i="4"/>
  <c r="AO29" i="4"/>
  <c r="AR29" i="4" s="1"/>
  <c r="AT29" i="4" s="1"/>
  <c r="AK76" i="4"/>
  <c r="AR106" i="4"/>
  <c r="AT106" i="4" s="1"/>
  <c r="AA76" i="4"/>
  <c r="AC76" i="4" s="1"/>
  <c r="AD76" i="4" s="1"/>
  <c r="AK9" i="4"/>
  <c r="AF91" i="4"/>
  <c r="AG91" i="4" s="1"/>
  <c r="AI91" i="4" s="1"/>
  <c r="AA9" i="4"/>
  <c r="AC9" i="4" s="1"/>
  <c r="AD9" i="4" s="1"/>
  <c r="AR9" i="4" s="1"/>
  <c r="AT9" i="4" s="1"/>
  <c r="AK106" i="4"/>
  <c r="AJ106" i="4"/>
  <c r="AK143" i="4"/>
  <c r="AK91" i="4"/>
  <c r="AU446" i="5"/>
  <c r="AJ25" i="4"/>
  <c r="AG147" i="4"/>
  <c r="AI147" i="4" s="1"/>
  <c r="AR147" i="4" s="1"/>
  <c r="AT147" i="4" s="1"/>
  <c r="AK127" i="4"/>
  <c r="AF127" i="4"/>
  <c r="AG127" i="4" s="1"/>
  <c r="AI127" i="4" s="1"/>
  <c r="AA11" i="4"/>
  <c r="AC11" i="4" s="1"/>
  <c r="AD11" i="4" s="1"/>
  <c r="AR11" i="4" s="1"/>
  <c r="AT11" i="4" s="1"/>
  <c r="AK30" i="4"/>
  <c r="AT523" i="5"/>
  <c r="AX523" i="5" s="1"/>
  <c r="AY523" i="5" s="1"/>
  <c r="AO143" i="4"/>
  <c r="AU376" i="5"/>
  <c r="AR96" i="4"/>
  <c r="AT96" i="4" s="1"/>
  <c r="AK147" i="4"/>
  <c r="AJ147" i="4"/>
  <c r="AA127" i="4"/>
  <c r="AC127" i="4" s="1"/>
  <c r="AD127" i="4" s="1"/>
  <c r="AU49" i="5"/>
  <c r="AT371" i="5"/>
  <c r="AX370" i="5" s="1"/>
  <c r="AY370" i="5" s="1"/>
  <c r="AK100" i="4"/>
  <c r="AK35" i="4"/>
  <c r="AA100" i="4"/>
  <c r="AC100" i="4" s="1"/>
  <c r="AD100" i="4" s="1"/>
  <c r="AA35" i="4"/>
  <c r="AC35" i="4" s="1"/>
  <c r="AD35" i="4" s="1"/>
  <c r="AT459" i="5"/>
  <c r="AX459" i="5" s="1"/>
  <c r="AY459" i="5" s="1"/>
  <c r="AT525" i="5"/>
  <c r="AX524" i="5" s="1"/>
  <c r="AY524" i="5" s="1"/>
  <c r="AR49" i="4"/>
  <c r="AT49" i="4" s="1"/>
  <c r="AK49" i="4"/>
  <c r="AJ49" i="4"/>
  <c r="AG123" i="4"/>
  <c r="AI123" i="4" s="1"/>
  <c r="AR123" i="4" s="1"/>
  <c r="AT123" i="4" s="1"/>
  <c r="AK63" i="4"/>
  <c r="AK123" i="4"/>
  <c r="AA63" i="4"/>
  <c r="AC63" i="4" s="1"/>
  <c r="AD63" i="4" s="1"/>
  <c r="AT508" i="5"/>
  <c r="AX507" i="5" s="1"/>
  <c r="AY507" i="5" s="1"/>
  <c r="AR30" i="4"/>
  <c r="AT30" i="4" s="1"/>
  <c r="AU426" i="5"/>
  <c r="AA66" i="4"/>
  <c r="AC66" i="4" s="1"/>
  <c r="AD66" i="4" s="1"/>
  <c r="AT264" i="5"/>
  <c r="AX264" i="5" s="1"/>
  <c r="AY264" i="5" s="1"/>
  <c r="AT546" i="5"/>
  <c r="AU379" i="5"/>
  <c r="AA7" i="4"/>
  <c r="AC7" i="4" s="1"/>
  <c r="AD7" i="4" s="1"/>
  <c r="AK7" i="4"/>
  <c r="AF7" i="4"/>
  <c r="AO7" i="4" s="1"/>
  <c r="AU537" i="5"/>
  <c r="AK18" i="4"/>
  <c r="AT234" i="5"/>
  <c r="AX45" i="5"/>
  <c r="AY45" i="5" s="1"/>
  <c r="AA18" i="4"/>
  <c r="AC18" i="4" s="1"/>
  <c r="AD18" i="4" s="1"/>
  <c r="AR18" i="4" s="1"/>
  <c r="AT18" i="4" s="1"/>
  <c r="AF12" i="4"/>
  <c r="AG12" i="4" s="1"/>
  <c r="AI12" i="4" s="1"/>
  <c r="AX115" i="5"/>
  <c r="AY115" i="5" s="1"/>
  <c r="AU200" i="5"/>
  <c r="AU26" i="5"/>
  <c r="AA145" i="4"/>
  <c r="AC145" i="4" s="1"/>
  <c r="AD145" i="4" s="1"/>
  <c r="AR145" i="4" s="1"/>
  <c r="AT145" i="4" s="1"/>
  <c r="AU345" i="5"/>
  <c r="AT483" i="5"/>
  <c r="AX483" i="5" s="1"/>
  <c r="AY483" i="5" s="1"/>
  <c r="AK145" i="4"/>
  <c r="AX23" i="5"/>
  <c r="AY23" i="5" s="1"/>
  <c r="AU23" i="5"/>
  <c r="AK66" i="4"/>
  <c r="AF37" i="4"/>
  <c r="AG37" i="4" s="1"/>
  <c r="AI37" i="4" s="1"/>
  <c r="AU289" i="5"/>
  <c r="AX97" i="5"/>
  <c r="AY97" i="5" s="1"/>
  <c r="AK37" i="4"/>
  <c r="AT530" i="5"/>
  <c r="AX184" i="5"/>
  <c r="AY184" i="5" s="1"/>
  <c r="AU534" i="5"/>
  <c r="AT105" i="5"/>
  <c r="AX105" i="5" s="1"/>
  <c r="AY105" i="5" s="1"/>
  <c r="AT463" i="5"/>
  <c r="AX463" i="5" s="1"/>
  <c r="AY463" i="5" s="1"/>
  <c r="AU265" i="5"/>
  <c r="AU97" i="5"/>
  <c r="AT243" i="5"/>
  <c r="AU226" i="5"/>
  <c r="AT213" i="5"/>
  <c r="AX212" i="5" s="1"/>
  <c r="AY212" i="5" s="1"/>
  <c r="AU532" i="5"/>
  <c r="AT540" i="5"/>
  <c r="AX539" i="5" s="1"/>
  <c r="AY539" i="5" s="1"/>
  <c r="AT470" i="5"/>
  <c r="AX470" i="5" s="1"/>
  <c r="AY470" i="5" s="1"/>
  <c r="AT469" i="5"/>
  <c r="AU509" i="5"/>
  <c r="AU184" i="5"/>
  <c r="AA46" i="4"/>
  <c r="AC46" i="4" s="1"/>
  <c r="AD46" i="4" s="1"/>
  <c r="AR46" i="4" s="1"/>
  <c r="AT46" i="4" s="1"/>
  <c r="AJ46" i="4"/>
  <c r="AU359" i="5"/>
  <c r="AA20" i="4"/>
  <c r="AC20" i="4" s="1"/>
  <c r="AD20" i="4" s="1"/>
  <c r="AG66" i="4"/>
  <c r="AI66" i="4" s="1"/>
  <c r="AK20" i="4"/>
  <c r="AU327" i="5"/>
  <c r="AU297" i="5"/>
  <c r="AT466" i="5"/>
  <c r="AX466" i="5" s="1"/>
  <c r="AY466" i="5" s="1"/>
  <c r="AU188" i="5"/>
  <c r="AU166" i="5"/>
  <c r="AU477" i="5"/>
  <c r="AT518" i="5"/>
  <c r="AX517" i="5" s="1"/>
  <c r="AY517" i="5" s="1"/>
  <c r="AU514" i="5"/>
  <c r="AU22" i="5"/>
  <c r="AU511" i="5"/>
  <c r="AR43" i="4"/>
  <c r="AT43" i="4" s="1"/>
  <c r="AU62" i="5"/>
  <c r="AX49" i="5"/>
  <c r="AY49" i="5" s="1"/>
  <c r="AU349" i="5"/>
  <c r="AA14" i="4"/>
  <c r="AC14" i="4" s="1"/>
  <c r="AD14" i="4" s="1"/>
  <c r="AR149" i="4"/>
  <c r="AT149" i="4" s="1"/>
  <c r="AK14" i="4"/>
  <c r="AU148" i="5"/>
  <c r="AU137" i="5"/>
  <c r="AT201" i="5"/>
  <c r="AX201" i="5" s="1"/>
  <c r="AY201" i="5" s="1"/>
  <c r="AA61" i="4"/>
  <c r="AC61" i="4" s="1"/>
  <c r="AD61" i="4" s="1"/>
  <c r="AR61" i="4" s="1"/>
  <c r="AT61" i="4" s="1"/>
  <c r="AT42" i="5"/>
  <c r="AX42" i="5" s="1"/>
  <c r="AY42" i="5" s="1"/>
  <c r="AU351" i="5"/>
  <c r="AU21" i="5"/>
  <c r="AX21" i="5"/>
  <c r="AY21" i="5" s="1"/>
  <c r="AK61" i="4"/>
  <c r="AT214" i="5"/>
  <c r="AX214" i="5" s="1"/>
  <c r="AY214" i="5" s="1"/>
  <c r="AT267" i="5"/>
  <c r="AX267" i="5" s="1"/>
  <c r="AY267" i="5" s="1"/>
  <c r="AT186" i="5"/>
  <c r="AX186" i="5" s="1"/>
  <c r="AY186" i="5" s="1"/>
  <c r="AT301" i="5"/>
  <c r="AX300" i="5" s="1"/>
  <c r="AY300" i="5" s="1"/>
  <c r="AU300" i="5"/>
  <c r="AT313" i="5"/>
  <c r="AX313" i="5" s="1"/>
  <c r="AY313" i="5" s="1"/>
  <c r="AU382" i="5"/>
  <c r="AX148" i="5"/>
  <c r="AY148" i="5" s="1"/>
  <c r="AT451" i="5"/>
  <c r="AX450" i="5" s="1"/>
  <c r="AY450" i="5" s="1"/>
  <c r="AT486" i="5"/>
  <c r="AX485" i="5" s="1"/>
  <c r="AY485" i="5" s="1"/>
  <c r="AA57" i="4"/>
  <c r="AC57" i="4" s="1"/>
  <c r="AD57" i="4" s="1"/>
  <c r="AR57" i="4" s="1"/>
  <c r="AT57" i="4" s="1"/>
  <c r="AF22" i="4"/>
  <c r="AO22" i="4" s="1"/>
  <c r="AA142" i="4"/>
  <c r="AC142" i="4" s="1"/>
  <c r="AD142" i="4" s="1"/>
  <c r="AX147" i="5"/>
  <c r="AY147" i="5" s="1"/>
  <c r="AT248" i="5"/>
  <c r="AX247" i="5" s="1"/>
  <c r="AU205" i="5"/>
  <c r="AT478" i="5"/>
  <c r="AX477" i="5" s="1"/>
  <c r="AY477" i="5" s="1"/>
  <c r="AK15" i="4"/>
  <c r="AU31" i="5"/>
  <c r="AU283" i="5"/>
  <c r="AO142" i="4"/>
  <c r="AT390" i="5"/>
  <c r="AX389" i="5" s="1"/>
  <c r="AY389" i="5" s="1"/>
  <c r="AK57" i="4"/>
  <c r="AA15" i="4"/>
  <c r="AC15" i="4" s="1"/>
  <c r="AD15" i="4" s="1"/>
  <c r="AR15" i="4" s="1"/>
  <c r="AT15" i="4" s="1"/>
  <c r="AT316" i="5"/>
  <c r="AX316" i="5" s="1"/>
  <c r="AY316" i="5" s="1"/>
  <c r="AK142" i="4"/>
  <c r="AT444" i="5"/>
  <c r="AX444" i="5" s="1"/>
  <c r="AY444" i="5" s="1"/>
  <c r="AT58" i="5"/>
  <c r="AX58" i="5" s="1"/>
  <c r="AY58" i="5" s="1"/>
  <c r="AT374" i="5"/>
  <c r="AX373" i="5" s="1"/>
  <c r="AY373" i="5" s="1"/>
  <c r="AT455" i="5"/>
  <c r="AX454" i="5" s="1"/>
  <c r="AY454" i="5" s="1"/>
  <c r="AT360" i="5"/>
  <c r="AT308" i="5"/>
  <c r="AX308" i="5" s="1"/>
  <c r="AY308" i="5" s="1"/>
  <c r="AT361" i="5"/>
  <c r="AX361" i="5" s="1"/>
  <c r="AY361" i="5" s="1"/>
  <c r="AX278" i="5"/>
  <c r="AY278" i="5" s="1"/>
  <c r="AX62" i="5"/>
  <c r="AY62" i="5" s="1"/>
  <c r="AU400" i="5"/>
  <c r="AU32" i="5"/>
  <c r="AT48" i="5"/>
  <c r="AX48" i="5" s="1"/>
  <c r="AY48" i="5" s="1"/>
  <c r="AU363" i="5"/>
  <c r="AU138" i="5"/>
  <c r="AT306" i="5"/>
  <c r="AX306" i="5" s="1"/>
  <c r="AY306" i="5" s="1"/>
  <c r="AU245" i="5"/>
  <c r="AT145" i="5"/>
  <c r="AX144" i="5" s="1"/>
  <c r="AY144" i="5" s="1"/>
  <c r="AU421" i="5"/>
  <c r="AX20" i="5"/>
  <c r="AY20" i="5" s="1"/>
  <c r="AT113" i="5"/>
  <c r="AX113" i="5" s="1"/>
  <c r="AY113" i="5" s="1"/>
  <c r="AU552" i="5"/>
  <c r="AU55" i="5"/>
  <c r="AT222" i="5"/>
  <c r="AX222" i="5" s="1"/>
  <c r="AY222" i="5" s="1"/>
  <c r="AT366" i="5"/>
  <c r="AX365" i="5" s="1"/>
  <c r="AY365" i="5" s="1"/>
  <c r="AT36" i="5"/>
  <c r="AX35" i="5" s="1"/>
  <c r="AY35" i="5" s="1"/>
  <c r="AX116" i="5"/>
  <c r="AY116" i="5" s="1"/>
  <c r="AU309" i="5"/>
  <c r="AU336" i="5"/>
  <c r="AU416" i="5"/>
  <c r="AT140" i="5"/>
  <c r="AX139" i="5" s="1"/>
  <c r="AY139" i="5" s="1"/>
  <c r="AT295" i="5"/>
  <c r="AX294" i="5" s="1"/>
  <c r="AY294" i="5" s="1"/>
  <c r="AT302" i="5"/>
  <c r="AX302" i="5" s="1"/>
  <c r="AY302" i="5" s="1"/>
  <c r="AT90" i="5"/>
  <c r="AX90" i="5" s="1"/>
  <c r="AY90" i="5" s="1"/>
  <c r="AU353" i="5"/>
  <c r="AT178" i="5"/>
  <c r="AX177" i="5" s="1"/>
  <c r="AY177" i="5" s="1"/>
  <c r="AT378" i="5"/>
  <c r="AX378" i="5" s="1"/>
  <c r="AY378" i="5" s="1"/>
  <c r="AT475" i="5"/>
  <c r="AX475" i="5" s="1"/>
  <c r="AY475" i="5" s="1"/>
  <c r="AT462" i="5"/>
  <c r="AU517" i="5"/>
  <c r="AT344" i="5"/>
  <c r="AX343" i="5" s="1"/>
  <c r="AY343" i="5" s="1"/>
  <c r="AT94" i="5"/>
  <c r="AX94" i="5" s="1"/>
  <c r="AY94" i="5" s="1"/>
  <c r="AA135" i="4"/>
  <c r="AC135" i="4" s="1"/>
  <c r="AD135" i="4" s="1"/>
  <c r="AA125" i="4"/>
  <c r="AC125" i="4" s="1"/>
  <c r="AD125" i="4" s="1"/>
  <c r="AT158" i="5"/>
  <c r="AX158" i="5" s="1"/>
  <c r="AY158" i="5" s="1"/>
  <c r="AK125" i="4"/>
  <c r="AT259" i="5"/>
  <c r="AX258" i="5" s="1"/>
  <c r="AY258" i="5" s="1"/>
  <c r="AU438" i="5"/>
  <c r="AT119" i="5"/>
  <c r="AX118" i="5" s="1"/>
  <c r="AY118" i="5" s="1"/>
  <c r="AU394" i="5"/>
  <c r="AT155" i="5"/>
  <c r="AU504" i="5"/>
  <c r="AU193" i="5"/>
  <c r="AU270" i="5"/>
  <c r="AX46" i="5"/>
  <c r="AY46" i="5" s="1"/>
  <c r="AU385" i="5"/>
  <c r="AT194" i="5"/>
  <c r="AX193" i="5" s="1"/>
  <c r="AY193" i="5" s="1"/>
  <c r="AA39" i="4"/>
  <c r="AC39" i="4" s="1"/>
  <c r="AD39" i="4" s="1"/>
  <c r="AT428" i="5"/>
  <c r="AX427" i="5" s="1"/>
  <c r="AY427" i="5" s="1"/>
  <c r="AT556" i="5"/>
  <c r="AX556" i="5" s="1"/>
  <c r="AY556" i="5" s="1"/>
  <c r="AT494" i="5"/>
  <c r="AX494" i="5" s="1"/>
  <c r="AY494" i="5" s="1"/>
  <c r="AT76" i="5"/>
  <c r="AX76" i="5" s="1"/>
  <c r="AY76" i="5" s="1"/>
  <c r="AK39" i="4"/>
  <c r="AU502" i="5"/>
  <c r="AT404" i="5"/>
  <c r="AU541" i="5"/>
  <c r="AU46" i="5"/>
  <c r="AT244" i="5"/>
  <c r="AT383" i="5"/>
  <c r="AX382" i="5" s="1"/>
  <c r="AY382" i="5" s="1"/>
  <c r="AU440" i="5"/>
  <c r="AX53" i="5"/>
  <c r="AY53" i="5" s="1"/>
  <c r="AX54" i="5"/>
  <c r="AY54" i="5" s="1"/>
  <c r="AU425" i="5"/>
  <c r="AU126" i="5"/>
  <c r="AU106" i="5"/>
  <c r="AT174" i="5"/>
  <c r="AX173" i="5" s="1"/>
  <c r="AY173" i="5" s="1"/>
  <c r="AT335" i="5"/>
  <c r="AX335" i="5" s="1"/>
  <c r="AY335" i="5" s="1"/>
  <c r="AT111" i="5"/>
  <c r="AX111" i="5" s="1"/>
  <c r="AY111" i="5" s="1"/>
  <c r="AT277" i="5"/>
  <c r="AX277" i="5" s="1"/>
  <c r="AY277" i="5" s="1"/>
  <c r="AT325" i="5"/>
  <c r="AX324" i="5" s="1"/>
  <c r="AY324" i="5" s="1"/>
  <c r="AT67" i="5"/>
  <c r="AX67" i="5" s="1"/>
  <c r="AY67" i="5" s="1"/>
  <c r="AT210" i="5"/>
  <c r="AX209" i="5" s="1"/>
  <c r="AY209" i="5" s="1"/>
  <c r="AT310" i="5"/>
  <c r="AX309" i="5" s="1"/>
  <c r="AY309" i="5" s="1"/>
  <c r="AT555" i="5"/>
  <c r="AX122" i="5"/>
  <c r="AY122" i="5" s="1"/>
  <c r="AU50" i="5"/>
  <c r="AT402" i="5"/>
  <c r="AT551" i="5"/>
  <c r="AX551" i="5" s="1"/>
  <c r="AY551" i="5" s="1"/>
  <c r="AX80" i="5"/>
  <c r="AY80" i="5" s="1"/>
  <c r="AT318" i="5"/>
  <c r="AX318" i="5" s="1"/>
  <c r="AY318" i="5" s="1"/>
  <c r="AT12" i="5"/>
  <c r="AU476" i="5"/>
  <c r="AU122" i="5"/>
  <c r="AT354" i="5"/>
  <c r="AX353" i="5" s="1"/>
  <c r="AY353" i="5" s="1"/>
  <c r="AT60" i="5"/>
  <c r="AX59" i="5" s="1"/>
  <c r="AY59" i="5" s="1"/>
  <c r="AT452" i="5"/>
  <c r="AT120" i="5"/>
  <c r="AX120" i="5" s="1"/>
  <c r="AY120" i="5" s="1"/>
  <c r="AU116" i="5"/>
  <c r="AT104" i="5"/>
  <c r="AX103" i="5" s="1"/>
  <c r="AY103" i="5" s="1"/>
  <c r="AT150" i="5"/>
  <c r="AX150" i="5" s="1"/>
  <c r="AY150" i="5" s="1"/>
  <c r="AU533" i="5"/>
  <c r="AU369" i="5"/>
  <c r="AT403" i="5"/>
  <c r="AU163" i="5"/>
  <c r="AK22" i="4"/>
  <c r="AT217" i="5"/>
  <c r="AX216" i="5" s="1"/>
  <c r="AY216" i="5" s="1"/>
  <c r="AX240" i="5"/>
  <c r="AY240" i="5" s="1"/>
  <c r="AU25" i="5"/>
  <c r="AU453" i="5"/>
  <c r="AU198" i="5"/>
  <c r="AU384" i="5"/>
  <c r="AT231" i="5"/>
  <c r="AX231" i="5" s="1"/>
  <c r="AY231" i="5" s="1"/>
  <c r="AU505" i="5"/>
  <c r="AU77" i="5"/>
  <c r="AU350" i="5"/>
  <c r="AT263" i="5"/>
  <c r="AX262" i="5" s="1"/>
  <c r="AY262" i="5" s="1"/>
  <c r="AT239" i="5"/>
  <c r="AX239" i="5" s="1"/>
  <c r="AY239" i="5" s="1"/>
  <c r="AO125" i="4"/>
  <c r="AT411" i="5"/>
  <c r="AX411" i="5" s="1"/>
  <c r="AY411" i="5" s="1"/>
  <c r="AU398" i="5"/>
  <c r="AK135" i="4"/>
  <c r="AT110" i="5"/>
  <c r="AX109" i="5" s="1"/>
  <c r="AY109" i="5" s="1"/>
  <c r="AX73" i="5"/>
  <c r="AY73" i="5" s="1"/>
  <c r="AU420" i="5"/>
  <c r="AU285" i="5"/>
  <c r="AT501" i="5"/>
  <c r="AX500" i="5" s="1"/>
  <c r="AY500" i="5" s="1"/>
  <c r="AU114" i="5"/>
  <c r="AU44" i="5"/>
  <c r="AU73" i="5"/>
  <c r="AT220" i="5"/>
  <c r="AX219" i="5" s="1"/>
  <c r="AY219" i="5" s="1"/>
  <c r="AT82" i="5"/>
  <c r="AX81" i="5" s="1"/>
  <c r="AY81" i="5" s="1"/>
  <c r="AU406" i="5"/>
  <c r="AU24" i="5"/>
  <c r="AU548" i="5"/>
  <c r="AT236" i="5"/>
  <c r="AX236" i="5" s="1"/>
  <c r="AY236" i="5" s="1"/>
  <c r="AU128" i="5"/>
  <c r="AU468" i="5"/>
  <c r="AU387" i="5"/>
  <c r="AX143" i="5"/>
  <c r="AY143" i="5" s="1"/>
  <c r="AU115" i="5"/>
  <c r="AX202" i="5"/>
  <c r="AY202" i="5" s="1"/>
  <c r="AU437" i="5"/>
  <c r="AT513" i="5"/>
  <c r="AX512" i="5" s="1"/>
  <c r="AY512" i="5" s="1"/>
  <c r="AT377" i="5"/>
  <c r="AX376" i="5" s="1"/>
  <c r="AY376" i="5" s="1"/>
  <c r="AX127" i="5"/>
  <c r="AY127" i="5" s="1"/>
  <c r="AT441" i="5"/>
  <c r="AX440" i="5" s="1"/>
  <c r="AY440" i="5" s="1"/>
  <c r="AT492" i="5"/>
  <c r="AX491" i="5" s="1"/>
  <c r="AY491" i="5" s="1"/>
  <c r="AT168" i="5"/>
  <c r="AX168" i="5" s="1"/>
  <c r="AY168" i="5" s="1"/>
  <c r="AU19" i="5"/>
  <c r="AT410" i="5"/>
  <c r="AU375" i="5"/>
  <c r="AT558" i="5"/>
  <c r="AX557" i="5" s="1"/>
  <c r="AY557" i="5" s="1"/>
  <c r="AU204" i="5"/>
  <c r="AU314" i="5"/>
  <c r="AU240" i="5"/>
  <c r="AT228" i="5"/>
  <c r="AT229" i="5"/>
  <c r="AX229" i="5" s="1"/>
  <c r="AY229" i="5" s="1"/>
  <c r="AU320" i="5"/>
  <c r="AU560" i="5"/>
  <c r="AU153" i="5"/>
  <c r="AT99" i="5"/>
  <c r="AX99" i="5" s="1"/>
  <c r="AY99" i="5" s="1"/>
  <c r="AT157" i="5"/>
  <c r="AT238" i="5"/>
  <c r="AT405" i="5"/>
  <c r="AU108" i="5"/>
  <c r="AU143" i="5"/>
  <c r="AT134" i="5"/>
  <c r="AX134" i="5" s="1"/>
  <c r="AY134" i="5" s="1"/>
  <c r="AR68" i="4"/>
  <c r="AT68" i="4" s="1"/>
  <c r="AU218" i="5"/>
  <c r="AT496" i="5"/>
  <c r="AX495" i="5" s="1"/>
  <c r="AY495" i="5" s="1"/>
  <c r="AT27" i="5"/>
  <c r="AX26" i="5" s="1"/>
  <c r="AY26" i="5" s="1"/>
  <c r="AX72" i="5"/>
  <c r="AY72" i="5" s="1"/>
  <c r="AU293" i="5"/>
  <c r="AU472" i="5"/>
  <c r="AX19" i="5"/>
  <c r="AY19" i="5" s="1"/>
  <c r="AT132" i="5"/>
  <c r="AX132" i="5" s="1"/>
  <c r="AY132" i="5" s="1"/>
  <c r="F69" i="1"/>
  <c r="AT473" i="5"/>
  <c r="AX472" i="5" s="1"/>
  <c r="AY472" i="5" s="1"/>
  <c r="AU68" i="5"/>
  <c r="AT197" i="5"/>
  <c r="AX197" i="5" s="1"/>
  <c r="AY197" i="5" s="1"/>
  <c r="AT179" i="5"/>
  <c r="AX179" i="5" s="1"/>
  <c r="AY179" i="5" s="1"/>
  <c r="AX198" i="5"/>
  <c r="AY198" i="5" s="1"/>
  <c r="AX218" i="5"/>
  <c r="AT388" i="5"/>
  <c r="AX388" i="5" s="1"/>
  <c r="AY388" i="5" s="1"/>
  <c r="AT75" i="5"/>
  <c r="AX68" i="5"/>
  <c r="AY68" i="5" s="1"/>
  <c r="AU209" i="5"/>
  <c r="AT66" i="5"/>
  <c r="AX254" i="5"/>
  <c r="AY254" i="5" s="1"/>
  <c r="AX255" i="5"/>
  <c r="AY255" i="5" s="1"/>
  <c r="AT141" i="5"/>
  <c r="AX141" i="5" s="1"/>
  <c r="AY141" i="5" s="1"/>
  <c r="AU447" i="5"/>
  <c r="AU29" i="5"/>
  <c r="AU95" i="5"/>
  <c r="AA12" i="4"/>
  <c r="AC12" i="4" s="1"/>
  <c r="AD12" i="4" s="1"/>
  <c r="AU255" i="5"/>
  <c r="AT401" i="5"/>
  <c r="AU93" i="5"/>
  <c r="AT65" i="5"/>
  <c r="AT529" i="5"/>
  <c r="AU53" i="5"/>
  <c r="AT528" i="5"/>
  <c r="AU35" i="5"/>
  <c r="AU45" i="5"/>
  <c r="AU199" i="5"/>
  <c r="AU414" i="5"/>
  <c r="AU103" i="5"/>
  <c r="AX128" i="5"/>
  <c r="AX102" i="5"/>
  <c r="AY102" i="5" s="1"/>
  <c r="AT291" i="5"/>
  <c r="AX290" i="5" s="1"/>
  <c r="AY290" i="5" s="1"/>
  <c r="AX71" i="5"/>
  <c r="AY71" i="5" s="1"/>
  <c r="AX101" i="5"/>
  <c r="AY101" i="5" s="1"/>
  <c r="AT321" i="5"/>
  <c r="AX321" i="5" s="1"/>
  <c r="AY321" i="5" s="1"/>
  <c r="AU480" i="5"/>
  <c r="AU20" i="5"/>
  <c r="AU102" i="5"/>
  <c r="AX208" i="5"/>
  <c r="AY208" i="5" s="1"/>
  <c r="AT559" i="5"/>
  <c r="AX559" i="5" s="1"/>
  <c r="AY559" i="5" s="1"/>
  <c r="AX129" i="5"/>
  <c r="AY129" i="5" s="1"/>
  <c r="AU219" i="5"/>
  <c r="AU247" i="5"/>
  <c r="AU129" i="5"/>
  <c r="AT323" i="5"/>
  <c r="AX323" i="5" s="1"/>
  <c r="AY323" i="5" s="1"/>
  <c r="AT272" i="5"/>
  <c r="AX272" i="5" s="1"/>
  <c r="AY272" i="5" s="1"/>
  <c r="AF26" i="4"/>
  <c r="AK26" i="4"/>
  <c r="AA26" i="4"/>
  <c r="AC26" i="4" s="1"/>
  <c r="AD26" i="4" s="1"/>
  <c r="AT409" i="5"/>
  <c r="AX408" i="5" s="1"/>
  <c r="AY408" i="5" s="1"/>
  <c r="AA129" i="4"/>
  <c r="AC129" i="4" s="1"/>
  <c r="AD129" i="4" s="1"/>
  <c r="AR129" i="4" s="1"/>
  <c r="AT129" i="4" s="1"/>
  <c r="AA72" i="4"/>
  <c r="AC72" i="4" s="1"/>
  <c r="AD72" i="4" s="1"/>
  <c r="AR72" i="4" s="1"/>
  <c r="AT72" i="4" s="1"/>
  <c r="AK129" i="4"/>
  <c r="AT11" i="5"/>
  <c r="AU393" i="5"/>
  <c r="AU407" i="5"/>
  <c r="AU185" i="5"/>
  <c r="AA109" i="4"/>
  <c r="AC109" i="4" s="1"/>
  <c r="AD109" i="4" s="1"/>
  <c r="AK109" i="4"/>
  <c r="AA148" i="4"/>
  <c r="AC148" i="4" s="1"/>
  <c r="AD148" i="4" s="1"/>
  <c r="AU64" i="5"/>
  <c r="AU307" i="5"/>
  <c r="AK148" i="4"/>
  <c r="AK72" i="4"/>
  <c r="AU287" i="5"/>
  <c r="AO152" i="4"/>
  <c r="AR152" i="4" s="1"/>
  <c r="AT152" i="4" s="1"/>
  <c r="AK67" i="4"/>
  <c r="AJ67" i="4"/>
  <c r="AA133" i="4"/>
  <c r="AC133" i="4" s="1"/>
  <c r="AD133" i="4" s="1"/>
  <c r="AT340" i="5"/>
  <c r="AX339" i="5" s="1"/>
  <c r="AY339" i="5" s="1"/>
  <c r="AA79" i="4"/>
  <c r="AC79" i="4" s="1"/>
  <c r="AD79" i="4" s="1"/>
  <c r="AJ152" i="4"/>
  <c r="AR108" i="4"/>
  <c r="AT108" i="4" s="1"/>
  <c r="AT10" i="5"/>
  <c r="AT249" i="5"/>
  <c r="AO67" i="4"/>
  <c r="AR67" i="4" s="1"/>
  <c r="AT67" i="4" s="1"/>
  <c r="AK79" i="4"/>
  <c r="AK133" i="4"/>
  <c r="AF133" i="4"/>
  <c r="AG133" i="4" s="1"/>
  <c r="AI133" i="4" s="1"/>
  <c r="AK152" i="4"/>
  <c r="AU230" i="5"/>
  <c r="AU346" i="5"/>
  <c r="AT299" i="5"/>
  <c r="AX299" i="5" s="1"/>
  <c r="AY299" i="5" s="1"/>
  <c r="AA132" i="4"/>
  <c r="AC132" i="4" s="1"/>
  <c r="AD132" i="4" s="1"/>
  <c r="AJ132" i="4"/>
  <c r="AK132" i="4"/>
  <c r="AO105" i="4"/>
  <c r="AG105" i="4"/>
  <c r="AI105" i="4" s="1"/>
  <c r="AF101" i="4"/>
  <c r="AA101" i="4"/>
  <c r="AC101" i="4" s="1"/>
  <c r="AD101" i="4" s="1"/>
  <c r="AK101" i="4"/>
  <c r="AF21" i="4"/>
  <c r="AA21" i="4"/>
  <c r="AC21" i="4" s="1"/>
  <c r="AD21" i="4" s="1"/>
  <c r="AK21" i="4"/>
  <c r="AF24" i="4"/>
  <c r="AK24" i="4"/>
  <c r="AR81" i="4"/>
  <c r="AT81" i="4" s="1"/>
  <c r="AF10" i="4"/>
  <c r="AA10" i="4"/>
  <c r="AC10" i="4" s="1"/>
  <c r="AD10" i="4" s="1"/>
  <c r="AK10" i="4"/>
  <c r="AG140" i="4"/>
  <c r="AI140" i="4" s="1"/>
  <c r="AO140" i="4"/>
  <c r="AO132" i="4"/>
  <c r="AG132" i="4"/>
  <c r="AI132" i="4" s="1"/>
  <c r="AA62" i="4"/>
  <c r="AC62" i="4" s="1"/>
  <c r="AD62" i="4" s="1"/>
  <c r="AF62" i="4"/>
  <c r="AK62" i="4"/>
  <c r="AJ144" i="4"/>
  <c r="Z155" i="4"/>
  <c r="AF155" i="4" s="1"/>
  <c r="Z144" i="4"/>
  <c r="AF144" i="4" s="1"/>
  <c r="AJ155" i="4"/>
  <c r="AF59" i="4"/>
  <c r="AK59" i="4"/>
  <c r="AA59" i="4"/>
  <c r="AC59" i="4" s="1"/>
  <c r="AD59" i="4" s="1"/>
  <c r="AG79" i="4"/>
  <c r="AI79" i="4" s="1"/>
  <c r="AO79" i="4"/>
  <c r="AA94" i="4"/>
  <c r="AC94" i="4" s="1"/>
  <c r="AD94" i="4" s="1"/>
  <c r="AJ94" i="4"/>
  <c r="AF83" i="4"/>
  <c r="AA83" i="4"/>
  <c r="AC83" i="4" s="1"/>
  <c r="AD83" i="4" s="1"/>
  <c r="AK83" i="4"/>
  <c r="AU8" i="5"/>
  <c r="AJ130" i="4"/>
  <c r="Z141" i="4"/>
  <c r="AA141" i="4" s="1"/>
  <c r="AC141" i="4" s="1"/>
  <c r="AD141" i="4" s="1"/>
  <c r="AF94" i="4"/>
  <c r="AK94" i="4"/>
  <c r="AA24" i="4"/>
  <c r="AC24" i="4" s="1"/>
  <c r="AD24" i="4" s="1"/>
  <c r="AJ24" i="4"/>
  <c r="AF58" i="4"/>
  <c r="AA58" i="4"/>
  <c r="AC58" i="4" s="1"/>
  <c r="AD58" i="4" s="1"/>
  <c r="AK58" i="4"/>
  <c r="Z130" i="4"/>
  <c r="AF130" i="4" s="1"/>
  <c r="AF34" i="4"/>
  <c r="AK34" i="4"/>
  <c r="AA34" i="4"/>
  <c r="AC34" i="4" s="1"/>
  <c r="AD34" i="4" s="1"/>
  <c r="AR75" i="4"/>
  <c r="AT75" i="4" s="1"/>
  <c r="AT292" i="5"/>
  <c r="AU391" i="5"/>
  <c r="AT235" i="5"/>
  <c r="AG76" i="4"/>
  <c r="AI76" i="4" s="1"/>
  <c r="AO76" i="4"/>
  <c r="AU162" i="5"/>
  <c r="AG84" i="4"/>
  <c r="AI84" i="4" s="1"/>
  <c r="AO84" i="4"/>
  <c r="AU169" i="5"/>
  <c r="AR103" i="4"/>
  <c r="AT103" i="4" s="1"/>
  <c r="AT487" i="5"/>
  <c r="AX487" i="5" s="1"/>
  <c r="AY487" i="5" s="1"/>
  <c r="AR85" i="4"/>
  <c r="AT85" i="4" s="1"/>
  <c r="AU412" i="5"/>
  <c r="AT458" i="5"/>
  <c r="AT550" i="5"/>
  <c r="AT233" i="5"/>
  <c r="AX232" i="5" s="1"/>
  <c r="AY232" i="5" s="1"/>
  <c r="AU364" i="5"/>
  <c r="AG120" i="4"/>
  <c r="AI120" i="4" s="1"/>
  <c r="AR120" i="4" s="1"/>
  <c r="AT120" i="4" s="1"/>
  <c r="AT549" i="5"/>
  <c r="AX548" i="5" s="1"/>
  <c r="AY548" i="5" s="1"/>
  <c r="AU328" i="5"/>
  <c r="AU396" i="5"/>
  <c r="AU457" i="5"/>
  <c r="AT547" i="5"/>
  <c r="AX547" i="5" s="1"/>
  <c r="AY547" i="5" s="1"/>
  <c r="AT326" i="5"/>
  <c r="AX326" i="5" s="1"/>
  <c r="AY326" i="5" s="1"/>
  <c r="AT52" i="5"/>
  <c r="AX52" i="5" s="1"/>
  <c r="AY52" i="5" s="1"/>
  <c r="AT196" i="5"/>
  <c r="AT207" i="5"/>
  <c r="AX206" i="5" s="1"/>
  <c r="AY206" i="5" s="1"/>
  <c r="AT545" i="5"/>
  <c r="AX544" i="5" s="1"/>
  <c r="AY544" i="5" s="1"/>
  <c r="AT430" i="5"/>
  <c r="AX429" i="5" s="1"/>
  <c r="AY429" i="5" s="1"/>
  <c r="AU315" i="5"/>
  <c r="AU47" i="5"/>
  <c r="AU92" i="5"/>
  <c r="AT423" i="5"/>
  <c r="AX423" i="5" s="1"/>
  <c r="AY423" i="5" s="1"/>
  <c r="AT527" i="5"/>
  <c r="AT443" i="5"/>
  <c r="AU271" i="5"/>
  <c r="AT510" i="5"/>
  <c r="AX509" i="5" s="1"/>
  <c r="AY509" i="5" s="1"/>
  <c r="AU225" i="5"/>
  <c r="AT352" i="5"/>
  <c r="AX351" i="5" s="1"/>
  <c r="AY351" i="5" s="1"/>
  <c r="AU79" i="5"/>
  <c r="AU418" i="5"/>
  <c r="AU139" i="5"/>
  <c r="AU539" i="5"/>
  <c r="AT535" i="5"/>
  <c r="AX535" i="5" s="1"/>
  <c r="AY535" i="5" s="1"/>
  <c r="AT191" i="5"/>
  <c r="AX191" i="5" s="1"/>
  <c r="AY191" i="5" s="1"/>
  <c r="AT56" i="5"/>
  <c r="AX56" i="5" s="1"/>
  <c r="AY56" i="5" s="1"/>
  <c r="AT497" i="5"/>
  <c r="AU57" i="5"/>
  <c r="AU490" i="5"/>
  <c r="AT419" i="5"/>
  <c r="AX418" i="5" s="1"/>
  <c r="AY418" i="5" s="1"/>
  <c r="AU98" i="5"/>
  <c r="AT96" i="5"/>
  <c r="AX96" i="5" s="1"/>
  <c r="AY96" i="5" s="1"/>
  <c r="AX347" i="5"/>
  <c r="AY347" i="5" s="1"/>
  <c r="AT542" i="5"/>
  <c r="AX542" i="5" s="1"/>
  <c r="AY542" i="5" s="1"/>
  <c r="AT154" i="5"/>
  <c r="AX153" i="5" s="1"/>
  <c r="AY153" i="5" s="1"/>
  <c r="AU84" i="5"/>
  <c r="AT172" i="5"/>
  <c r="AX172" i="5" s="1"/>
  <c r="AY172" i="5" s="1"/>
  <c r="AT358" i="5"/>
  <c r="AX358" i="5" s="1"/>
  <c r="AY358" i="5" s="1"/>
  <c r="AT124" i="5"/>
  <c r="AX123" i="5" s="1"/>
  <c r="AY123" i="5" s="1"/>
  <c r="AX384" i="5"/>
  <c r="AY384" i="5" s="1"/>
  <c r="AT164" i="5"/>
  <c r="AX163" i="5" s="1"/>
  <c r="AY163" i="5" s="1"/>
  <c r="AX425" i="5"/>
  <c r="AY425" i="5" s="1"/>
  <c r="AU503" i="5"/>
  <c r="AU330" i="5"/>
  <c r="AU211" i="5"/>
  <c r="AU322" i="5"/>
  <c r="AU281" i="5"/>
  <c r="AT61" i="5"/>
  <c r="AU435" i="5"/>
  <c r="AT227" i="5"/>
  <c r="AX226" i="5" s="1"/>
  <c r="AY226" i="5" s="1"/>
  <c r="AT526" i="5"/>
  <c r="AU224" i="5"/>
  <c r="AU39" i="5"/>
  <c r="AT28" i="5"/>
  <c r="AX28" i="5" s="1"/>
  <c r="AY28" i="5" s="1"/>
  <c r="AT519" i="5"/>
  <c r="AT357" i="5"/>
  <c r="AX356" i="5" s="1"/>
  <c r="AY356" i="5" s="1"/>
  <c r="AT107" i="5"/>
  <c r="AX107" i="5" s="1"/>
  <c r="AY107" i="5" s="1"/>
  <c r="AX135" i="5"/>
  <c r="AY135" i="5" s="1"/>
  <c r="AU493" i="5"/>
  <c r="AU177" i="5"/>
  <c r="AU131" i="5"/>
  <c r="AT51" i="5"/>
  <c r="AT246" i="5"/>
  <c r="AX245" i="5" s="1"/>
  <c r="AY245" i="5" s="1"/>
  <c r="AT442" i="5"/>
  <c r="AX479" i="5"/>
  <c r="AY479" i="5" s="1"/>
  <c r="AX552" i="5"/>
  <c r="AY552" i="5" s="1"/>
  <c r="AX456" i="5"/>
  <c r="AY456" i="5" s="1"/>
  <c r="AX159" i="5"/>
  <c r="AY159" i="5" s="1"/>
  <c r="AT89" i="5"/>
  <c r="AX286" i="5"/>
  <c r="AY286" i="5" s="1"/>
  <c r="AT516" i="5"/>
  <c r="AX515" i="5" s="1"/>
  <c r="AY515" i="5" s="1"/>
  <c r="AT41" i="5"/>
  <c r="AU71" i="5"/>
  <c r="AT367" i="5"/>
  <c r="AX367" i="5" s="1"/>
  <c r="AY367" i="5" s="1"/>
  <c r="AU86" i="5"/>
  <c r="AT190" i="5"/>
  <c r="AT152" i="5"/>
  <c r="AX151" i="5" s="1"/>
  <c r="AY151" i="5" s="1"/>
  <c r="AU273" i="5"/>
  <c r="AU439" i="5"/>
  <c r="AX311" i="5"/>
  <c r="AY311" i="5" s="1"/>
  <c r="AT88" i="5"/>
  <c r="AX87" i="5" s="1"/>
  <c r="AY87" i="5" s="1"/>
  <c r="AX407" i="5"/>
  <c r="AY407" i="5" s="1"/>
  <c r="AX328" i="5"/>
  <c r="AY328" i="5" s="1"/>
  <c r="AT156" i="5"/>
  <c r="AU195" i="5"/>
  <c r="AX349" i="5"/>
  <c r="AY349" i="5" s="1"/>
  <c r="AU368" i="5"/>
  <c r="B123" i="2"/>
  <c r="H29" i="1" s="1"/>
  <c r="AU355" i="5"/>
  <c r="AT334" i="5"/>
  <c r="AX333" i="5" s="1"/>
  <c r="AY333" i="5" s="1"/>
  <c r="AU276" i="5"/>
  <c r="AT30" i="5"/>
  <c r="AX30" i="5" s="1"/>
  <c r="AY30" i="5" s="1"/>
  <c r="AX169" i="5"/>
  <c r="AY169" i="5" s="1"/>
  <c r="AT415" i="5"/>
  <c r="AX415" i="5" s="1"/>
  <c r="AY415" i="5" s="1"/>
  <c r="AT531" i="5"/>
  <c r="AX531" i="5" s="1"/>
  <c r="AY531" i="5" s="1"/>
  <c r="AX503" i="5"/>
  <c r="AY503" i="5" s="1"/>
  <c r="AT431" i="5"/>
  <c r="AX431" i="5" s="1"/>
  <c r="AY431" i="5" s="1"/>
  <c r="AU372" i="5"/>
  <c r="AT242" i="5"/>
  <c r="AX241" i="5" s="1"/>
  <c r="AY241" i="5" s="1"/>
  <c r="AU389" i="5"/>
  <c r="AR97" i="4"/>
  <c r="AT97" i="4" s="1"/>
  <c r="AR45" i="4"/>
  <c r="AT45" i="4" s="1"/>
  <c r="AX488" i="5"/>
  <c r="AY488" i="5" s="1"/>
  <c r="AU250" i="5"/>
  <c r="AX520" i="5"/>
  <c r="AY520" i="5" s="1"/>
  <c r="AX251" i="5"/>
  <c r="AY251" i="5" s="1"/>
  <c r="AX368" i="5"/>
  <c r="AY368" i="5" s="1"/>
  <c r="AU507" i="5"/>
  <c r="AU474" i="5"/>
  <c r="AX449" i="5"/>
  <c r="AY449" i="5" s="1"/>
  <c r="AO32" i="4"/>
  <c r="AR32" i="4" s="1"/>
  <c r="AT32" i="4" s="1"/>
  <c r="AR17" i="4"/>
  <c r="AT17" i="4" s="1"/>
  <c r="AX350" i="5"/>
  <c r="AY350" i="5" s="1"/>
  <c r="AX392" i="5"/>
  <c r="AY392" i="5" s="1"/>
  <c r="AX34" i="5"/>
  <c r="AY34" i="5" s="1"/>
  <c r="AR111" i="4"/>
  <c r="AT111" i="4" s="1"/>
  <c r="AX180" i="5"/>
  <c r="AY180" i="5" s="1"/>
  <c r="AX287" i="5"/>
  <c r="AY287" i="5" s="1"/>
  <c r="AX505" i="5"/>
  <c r="AY505" i="5" s="1"/>
  <c r="AX434" i="5"/>
  <c r="AY434" i="5" s="1"/>
  <c r="AO95" i="4"/>
  <c r="AG95" i="4"/>
  <c r="AI95" i="4" s="1"/>
  <c r="AO116" i="4"/>
  <c r="AG116" i="4"/>
  <c r="AI116" i="4" s="1"/>
  <c r="AG35" i="4"/>
  <c r="AI35" i="4" s="1"/>
  <c r="AO35" i="4"/>
  <c r="AG134" i="4"/>
  <c r="AI134" i="4" s="1"/>
  <c r="AO134" i="4"/>
  <c r="AG69" i="4"/>
  <c r="AI69" i="4" s="1"/>
  <c r="AO69" i="4"/>
  <c r="AG20" i="4"/>
  <c r="AI20" i="4" s="1"/>
  <c r="AO20" i="4"/>
  <c r="AG38" i="4"/>
  <c r="AI38" i="4" s="1"/>
  <c r="AO38" i="4"/>
  <c r="AO54" i="4"/>
  <c r="AG54" i="4"/>
  <c r="AI54" i="4" s="1"/>
  <c r="AO126" i="4"/>
  <c r="AG126" i="4"/>
  <c r="AI126" i="4" s="1"/>
  <c r="AR70" i="4"/>
  <c r="AT70" i="4" s="1"/>
  <c r="AG23" i="4"/>
  <c r="AI23" i="4" s="1"/>
  <c r="AO23" i="4"/>
  <c r="AG109" i="4"/>
  <c r="AI109" i="4" s="1"/>
  <c r="AO109" i="4"/>
  <c r="AO100" i="4"/>
  <c r="AG100" i="4"/>
  <c r="AI100" i="4" s="1"/>
  <c r="AO64" i="4"/>
  <c r="AG64" i="4"/>
  <c r="AI64" i="4" s="1"/>
  <c r="AR44" i="4"/>
  <c r="AT44" i="4" s="1"/>
  <c r="AG8" i="4"/>
  <c r="AI8" i="4" s="1"/>
  <c r="AO8" i="4"/>
  <c r="AO128" i="4"/>
  <c r="AG128" i="4"/>
  <c r="AI128" i="4" s="1"/>
  <c r="AG150" i="4"/>
  <c r="AI150" i="4" s="1"/>
  <c r="AO150" i="4"/>
  <c r="AG86" i="4"/>
  <c r="AI86" i="4" s="1"/>
  <c r="AO86" i="4"/>
  <c r="AG77" i="4"/>
  <c r="AI77" i="4" s="1"/>
  <c r="AO77" i="4"/>
  <c r="AO47" i="4"/>
  <c r="AG47" i="4"/>
  <c r="AI47" i="4" s="1"/>
  <c r="AG93" i="4"/>
  <c r="AI93" i="4" s="1"/>
  <c r="AO93" i="4"/>
  <c r="AG148" i="4"/>
  <c r="AI148" i="4" s="1"/>
  <c r="AO148" i="4"/>
  <c r="AX338" i="5"/>
  <c r="AY338" i="5" s="1"/>
  <c r="AO135" i="4"/>
  <c r="AG135" i="4"/>
  <c r="AI135" i="4" s="1"/>
  <c r="AO14" i="4"/>
  <c r="AG14" i="4"/>
  <c r="AI14" i="4" s="1"/>
  <c r="AO157" i="4"/>
  <c r="AG157" i="4"/>
  <c r="AI157" i="4" s="1"/>
  <c r="AO137" i="4"/>
  <c r="AG137" i="4"/>
  <c r="AI137" i="4" s="1"/>
  <c r="AO63" i="4"/>
  <c r="AG63" i="4"/>
  <c r="AI63" i="4" s="1"/>
  <c r="AO39" i="4"/>
  <c r="AG39" i="4"/>
  <c r="AI39" i="4" s="1"/>
  <c r="AO52" i="4"/>
  <c r="AG52" i="4"/>
  <c r="AI52" i="4" s="1"/>
  <c r="AT9" i="5"/>
  <c r="AU9" i="5"/>
  <c r="AX341" i="5"/>
  <c r="AY341" i="5" s="1"/>
  <c r="AX86" i="5"/>
  <c r="AY86" i="5" s="1"/>
  <c r="AX498" i="5"/>
  <c r="AY498" i="5" s="1"/>
  <c r="AX314" i="5"/>
  <c r="AX224" i="5"/>
  <c r="AY224" i="5" s="1"/>
  <c r="AX183" i="5"/>
  <c r="AY183" i="5" s="1"/>
  <c r="AX464" i="5"/>
  <c r="AY464" i="5" s="1"/>
  <c r="AX84" i="5"/>
  <c r="AY84" i="5" s="1"/>
  <c r="AX39" i="5"/>
  <c r="AY39" i="5" s="1"/>
  <c r="AX447" i="5"/>
  <c r="AY447" i="5" s="1"/>
  <c r="AX33" i="5"/>
  <c r="AY33" i="5" s="1"/>
  <c r="AX362" i="5"/>
  <c r="AY362" i="5" s="1"/>
  <c r="AR114" i="4"/>
  <c r="AT114" i="4" s="1"/>
  <c r="AX355" i="5"/>
  <c r="AY355" i="5" s="1"/>
  <c r="AX279" i="5"/>
  <c r="AY279" i="5" s="1"/>
  <c r="AX160" i="5"/>
  <c r="AY160" i="5" s="1"/>
  <c r="AX260" i="5"/>
  <c r="AY260" i="5" s="1"/>
  <c r="AX435" i="5"/>
  <c r="AY435" i="5" s="1"/>
  <c r="AX369" i="5"/>
  <c r="AY369" i="5" s="1"/>
  <c r="AX188" i="5"/>
  <c r="AY188" i="5" s="1"/>
  <c r="AX252" i="5"/>
  <c r="AY252" i="5" s="1"/>
  <c r="AX199" i="5"/>
  <c r="AY199" i="5" s="1"/>
  <c r="AX329" i="5"/>
  <c r="AY329" i="5" s="1"/>
  <c r="AX274" i="5"/>
  <c r="AY274" i="5" s="1"/>
  <c r="AX165" i="5"/>
  <c r="AY165" i="5" s="1"/>
  <c r="AX283" i="5"/>
  <c r="AY283" i="5" s="1"/>
  <c r="AX481" i="5"/>
  <c r="AY481" i="5" s="1"/>
  <c r="AX395" i="5"/>
  <c r="AY395" i="5" s="1"/>
  <c r="AX364" i="5"/>
  <c r="AY364" i="5" s="1"/>
  <c r="AX137" i="5"/>
  <c r="AY137" i="5" s="1"/>
  <c r="AX424" i="5"/>
  <c r="AY424" i="5" s="1"/>
  <c r="AX79" i="5"/>
  <c r="AY79" i="5" s="1"/>
  <c r="AX379" i="5"/>
  <c r="AY379" i="5" s="1"/>
  <c r="AX432" i="5"/>
  <c r="AY432" i="5" s="1"/>
  <c r="AX269" i="5"/>
  <c r="AY269" i="5" s="1"/>
  <c r="AX211" i="5"/>
  <c r="AY211" i="5" s="1"/>
  <c r="AX489" i="5"/>
  <c r="AY489" i="5" s="1"/>
  <c r="AX85" i="5"/>
  <c r="AY85" i="5" s="1"/>
  <c r="AX25" i="5"/>
  <c r="AY25" i="5" s="1"/>
  <c r="AX288" i="5"/>
  <c r="AY288" i="5" s="1"/>
  <c r="AX265" i="5"/>
  <c r="AY265" i="5" s="1"/>
  <c r="AX372" i="5"/>
  <c r="AY372" i="5" s="1"/>
  <c r="AX303" i="5"/>
  <c r="AY303" i="5" s="1"/>
  <c r="AX342" i="5"/>
  <c r="AY342" i="5" s="1"/>
  <c r="AX43" i="5"/>
  <c r="AY43" i="5" s="1"/>
  <c r="AX146" i="5"/>
  <c r="AY146" i="5" s="1"/>
  <c r="AX270" i="5"/>
  <c r="AY270" i="5" s="1"/>
  <c r="AX176" i="5"/>
  <c r="AY176" i="5" s="1"/>
  <c r="AX187" i="5"/>
  <c r="AY187" i="5" s="1"/>
  <c r="AX398" i="5"/>
  <c r="AY398" i="5" s="1"/>
  <c r="AX421" i="5"/>
  <c r="AY421" i="5" s="1"/>
  <c r="AX337" i="5"/>
  <c r="AY337" i="5" s="1"/>
  <c r="AX345" i="5"/>
  <c r="AY345" i="5" s="1"/>
  <c r="AX223" i="5"/>
  <c r="AY223" i="5" s="1"/>
  <c r="AX413" i="5"/>
  <c r="AY413" i="5" s="1"/>
  <c r="AX380" i="5"/>
  <c r="AY380" i="5" s="1"/>
  <c r="AX386" i="5"/>
  <c r="AY386" i="5" s="1"/>
  <c r="AX130" i="5"/>
  <c r="AY130" i="5" s="1"/>
  <c r="AX63" i="5"/>
  <c r="AY63" i="5" s="1"/>
  <c r="AX331" i="5"/>
  <c r="AY331" i="5" s="1"/>
  <c r="AX261" i="5"/>
  <c r="AY261" i="5" s="1"/>
  <c r="AX205" i="5"/>
  <c r="AY205" i="5" s="1"/>
  <c r="AX426" i="5"/>
  <c r="AY426" i="5" s="1"/>
  <c r="AX511" i="5"/>
  <c r="AY511" i="5" s="1"/>
  <c r="AX161" i="5"/>
  <c r="AY161" i="5" s="1"/>
  <c r="AX282" i="5"/>
  <c r="AY282" i="5" s="1"/>
  <c r="AX438" i="5"/>
  <c r="AY438" i="5" s="1"/>
  <c r="AX37" i="5"/>
  <c r="AY37" i="5" s="1"/>
  <c r="AX273" i="5"/>
  <c r="AY273" i="5" s="1"/>
  <c r="AX537" i="5"/>
  <c r="AY537" i="5" s="1"/>
  <c r="AX83" i="5"/>
  <c r="AY83" i="5" s="1"/>
  <c r="AR92" i="4"/>
  <c r="AT92" i="4" s="1"/>
  <c r="AR121" i="4"/>
  <c r="AT121" i="4" s="1"/>
  <c r="AR154" i="4"/>
  <c r="AT154" i="4" s="1"/>
  <c r="AR156" i="4"/>
  <c r="AT156" i="4" s="1"/>
  <c r="AR50" i="4"/>
  <c r="AT50" i="4" s="1"/>
  <c r="AR138" i="4"/>
  <c r="AT138" i="4" s="1"/>
  <c r="AR104" i="4"/>
  <c r="AT104" i="4" s="1"/>
  <c r="AR113" i="4"/>
  <c r="AT113" i="4" s="1"/>
  <c r="AR122" i="4"/>
  <c r="AT122" i="4" s="1"/>
  <c r="AR65" i="4"/>
  <c r="AT65" i="4" s="1"/>
  <c r="AR88" i="4"/>
  <c r="AT88" i="4" s="1"/>
  <c r="AR90" i="4"/>
  <c r="AT90" i="4" s="1"/>
  <c r="AR33" i="4"/>
  <c r="AT33" i="4" s="1"/>
  <c r="AR131" i="4"/>
  <c r="AT131" i="4" s="1"/>
  <c r="AX394" i="5"/>
  <c r="AY394" i="5" s="1"/>
  <c r="AX166" i="5"/>
  <c r="AY166" i="5" s="1"/>
  <c r="AT13" i="5"/>
  <c r="AU13" i="5"/>
  <c r="AX436" i="5"/>
  <c r="AY436" i="5" s="1"/>
  <c r="AX44" i="5"/>
  <c r="AY44" i="5" s="1"/>
  <c r="AX92" i="5"/>
  <c r="AY92" i="5" s="1"/>
  <c r="AX381" i="5"/>
  <c r="AY381" i="5" s="1"/>
  <c r="AX215" i="5"/>
  <c r="AY215" i="5" s="1"/>
  <c r="AR28" i="4"/>
  <c r="AT28" i="4" s="1"/>
  <c r="AX280" i="5"/>
  <c r="AY280" i="5" s="1"/>
  <c r="AX125" i="5"/>
  <c r="AY125" i="5" s="1"/>
  <c r="AX476" i="5"/>
  <c r="AY476" i="5" s="1"/>
  <c r="AX445" i="5"/>
  <c r="AY445" i="5" s="1"/>
  <c r="AX225" i="5"/>
  <c r="AY225" i="5" s="1"/>
  <c r="AX24" i="5"/>
  <c r="AY24" i="5" s="1"/>
  <c r="AX448" i="5"/>
  <c r="AY448" i="5" s="1"/>
  <c r="AR80" i="4"/>
  <c r="AT80" i="4" s="1"/>
  <c r="AX256" i="5"/>
  <c r="AY256" i="5" s="1"/>
  <c r="AX275" i="5"/>
  <c r="AY275" i="5" s="1"/>
  <c r="AX32" i="5"/>
  <c r="AY32" i="5" s="1"/>
  <c r="AX504" i="5"/>
  <c r="AY504" i="5" s="1"/>
  <c r="AX319" i="5"/>
  <c r="AY319" i="5" s="1"/>
  <c r="AX393" i="5"/>
  <c r="AY393" i="5" s="1"/>
  <c r="AX467" i="5"/>
  <c r="AY467" i="5" s="1"/>
  <c r="F70" i="1"/>
  <c r="B231" i="2"/>
  <c r="F71" i="1" s="1"/>
  <c r="AX385" i="5"/>
  <c r="AY385" i="5" s="1"/>
  <c r="AX506" i="5"/>
  <c r="AY506" i="5" s="1"/>
  <c r="AX417" i="5"/>
  <c r="AY417" i="5" s="1"/>
  <c r="AX70" i="5"/>
  <c r="AY70" i="5" s="1"/>
  <c r="AR99" i="4"/>
  <c r="AT99" i="4" s="1"/>
  <c r="AX538" i="5"/>
  <c r="AY538" i="5" s="1"/>
  <c r="AX22" i="5"/>
  <c r="AY22" i="5" s="1"/>
  <c r="AX396" i="5"/>
  <c r="AY396" i="5" s="1"/>
  <c r="AX446" i="5"/>
  <c r="AY446" i="5" s="1"/>
  <c r="AX348" i="5"/>
  <c r="AY348" i="5" s="1"/>
  <c r="AX420" i="5"/>
  <c r="AY420" i="5" s="1"/>
  <c r="AX117" i="5"/>
  <c r="AY117" i="5" s="1"/>
  <c r="AX433" i="5"/>
  <c r="AY433" i="5" s="1"/>
  <c r="AX484" i="5"/>
  <c r="AY484" i="5" s="1"/>
  <c r="AX553" i="5"/>
  <c r="AY553" i="5" s="1"/>
  <c r="AX471" i="5"/>
  <c r="AY471" i="5" s="1"/>
  <c r="AX203" i="5"/>
  <c r="AY203" i="5" s="1"/>
  <c r="AX204" i="5"/>
  <c r="AY204" i="5" s="1"/>
  <c r="AX480" i="5"/>
  <c r="AY480" i="5" s="1"/>
  <c r="AX453" i="5"/>
  <c r="AY453" i="5" s="1"/>
  <c r="AR107" i="4"/>
  <c r="AT107" i="4" s="1"/>
  <c r="AX138" i="5"/>
  <c r="AX439" i="5"/>
  <c r="AY439" i="5" s="1"/>
  <c r="AX108" i="5"/>
  <c r="AY108" i="5" s="1"/>
  <c r="AR16" i="4"/>
  <c r="AT16" i="4" s="1"/>
  <c r="AX304" i="5"/>
  <c r="AY304" i="5" s="1"/>
  <c r="AX532" i="5"/>
  <c r="AY532" i="5" s="1"/>
  <c r="AR115" i="4"/>
  <c r="AT115" i="4" s="1"/>
  <c r="AR42" i="4"/>
  <c r="AT42" i="4" s="1"/>
  <c r="AX121" i="5"/>
  <c r="AY121" i="5" s="1"/>
  <c r="AX289" i="5"/>
  <c r="AY289" i="5" s="1"/>
  <c r="AX490" i="5"/>
  <c r="AY490" i="5" s="1"/>
  <c r="AX297" i="5"/>
  <c r="AY297" i="5" s="1"/>
  <c r="AX514" i="5"/>
  <c r="AY514" i="5" s="1"/>
  <c r="AX136" i="5"/>
  <c r="AY136" i="5" s="1"/>
  <c r="AR60" i="4"/>
  <c r="AT60" i="4" s="1"/>
  <c r="AX397" i="5"/>
  <c r="AY397" i="5" s="1"/>
  <c r="AX543" i="5"/>
  <c r="AY543" i="5" s="1"/>
  <c r="AX100" i="5"/>
  <c r="AY100" i="5" s="1"/>
  <c r="AX346" i="5"/>
  <c r="AY346" i="5" s="1"/>
  <c r="AX460" i="5"/>
  <c r="AY460" i="5" s="1"/>
  <c r="AX521" i="5"/>
  <c r="AY521" i="5" s="1"/>
  <c r="AO73" i="4"/>
  <c r="AG73" i="4"/>
  <c r="AI73" i="4" s="1"/>
  <c r="AX69" i="5"/>
  <c r="AY69" i="5" s="1"/>
  <c r="AX416" i="5"/>
  <c r="AY416" i="5" s="1"/>
  <c r="AX268" i="5"/>
  <c r="AY268" i="5" s="1"/>
  <c r="AX399" i="5"/>
  <c r="AY399" i="5" s="1"/>
  <c r="AX281" i="5"/>
  <c r="AY281" i="5" s="1"/>
  <c r="AX330" i="5"/>
  <c r="AY330" i="5" s="1"/>
  <c r="AX375" i="5"/>
  <c r="AY375" i="5" s="1"/>
  <c r="AX192" i="5"/>
  <c r="AY192" i="5" s="1"/>
  <c r="AX126" i="5"/>
  <c r="AY126" i="5" s="1"/>
  <c r="AX162" i="5"/>
  <c r="AY162" i="5" s="1"/>
  <c r="AX170" i="5"/>
  <c r="AY170" i="5" s="1"/>
  <c r="AX336" i="5"/>
  <c r="AY336" i="5" s="1"/>
  <c r="AX293" i="5"/>
  <c r="AY293" i="5" s="1"/>
  <c r="AR117" i="4"/>
  <c r="AT117" i="4" s="1"/>
  <c r="AX91" i="5"/>
  <c r="AY91" i="5" s="1"/>
  <c r="AR119" i="4"/>
  <c r="AT119" i="4" s="1"/>
  <c r="AX437" i="5"/>
  <c r="AY437" i="5" s="1"/>
  <c r="AR56" i="4"/>
  <c r="AT56" i="4" s="1"/>
  <c r="AX536" i="5"/>
  <c r="AY536" i="5" s="1"/>
  <c r="AX296" i="5"/>
  <c r="AY296" i="5" s="1"/>
  <c r="AX253" i="5"/>
  <c r="AY253" i="5" s="1"/>
  <c r="AX502" i="5"/>
  <c r="AY502" i="5" s="1"/>
  <c r="AX391" i="5"/>
  <c r="AY391" i="5" s="1"/>
  <c r="AX250" i="5"/>
  <c r="AX412" i="5"/>
  <c r="AY412" i="5" s="1"/>
  <c r="AX114" i="5"/>
  <c r="AY114" i="5" s="1"/>
  <c r="AR110" i="4"/>
  <c r="AT110" i="4" s="1"/>
  <c r="AX284" i="5"/>
  <c r="AY284" i="5" s="1"/>
  <c r="AX533" i="5"/>
  <c r="AY533" i="5" s="1"/>
  <c r="AX332" i="5"/>
  <c r="AY332" i="5" s="1"/>
  <c r="AX327" i="5"/>
  <c r="AY327" i="5" s="1"/>
  <c r="AR13" i="4"/>
  <c r="AT13" i="4" s="1"/>
  <c r="AX31" i="5"/>
  <c r="AY31" i="5" s="1"/>
  <c r="AR153" i="4"/>
  <c r="AT153" i="4" s="1"/>
  <c r="AX285" i="5"/>
  <c r="AX181" i="5"/>
  <c r="AY181" i="5" s="1"/>
  <c r="AX406" i="5"/>
  <c r="AY406" i="5" s="1"/>
  <c r="AX363" i="5"/>
  <c r="AY363" i="5" s="1"/>
  <c r="AX142" i="5"/>
  <c r="AY142" i="5" s="1"/>
  <c r="AX38" i="5"/>
  <c r="AY38" i="5" s="1"/>
  <c r="AX499" i="5"/>
  <c r="AY499" i="5" s="1"/>
  <c r="AR48" i="4"/>
  <c r="AT48" i="4" s="1"/>
  <c r="AY138" i="5" l="1"/>
  <c r="AR143" i="4"/>
  <c r="AT143" i="4" s="1"/>
  <c r="AY128" i="5"/>
  <c r="AY250" i="5"/>
  <c r="AO91" i="4"/>
  <c r="AX522" i="5"/>
  <c r="AY522" i="5" s="1"/>
  <c r="AY285" i="5"/>
  <c r="AY218" i="5"/>
  <c r="AY314" i="5"/>
  <c r="AX371" i="5"/>
  <c r="AY371" i="5" s="1"/>
  <c r="AO127" i="4"/>
  <c r="AR127" i="4" s="1"/>
  <c r="AT127" i="4" s="1"/>
  <c r="AX458" i="5"/>
  <c r="AY458" i="5" s="1"/>
  <c r="AX525" i="5"/>
  <c r="AY525" i="5" s="1"/>
  <c r="AX508" i="5"/>
  <c r="AY508" i="5" s="1"/>
  <c r="AY247" i="5"/>
  <c r="AR66" i="4"/>
  <c r="AT66" i="4" s="1"/>
  <c r="AX234" i="5"/>
  <c r="AY234" i="5" s="1"/>
  <c r="AG7" i="4"/>
  <c r="AI7" i="4" s="1"/>
  <c r="AR7" i="4" s="1"/>
  <c r="AT7" i="4" s="1"/>
  <c r="AO37" i="4"/>
  <c r="AR37" i="4" s="1"/>
  <c r="AT37" i="4" s="1"/>
  <c r="AO12" i="4"/>
  <c r="AR12" i="4" s="1"/>
  <c r="AT12" i="4" s="1"/>
  <c r="AX482" i="5"/>
  <c r="AY482" i="5" s="1"/>
  <c r="AX451" i="5"/>
  <c r="AY451" i="5" s="1"/>
  <c r="AX402" i="5"/>
  <c r="AY402" i="5" s="1"/>
  <c r="AX469" i="5"/>
  <c r="AY469" i="5" s="1"/>
  <c r="AX529" i="5"/>
  <c r="AY529" i="5" s="1"/>
  <c r="AX462" i="5"/>
  <c r="AY462" i="5" s="1"/>
  <c r="AX465" i="5"/>
  <c r="AY465" i="5" s="1"/>
  <c r="AX243" i="5"/>
  <c r="AY243" i="5" s="1"/>
  <c r="AX540" i="5"/>
  <c r="AY540" i="5" s="1"/>
  <c r="AR142" i="4"/>
  <c r="AT142" i="4" s="1"/>
  <c r="AX468" i="5"/>
  <c r="AY468" i="5" s="1"/>
  <c r="AX307" i="5"/>
  <c r="AY307" i="5" s="1"/>
  <c r="AX518" i="5"/>
  <c r="AY518" i="5" s="1"/>
  <c r="AX555" i="5"/>
  <c r="AY555" i="5" s="1"/>
  <c r="AX312" i="5"/>
  <c r="AY312" i="5" s="1"/>
  <c r="AX390" i="5"/>
  <c r="AY390" i="5" s="1"/>
  <c r="AX455" i="5"/>
  <c r="AY455" i="5" s="1"/>
  <c r="AX478" i="5"/>
  <c r="AY478" i="5" s="1"/>
  <c r="AX474" i="5"/>
  <c r="AY474" i="5" s="1"/>
  <c r="AX266" i="5"/>
  <c r="AY266" i="5" s="1"/>
  <c r="AX200" i="5"/>
  <c r="AY200" i="5" s="1"/>
  <c r="AX57" i="5"/>
  <c r="AY57" i="5" s="1"/>
  <c r="AX374" i="5"/>
  <c r="AY374" i="5" s="1"/>
  <c r="AX410" i="5"/>
  <c r="AY410" i="5" s="1"/>
  <c r="AR125" i="4"/>
  <c r="AT125" i="4" s="1"/>
  <c r="AX41" i="5"/>
  <c r="AY41" i="5" s="1"/>
  <c r="AG22" i="4"/>
  <c r="AI22" i="4" s="1"/>
  <c r="AR22" i="4" s="1"/>
  <c r="AT22" i="4" s="1"/>
  <c r="AX513" i="5"/>
  <c r="AY513" i="5" s="1"/>
  <c r="AX305" i="5"/>
  <c r="AY305" i="5" s="1"/>
  <c r="AX315" i="5"/>
  <c r="AY315" i="5" s="1"/>
  <c r="AX295" i="5"/>
  <c r="AY295" i="5" s="1"/>
  <c r="AX213" i="5"/>
  <c r="AY213" i="5" s="1"/>
  <c r="AX221" i="5"/>
  <c r="AY221" i="5" s="1"/>
  <c r="AX145" i="5"/>
  <c r="AY145" i="5" s="1"/>
  <c r="AX185" i="5"/>
  <c r="AY185" i="5" s="1"/>
  <c r="AX443" i="5"/>
  <c r="AY443" i="5" s="1"/>
  <c r="AX36" i="5"/>
  <c r="AY36" i="5" s="1"/>
  <c r="AX360" i="5"/>
  <c r="AY360" i="5" s="1"/>
  <c r="AX354" i="5"/>
  <c r="AY354" i="5" s="1"/>
  <c r="AX359" i="5"/>
  <c r="AY359" i="5" s="1"/>
  <c r="AX248" i="5"/>
  <c r="AY248" i="5" s="1"/>
  <c r="AX301" i="5"/>
  <c r="AY301" i="5" s="1"/>
  <c r="AX174" i="5"/>
  <c r="AY174" i="5" s="1"/>
  <c r="AX112" i="5"/>
  <c r="AY112" i="5" s="1"/>
  <c r="AX428" i="5"/>
  <c r="AY428" i="5" s="1"/>
  <c r="AX310" i="5"/>
  <c r="AY310" i="5" s="1"/>
  <c r="AX47" i="5"/>
  <c r="AY47" i="5" s="1"/>
  <c r="AX157" i="5"/>
  <c r="AY157" i="5" s="1"/>
  <c r="AX493" i="5"/>
  <c r="AY493" i="5" s="1"/>
  <c r="AX119" i="5"/>
  <c r="AY119" i="5" s="1"/>
  <c r="AX344" i="5"/>
  <c r="AY344" i="5" s="1"/>
  <c r="AX60" i="5"/>
  <c r="AY60" i="5" s="1"/>
  <c r="AX461" i="5"/>
  <c r="AY461" i="5" s="1"/>
  <c r="AX259" i="5"/>
  <c r="AY259" i="5" s="1"/>
  <c r="AX238" i="5"/>
  <c r="AY238" i="5" s="1"/>
  <c r="AX403" i="5"/>
  <c r="AY403" i="5" s="1"/>
  <c r="AX194" i="5"/>
  <c r="AY194" i="5" s="1"/>
  <c r="AX66" i="5"/>
  <c r="AY66" i="5" s="1"/>
  <c r="AX93" i="5"/>
  <c r="AY93" i="5" s="1"/>
  <c r="AX178" i="5"/>
  <c r="AY178" i="5" s="1"/>
  <c r="AX263" i="5"/>
  <c r="AY263" i="5" s="1"/>
  <c r="AX89" i="5"/>
  <c r="AY89" i="5" s="1"/>
  <c r="AX244" i="5"/>
  <c r="AY244" i="5" s="1"/>
  <c r="AX140" i="5"/>
  <c r="AY140" i="5" s="1"/>
  <c r="AX276" i="5"/>
  <c r="AY276" i="5" s="1"/>
  <c r="AX220" i="5"/>
  <c r="AY220" i="5" s="1"/>
  <c r="AX210" i="5"/>
  <c r="AY210" i="5" s="1"/>
  <c r="AX550" i="5"/>
  <c r="AY550" i="5" s="1"/>
  <c r="AX452" i="5"/>
  <c r="AY452" i="5" s="1"/>
  <c r="AX75" i="5"/>
  <c r="AY75" i="5" s="1"/>
  <c r="AX383" i="5"/>
  <c r="AY383" i="5" s="1"/>
  <c r="AX404" i="5"/>
  <c r="AY404" i="5" s="1"/>
  <c r="AX401" i="5"/>
  <c r="AY401" i="5" s="1"/>
  <c r="AX230" i="5"/>
  <c r="AY230" i="5" s="1"/>
  <c r="AX317" i="5"/>
  <c r="AY317" i="5" s="1"/>
  <c r="AX554" i="5"/>
  <c r="AY554" i="5" s="1"/>
  <c r="AX149" i="5"/>
  <c r="AY149" i="5" s="1"/>
  <c r="AX104" i="5"/>
  <c r="AY104" i="5" s="1"/>
  <c r="AX237" i="5"/>
  <c r="AY237" i="5" s="1"/>
  <c r="AX82" i="5"/>
  <c r="AY82" i="5" s="1"/>
  <c r="AX133" i="5"/>
  <c r="AY133" i="5" s="1"/>
  <c r="AX110" i="5"/>
  <c r="AY110" i="5" s="1"/>
  <c r="AX377" i="5"/>
  <c r="AY377" i="5" s="1"/>
  <c r="AX217" i="5"/>
  <c r="AY217" i="5" s="1"/>
  <c r="AX228" i="5"/>
  <c r="AY228" i="5" s="1"/>
  <c r="AX98" i="5"/>
  <c r="AY98" i="5" s="1"/>
  <c r="AX492" i="5"/>
  <c r="AY492" i="5" s="1"/>
  <c r="AX501" i="5"/>
  <c r="AY501" i="5" s="1"/>
  <c r="AX496" i="5"/>
  <c r="AY496" i="5" s="1"/>
  <c r="AX74" i="5"/>
  <c r="AY74" i="5" s="1"/>
  <c r="AX167" i="5"/>
  <c r="AY167" i="5" s="1"/>
  <c r="AX405" i="5"/>
  <c r="AY405" i="5" s="1"/>
  <c r="AX131" i="5"/>
  <c r="AY131" i="5" s="1"/>
  <c r="AX387" i="5"/>
  <c r="AY387" i="5" s="1"/>
  <c r="AX65" i="5"/>
  <c r="AY65" i="5" s="1"/>
  <c r="AX400" i="5"/>
  <c r="AY400" i="5" s="1"/>
  <c r="AX156" i="5"/>
  <c r="AY156" i="5" s="1"/>
  <c r="AX64" i="5"/>
  <c r="AY64" i="5" s="1"/>
  <c r="AX409" i="5"/>
  <c r="AY409" i="5" s="1"/>
  <c r="AX196" i="5"/>
  <c r="AY196" i="5" s="1"/>
  <c r="AX473" i="5"/>
  <c r="AY473" i="5" s="1"/>
  <c r="AX528" i="5"/>
  <c r="AY528" i="5" s="1"/>
  <c r="AO133" i="4"/>
  <c r="AR133" i="4" s="1"/>
  <c r="AT133" i="4" s="1"/>
  <c r="AX291" i="5"/>
  <c r="AY291" i="5" s="1"/>
  <c r="AX527" i="5"/>
  <c r="AY527" i="5" s="1"/>
  <c r="AX320" i="5"/>
  <c r="AY320" i="5" s="1"/>
  <c r="AX271" i="5"/>
  <c r="AY271" i="5" s="1"/>
  <c r="AX558" i="5"/>
  <c r="AY558" i="5" s="1"/>
  <c r="AX249" i="5"/>
  <c r="AY249" i="5" s="1"/>
  <c r="AX510" i="5"/>
  <c r="AY510" i="5" s="1"/>
  <c r="AX322" i="5"/>
  <c r="AY322" i="5" s="1"/>
  <c r="AG26" i="4"/>
  <c r="AI26" i="4" s="1"/>
  <c r="AO26" i="4"/>
  <c r="AX340" i="5"/>
  <c r="AY340" i="5" s="1"/>
  <c r="AX298" i="5"/>
  <c r="AY298" i="5" s="1"/>
  <c r="AK155" i="4"/>
  <c r="AA130" i="4"/>
  <c r="AC130" i="4" s="1"/>
  <c r="AD130" i="4" s="1"/>
  <c r="AA144" i="4"/>
  <c r="AC144" i="4" s="1"/>
  <c r="AD144" i="4" s="1"/>
  <c r="AA155" i="4"/>
  <c r="AC155" i="4" s="1"/>
  <c r="AD155" i="4" s="1"/>
  <c r="AX235" i="5"/>
  <c r="AY235" i="5" s="1"/>
  <c r="AX292" i="5"/>
  <c r="AY292" i="5" s="1"/>
  <c r="AX486" i="5"/>
  <c r="AY486" i="5" s="1"/>
  <c r="AX497" i="5"/>
  <c r="AY497" i="5" s="1"/>
  <c r="AX457" i="5"/>
  <c r="AY457" i="5" s="1"/>
  <c r="AR84" i="4"/>
  <c r="AT84" i="4" s="1"/>
  <c r="AR79" i="4"/>
  <c r="AT79" i="4" s="1"/>
  <c r="AK144" i="4"/>
  <c r="AX325" i="5"/>
  <c r="AY325" i="5" s="1"/>
  <c r="AG130" i="4"/>
  <c r="AI130" i="4" s="1"/>
  <c r="AO130" i="4"/>
  <c r="AO62" i="4"/>
  <c r="AG62" i="4"/>
  <c r="AI62" i="4" s="1"/>
  <c r="AG10" i="4"/>
  <c r="AI10" i="4" s="1"/>
  <c r="AO10" i="4"/>
  <c r="AK141" i="4"/>
  <c r="AF141" i="4"/>
  <c r="AO101" i="4"/>
  <c r="AG101" i="4"/>
  <c r="AI101" i="4" s="1"/>
  <c r="AG144" i="4"/>
  <c r="AI144" i="4" s="1"/>
  <c r="AO144" i="4"/>
  <c r="AG94" i="4"/>
  <c r="AI94" i="4" s="1"/>
  <c r="AO94" i="4"/>
  <c r="AO58" i="4"/>
  <c r="AG58" i="4"/>
  <c r="AI58" i="4" s="1"/>
  <c r="AK130" i="4"/>
  <c r="AR132" i="4"/>
  <c r="AT132" i="4" s="1"/>
  <c r="AG24" i="4"/>
  <c r="AI24" i="4" s="1"/>
  <c r="AO24" i="4"/>
  <c r="AR105" i="4"/>
  <c r="AT105" i="4" s="1"/>
  <c r="AO155" i="4"/>
  <c r="AG155" i="4"/>
  <c r="AI155" i="4" s="1"/>
  <c r="AR140" i="4"/>
  <c r="AT140" i="4" s="1"/>
  <c r="AG83" i="4"/>
  <c r="AI83" i="4" s="1"/>
  <c r="AO83" i="4"/>
  <c r="AG34" i="4"/>
  <c r="AI34" i="4" s="1"/>
  <c r="AO34" i="4"/>
  <c r="AG59" i="4"/>
  <c r="AI59" i="4" s="1"/>
  <c r="AO59" i="4"/>
  <c r="AG21" i="4"/>
  <c r="AI21" i="4" s="1"/>
  <c r="AO21" i="4"/>
  <c r="AX207" i="5"/>
  <c r="AY207" i="5" s="1"/>
  <c r="AX233" i="5"/>
  <c r="AY233" i="5" s="1"/>
  <c r="AR76" i="4"/>
  <c r="AT76" i="4" s="1"/>
  <c r="AX549" i="5"/>
  <c r="AY549" i="5" s="1"/>
  <c r="AX195" i="5"/>
  <c r="AY195" i="5" s="1"/>
  <c r="AX546" i="5"/>
  <c r="AY546" i="5" s="1"/>
  <c r="AX442" i="5"/>
  <c r="AY442" i="5" s="1"/>
  <c r="AR86" i="4"/>
  <c r="AT86" i="4" s="1"/>
  <c r="AR8" i="4"/>
  <c r="AT8" i="4" s="1"/>
  <c r="AR54" i="4"/>
  <c r="AT54" i="4" s="1"/>
  <c r="AX352" i="5"/>
  <c r="AY352" i="5" s="1"/>
  <c r="AX422" i="5"/>
  <c r="AY422" i="5" s="1"/>
  <c r="AX51" i="5"/>
  <c r="AY51" i="5" s="1"/>
  <c r="AX545" i="5"/>
  <c r="AY545" i="5" s="1"/>
  <c r="AX534" i="5"/>
  <c r="AY534" i="5" s="1"/>
  <c r="AX419" i="5"/>
  <c r="AY419" i="5" s="1"/>
  <c r="AX190" i="5"/>
  <c r="AY190" i="5" s="1"/>
  <c r="AX55" i="5"/>
  <c r="AY55" i="5" s="1"/>
  <c r="AX541" i="5"/>
  <c r="AY541" i="5" s="1"/>
  <c r="AX526" i="5"/>
  <c r="AY526" i="5" s="1"/>
  <c r="AX246" i="5"/>
  <c r="AY246" i="5" s="1"/>
  <c r="AX357" i="5"/>
  <c r="AY357" i="5" s="1"/>
  <c r="AX95" i="5"/>
  <c r="AY95" i="5" s="1"/>
  <c r="AX124" i="5"/>
  <c r="AY124" i="5" s="1"/>
  <c r="AX106" i="5"/>
  <c r="AY106" i="5" s="1"/>
  <c r="AX164" i="5"/>
  <c r="AY164" i="5" s="1"/>
  <c r="AX61" i="5"/>
  <c r="AY61" i="5" s="1"/>
  <c r="AX171" i="5"/>
  <c r="AY171" i="5" s="1"/>
  <c r="AX154" i="5"/>
  <c r="AY154" i="5" s="1"/>
  <c r="AX152" i="5"/>
  <c r="AY152" i="5" s="1"/>
  <c r="AX27" i="5"/>
  <c r="AY27" i="5" s="1"/>
  <c r="AX516" i="5"/>
  <c r="AY516" i="5" s="1"/>
  <c r="AX227" i="5"/>
  <c r="AY227" i="5" s="1"/>
  <c r="AX88" i="5"/>
  <c r="AY88" i="5" s="1"/>
  <c r="AX519" i="5"/>
  <c r="AY519" i="5" s="1"/>
  <c r="AX366" i="5"/>
  <c r="AY366" i="5" s="1"/>
  <c r="AX242" i="5"/>
  <c r="AY242" i="5" s="1"/>
  <c r="AX189" i="5"/>
  <c r="AY189" i="5" s="1"/>
  <c r="AX441" i="5"/>
  <c r="AY441" i="5" s="1"/>
  <c r="B128" i="2"/>
  <c r="B134" i="2" s="1"/>
  <c r="AX50" i="5"/>
  <c r="AY50" i="5" s="1"/>
  <c r="AX40" i="5"/>
  <c r="AY40" i="5" s="1"/>
  <c r="AX29" i="5"/>
  <c r="AY29" i="5" s="1"/>
  <c r="AX414" i="5"/>
  <c r="AY414" i="5" s="1"/>
  <c r="AX155" i="5"/>
  <c r="AY155" i="5" s="1"/>
  <c r="AX334" i="5"/>
  <c r="AY334" i="5" s="1"/>
  <c r="AX430" i="5"/>
  <c r="AY430" i="5" s="1"/>
  <c r="K142" i="2"/>
  <c r="B131" i="2"/>
  <c r="B132" i="2" s="1"/>
  <c r="AR20" i="4"/>
  <c r="AT20" i="4" s="1"/>
  <c r="AX530" i="5"/>
  <c r="AY530" i="5" s="1"/>
  <c r="AR23" i="4"/>
  <c r="AT23" i="4" s="1"/>
  <c r="AR135" i="4"/>
  <c r="AT135" i="4" s="1"/>
  <c r="AR109" i="4"/>
  <c r="AT109" i="4" s="1"/>
  <c r="AR38" i="4"/>
  <c r="AT38" i="4" s="1"/>
  <c r="AR35" i="4"/>
  <c r="AT35" i="4" s="1"/>
  <c r="AR39" i="4"/>
  <c r="AT39" i="4" s="1"/>
  <c r="AR100" i="4"/>
  <c r="AT100" i="4" s="1"/>
  <c r="AR95" i="4"/>
  <c r="AT95" i="4" s="1"/>
  <c r="AR52" i="4"/>
  <c r="AT52" i="4" s="1"/>
  <c r="AR157" i="4"/>
  <c r="AT157" i="4" s="1"/>
  <c r="AR47" i="4"/>
  <c r="AT47" i="4" s="1"/>
  <c r="AR64" i="4"/>
  <c r="AT64" i="4" s="1"/>
  <c r="AR116" i="4"/>
  <c r="AT116" i="4" s="1"/>
  <c r="AR128" i="4"/>
  <c r="AT128" i="4" s="1"/>
  <c r="AR14" i="4"/>
  <c r="AT14" i="4" s="1"/>
  <c r="AR148" i="4"/>
  <c r="AT148" i="4" s="1"/>
  <c r="AR63" i="4"/>
  <c r="AT63" i="4" s="1"/>
  <c r="AR77" i="4"/>
  <c r="AT77" i="4" s="1"/>
  <c r="AR126" i="4"/>
  <c r="AT126" i="4" s="1"/>
  <c r="AR69" i="4"/>
  <c r="AT69" i="4" s="1"/>
  <c r="AR150" i="4"/>
  <c r="AT150" i="4" s="1"/>
  <c r="AR137" i="4"/>
  <c r="AT137" i="4" s="1"/>
  <c r="AR93" i="4"/>
  <c r="AT93" i="4" s="1"/>
  <c r="AR134" i="4"/>
  <c r="AT134" i="4" s="1"/>
  <c r="AR73" i="4"/>
  <c r="AT73" i="4" s="1"/>
  <c r="AR91" i="4"/>
  <c r="AT91" i="4" s="1"/>
  <c r="AR26" i="4" l="1"/>
  <c r="AT26" i="4" s="1"/>
  <c r="AR59" i="4"/>
  <c r="AT59" i="4" s="1"/>
  <c r="AR94" i="4"/>
  <c r="AT94" i="4" s="1"/>
  <c r="AR10" i="4"/>
  <c r="AT10" i="4" s="1"/>
  <c r="AR34" i="4"/>
  <c r="AT34" i="4" s="1"/>
  <c r="AR24" i="4"/>
  <c r="AT24" i="4" s="1"/>
  <c r="AR144" i="4"/>
  <c r="AT144" i="4" s="1"/>
  <c r="AR155" i="4"/>
  <c r="AT155" i="4" s="1"/>
  <c r="AR130" i="4"/>
  <c r="AT130" i="4" s="1"/>
  <c r="AR21" i="4"/>
  <c r="AT21" i="4" s="1"/>
  <c r="AG141" i="4"/>
  <c r="AI141" i="4" s="1"/>
  <c r="AO141" i="4"/>
  <c r="AR58" i="4"/>
  <c r="AT58" i="4" s="1"/>
  <c r="AR62" i="4"/>
  <c r="AT62" i="4" s="1"/>
  <c r="AR83" i="4"/>
  <c r="AT83" i="4" s="1"/>
  <c r="AR101" i="4"/>
  <c r="AT101" i="4" s="1"/>
  <c r="AY14" i="5"/>
  <c r="D69" i="5" s="1"/>
  <c r="B69" i="5" s="1"/>
  <c r="A69" i="5" s="1"/>
  <c r="L68" i="1" s="1"/>
  <c r="K136" i="2"/>
  <c r="B136" i="2" s="1"/>
  <c r="H31" i="1" s="1"/>
  <c r="AY12" i="5"/>
  <c r="D68" i="5" s="1"/>
  <c r="B68" i="5" s="1"/>
  <c r="A68" i="5" s="1"/>
  <c r="L67" i="1" s="1"/>
  <c r="B135" i="2"/>
  <c r="H30" i="1" s="1"/>
  <c r="AR141" i="4" l="1"/>
  <c r="AT141"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Schauer, Stefan</author>
  </authors>
  <commentList>
    <comment ref="A3" authorId="0" shapeId="0" xr:uid="{00000000-0006-0000-0000-00000100000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Note: When not using an english Excel version and a #name error is displayed after change a value try pressing Shift+ALT+CTRL+F9 and change the value again.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LM5155 BIAS pin voltage operating range is 3.5V to 45V.
The LM5156 BIAS pin voltage operating range is 3.5V to 60V.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52"/>
            <rFont val="Tahoma"/>
            <family val="2"/>
          </rPr>
          <t>The text in the cell is flagged orange if:</t>
        </r>
        <r>
          <rPr>
            <b/>
            <sz val="9"/>
            <color indexed="81"/>
            <rFont val="Tahoma"/>
            <family val="2"/>
          </rPr>
          <t xml:space="preserve">
</t>
        </r>
        <r>
          <rPr>
            <sz val="9"/>
            <color indexed="81"/>
            <rFont val="Tahoma"/>
            <family val="2"/>
          </rPr>
          <t>-The input voltage is above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60V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sz val="9"/>
            <color indexed="81"/>
            <rFont val="Tahoma"/>
            <family val="2"/>
          </rPr>
          <t xml:space="preserve">The LM5156 input voltage operating range is 1.5V to 60V.
</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LM5155 input voltage operating range is 1.5V to 45V.
The LM5156 input voltage operating range is 1.5V to 60V.
</t>
        </r>
        <r>
          <rPr>
            <b/>
            <sz val="9"/>
            <color indexed="10"/>
            <rFont val="Tahoma"/>
            <family val="2"/>
          </rPr>
          <t xml:space="preserve">
</t>
        </r>
        <r>
          <rPr>
            <b/>
            <sz val="9"/>
            <color indexed="52"/>
            <rFont val="Tahoma"/>
            <family val="2"/>
          </rPr>
          <t>The text in the cell is flagged orange if:</t>
        </r>
        <r>
          <rPr>
            <b/>
            <sz val="9"/>
            <color indexed="10"/>
            <rFont val="Tahoma"/>
            <family val="2"/>
          </rPr>
          <t xml:space="preserve">
</t>
        </r>
        <r>
          <rPr>
            <sz val="9"/>
            <color indexed="81"/>
            <rFont val="Tahoma"/>
            <family val="2"/>
          </rPr>
          <t>-The input voltage is above 45V</t>
        </r>
        <r>
          <rPr>
            <b/>
            <sz val="9"/>
            <color indexed="10"/>
            <rFont val="Tahoma"/>
            <family val="2"/>
          </rPr>
          <t xml:space="preserve">
The text in the cell is flagged red if:</t>
        </r>
        <r>
          <rPr>
            <sz val="9"/>
            <color indexed="81"/>
            <rFont val="Tahoma"/>
            <family val="2"/>
          </rPr>
          <t xml:space="preserve">
-The input voltage is above 60V
-The input voltage is below 1.5V
</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t>
        </r>
      </text>
    </comment>
    <comment ref="G12" authorId="0" shapeId="0" xr:uid="{00000000-0006-0000-0000-00000700000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4" authorId="0" shapeId="0" xr:uid="{00000000-0006-0000-0000-000008000000}">
      <text>
        <r>
          <rPr>
            <b/>
            <sz val="9"/>
            <color indexed="81"/>
            <rFont val="Tahoma"/>
            <family val="2"/>
          </rPr>
          <t xml:space="preserve">Estimated Efficiency
</t>
        </r>
        <r>
          <rPr>
            <sz val="9"/>
            <color indexed="81"/>
            <rFont val="Tahoma"/>
            <family val="2"/>
          </rPr>
          <t>A good estimate at full load current and Vsupply(min) is around the 90% to 93% range</t>
        </r>
      </text>
    </comment>
    <comment ref="G16" authorId="0" shapeId="0" xr:uid="{00000000-0006-0000-0000-000009000000}">
      <text>
        <r>
          <rPr>
            <b/>
            <sz val="9"/>
            <color indexed="81"/>
            <rFont val="Tahoma"/>
            <family val="2"/>
          </rPr>
          <t xml:space="preserve">Maximum duty cycle
</t>
        </r>
        <r>
          <rPr>
            <sz val="9"/>
            <color indexed="81"/>
            <rFont val="Tahoma"/>
            <family val="2"/>
          </rPr>
          <t xml:space="preserve">Limit of the LM5155. See the datasheet for more detail on how the maximum duty cycle changes with switching frequency
</t>
        </r>
      </text>
    </comment>
    <comment ref="G17" authorId="1" shapeId="0" xr:uid="{08B8E066-477C-411E-B516-1DCAD11E8DA9}">
      <text>
        <r>
          <rPr>
            <b/>
            <sz val="9"/>
            <color indexed="81"/>
            <rFont val="Tahoma"/>
            <family val="2"/>
          </rPr>
          <t xml:space="preserve">Ideal Duty Cycle at Vsupply(MIN):
</t>
        </r>
        <r>
          <rPr>
            <sz val="9"/>
            <color indexed="81"/>
            <rFont val="Tahoma"/>
            <family val="2"/>
          </rPr>
          <t xml:space="preserve">
Calculated with  1- (VIN_min/VOUT). 
</t>
        </r>
        <r>
          <rPr>
            <b/>
            <sz val="9"/>
            <color indexed="10"/>
            <rFont val="Tahoma"/>
            <family val="2"/>
          </rPr>
          <t xml:space="preserve">The text in the cell is flagged red if:
</t>
        </r>
        <r>
          <rPr>
            <sz val="9"/>
            <color indexed="81"/>
            <rFont val="Tahoma"/>
            <family val="2"/>
          </rPr>
          <t xml:space="preserve">- The duty cycle is above the Limit value (in the cell above)
  Based on the limits given in the datasheet
</t>
        </r>
      </text>
    </comment>
    <comment ref="G18" authorId="1" shapeId="0" xr:uid="{74A21C24-1F16-4017-9418-3CDE4814AE31}">
      <text>
        <r>
          <rPr>
            <b/>
            <sz val="9"/>
            <color indexed="81"/>
            <rFont val="Tahoma"/>
            <family val="2"/>
          </rPr>
          <t xml:space="preserve">Select the Operation mode:
</t>
        </r>
        <r>
          <rPr>
            <sz val="9"/>
            <color indexed="81"/>
            <rFont val="Tahoma"/>
            <family val="2"/>
          </rPr>
          <t xml:space="preserve">Select the operation mode at maximum load:
CCM: Continious Contuction Mode
DCM: Discontinious Contuction Mode
</t>
        </r>
      </text>
    </comment>
    <comment ref="G21" authorId="0" shapeId="0" xr:uid="{00000000-0006-0000-0000-00000A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t>
        </r>
      </text>
    </comment>
    <comment ref="G23" authorId="0" shapeId="0" xr:uid="{00000000-0006-0000-0000-00000B000000}">
      <text>
        <r>
          <rPr>
            <b/>
            <sz val="9"/>
            <color indexed="81"/>
            <rFont val="Tahoma"/>
            <family val="2"/>
          </rPr>
          <t xml:space="preserve">Filter Inductance:
</t>
        </r>
        <r>
          <rPr>
            <sz val="9"/>
            <color indexed="81"/>
            <rFont val="Tahoma"/>
            <family val="2"/>
          </rPr>
          <t xml:space="preserve">Enter the filter inductance here.
</t>
        </r>
        <r>
          <rPr>
            <b/>
            <sz val="9"/>
            <color indexed="10"/>
            <rFont val="Tahoma"/>
            <family val="2"/>
          </rPr>
          <t xml:space="preserve">The text in the cell is flagged red if:
</t>
        </r>
        <r>
          <rPr>
            <sz val="9"/>
            <color indexed="81"/>
            <rFont val="Tahoma"/>
            <family val="2"/>
          </rPr>
          <t xml:space="preserve">The selected inductance will not be supported the above set operation mode at maximum load.
(Checked only at the 3 given Supply Voltages (Min/Nom/Max).
</t>
        </r>
      </text>
    </comment>
    <comment ref="G24" authorId="0" shapeId="0" xr:uid="{00000000-0006-0000-0000-00000C000000}">
      <text>
        <r>
          <rPr>
            <b/>
            <sz val="9"/>
            <color indexed="81"/>
            <rFont val="Tahoma"/>
            <family val="2"/>
          </rPr>
          <t xml:space="preserve">Inductor DCR:
</t>
        </r>
        <r>
          <rPr>
            <sz val="9"/>
            <color indexed="81"/>
            <rFont val="Tahoma"/>
            <family val="2"/>
          </rPr>
          <t xml:space="preserve">Enter the inductor DC resistance here. This is typically specified in the inductor datasheet at 25°C copper temperature.
</t>
        </r>
      </text>
    </comment>
    <comment ref="G25" authorId="0" shapeId="0" xr:uid="{00000000-0006-0000-0000-00000D000000}">
      <text>
        <r>
          <rPr>
            <b/>
            <sz val="9"/>
            <color indexed="81"/>
            <rFont val="Tahoma"/>
            <family val="2"/>
          </rPr>
          <t>Peak Inductor Current</t>
        </r>
        <r>
          <rPr>
            <sz val="9"/>
            <color indexed="81"/>
            <rFont val="Tahoma"/>
            <family val="2"/>
          </rPr>
          <t xml:space="preserve">
Maximum peak inductor current during normal operation.  The peak current limit calculations are based on this value</t>
        </r>
      </text>
    </comment>
    <comment ref="G28" authorId="0" shapeId="0" xr:uid="{00000000-0006-0000-0000-00000E000000}">
      <text>
        <r>
          <rPr>
            <b/>
            <sz val="9"/>
            <color indexed="81"/>
            <rFont val="Tahoma"/>
            <family val="2"/>
          </rPr>
          <t>Peak Current Limit Margin</t>
        </r>
        <r>
          <rPr>
            <sz val="9"/>
            <color indexed="81"/>
            <rFont val="Tahoma"/>
            <family val="2"/>
          </rPr>
          <t xml:space="preserve">
Margin above the calculated peak inductor current. Margin must be given to allow for load transients and component tolerances.
Value should be higher then 15% to avoid false triggers.
The recommended value from the Datasheet is 20%.</t>
        </r>
      </text>
    </comment>
    <comment ref="G29" authorId="0" shapeId="0" xr:uid="{00000000-0006-0000-0000-00000F000000}">
      <text>
        <r>
          <rPr>
            <b/>
            <sz val="9"/>
            <color indexed="81"/>
            <rFont val="Tahoma"/>
            <family val="2"/>
          </rPr>
          <t xml:space="preserve">Selected Peak Inductor Current Limt
</t>
        </r>
        <r>
          <rPr>
            <sz val="9"/>
            <color indexed="81"/>
            <rFont val="Tahoma"/>
            <family val="2"/>
          </rPr>
          <t xml:space="preserve">
Peak inductor current limit based on the margin and the steady state peak inductor current at V</t>
        </r>
        <r>
          <rPr>
            <vertAlign val="subscript"/>
            <sz val="9"/>
            <color indexed="81"/>
            <rFont val="Tahoma"/>
            <family val="2"/>
          </rPr>
          <t>IN_MIN</t>
        </r>
        <r>
          <rPr>
            <sz val="9"/>
            <color indexed="81"/>
            <rFont val="Tahoma"/>
            <family val="2"/>
          </rPr>
          <t xml:space="preserve"> and maximum output current</t>
        </r>
      </text>
    </comment>
    <comment ref="G30" authorId="0" shapeId="0" xr:uid="{00000000-0006-0000-0000-00001000000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31" authorId="0" shapeId="0" xr:uid="{00000000-0006-0000-0000-000011000000}">
      <text>
        <r>
          <rPr>
            <b/>
            <sz val="9"/>
            <color indexed="81"/>
            <rFont val="Tahoma"/>
            <family val="2"/>
          </rPr>
          <t>Calculated External Slope Compensation Resistor</t>
        </r>
        <r>
          <rPr>
            <sz val="9"/>
            <color indexed="81"/>
            <rFont val="Tahoma"/>
            <family val="2"/>
          </rPr>
          <t xml:space="preserve">
Calculated external slope compensation resistor based on the desired maximum peak current limit. 
</t>
        </r>
      </text>
    </comment>
    <comment ref="G35" authorId="0" shapeId="0" xr:uid="{00000000-0006-0000-0000-000013000000}">
      <text>
        <r>
          <rPr>
            <b/>
            <sz val="9"/>
            <color indexed="81"/>
            <rFont val="Tahoma"/>
            <family val="2"/>
          </rPr>
          <t>The saturation current of the inductor must be higher than the peak inductor current limint. 
Recommended Margin is ~15%</t>
        </r>
      </text>
    </comment>
    <comment ref="G38" authorId="1" shapeId="0" xr:uid="{34A1C02D-A92A-4231-935A-D27CE25D0CCD}">
      <text>
        <r>
          <rPr>
            <b/>
            <sz val="9"/>
            <color indexed="81"/>
            <rFont val="Tahoma"/>
            <family val="2"/>
          </rPr>
          <t xml:space="preserve">Peak to Peak Voltage Ripple
</t>
        </r>
        <r>
          <rPr>
            <sz val="9"/>
            <color indexed="81"/>
            <rFont val="Tahoma"/>
            <family val="2"/>
          </rPr>
          <t>Desired output voltage transient for 50% load to 100% load step.</t>
        </r>
      </text>
    </comment>
    <comment ref="G45" authorId="1" shapeId="0" xr:uid="{27BE2E58-6B05-4EB2-ACEC-FABDB0D92520}">
      <text>
        <r>
          <rPr>
            <b/>
            <sz val="9"/>
            <color indexed="81"/>
            <rFont val="Tahoma"/>
            <family val="2"/>
          </rPr>
          <t xml:space="preserve">Suggested min. Softstart Capacitor
</t>
        </r>
        <r>
          <rPr>
            <sz val="9"/>
            <color indexed="81"/>
            <rFont val="Tahoma"/>
            <family val="2"/>
          </rPr>
          <t xml:space="preserve">
The suggested min. Softstart Capacitor is set to avoid overshoot of the output voltage.
It is based on the Load Current and Output Capacitor.
</t>
        </r>
      </text>
    </comment>
    <comment ref="G57" authorId="0" shapeId="0" xr:uid="{00000000-0006-0000-0000-000014000000}">
      <text>
        <r>
          <rPr>
            <b/>
            <sz val="9"/>
            <color indexed="81"/>
            <rFont val="Tahoma"/>
            <family val="2"/>
          </rPr>
          <t xml:space="preserve">Changes the input voltage value. Allow for evaluation of the control loop and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 ref="G62" authorId="1" shapeId="0" xr:uid="{CAA0D2B2-1619-4A36-A8E5-8EF89AE0C27B}">
      <text>
        <r>
          <rPr>
            <b/>
            <sz val="9"/>
            <color indexed="81"/>
            <rFont val="Tahoma"/>
            <family val="2"/>
          </rPr>
          <t>Select Bottomresistor R</t>
        </r>
        <r>
          <rPr>
            <b/>
            <sz val="8"/>
            <color indexed="81"/>
            <rFont val="Tahoma"/>
            <family val="2"/>
          </rPr>
          <t>FBB</t>
        </r>
        <r>
          <rPr>
            <b/>
            <sz val="9"/>
            <color indexed="81"/>
            <rFont val="Tahoma"/>
            <family val="2"/>
          </rPr>
          <t xml:space="preserve">
</t>
        </r>
        <r>
          <rPr>
            <sz val="9"/>
            <color indexed="81"/>
            <rFont val="Tahoma"/>
            <family val="2"/>
          </rPr>
          <t xml:space="preserve">
Select the closes value to the calculated bottom feedback resistor based on the used standard resistor series (e.g. E48).</t>
        </r>
      </text>
    </comment>
    <comment ref="F69" authorId="1" shapeId="0" xr:uid="{CA3EAB78-A137-4F5E-A063-15FB6763AD4F}">
      <text>
        <r>
          <rPr>
            <b/>
            <sz val="9"/>
            <color indexed="81"/>
            <rFont val="Tahoma"/>
            <family val="2"/>
          </rPr>
          <t xml:space="preserve">Calculated Loop Comenstation Values:
</t>
        </r>
        <r>
          <rPr>
            <sz val="9"/>
            <color indexed="81"/>
            <rFont val="Tahoma"/>
            <family val="2"/>
          </rPr>
          <t xml:space="preserve">The calculation of this loop compensation values are based on the selected bandwidth (Fco) and the minimum input Voltage Vin.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21" authorId="0" shapeId="0" xr:uid="{00000000-0006-0000-0100-000001000000}">
      <text>
        <r>
          <rPr>
            <b/>
            <sz val="9"/>
            <color indexed="81"/>
            <rFont val="Tahoma"/>
            <family val="2"/>
          </rPr>
          <t>Forced off time limit? 
[2 True, 1 False]</t>
        </r>
        <r>
          <rPr>
            <sz val="9"/>
            <color indexed="81"/>
            <rFont val="Tahoma"/>
            <family val="2"/>
          </rPr>
          <t xml:space="preserve">
</t>
        </r>
      </text>
    </comment>
    <comment ref="K14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14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<sst xmlns="http://schemas.openxmlformats.org/spreadsheetml/2006/main" count="987" uniqueCount="582">
  <si>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</si>
  <si>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</si>
  <si>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</si>
  <si>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</si>
  <si>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</si>
  <si>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</si>
  <si>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</si>
  <si>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</si>
  <si>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</si>
  <si>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Estimated Efficiency</t>
  </si>
  <si>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</si>
  <si>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</si>
  <si>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</si>
  <si>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</si>
  <si>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</si>
  <si>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</si>
  <si>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</si>
  <si>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</si>
  <si>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</si>
  <si>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</si>
  <si>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</si>
  <si>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</si>
  <si>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</si>
  <si>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</si>
  <si>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</si>
  <si>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</si>
  <si>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</si>
  <si>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</si>
  <si>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</si>
  <si>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</si>
  <si>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</si>
  <si>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</si>
  <si>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</si>
  <si>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</si>
  <si>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</si>
  <si>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</si>
  <si>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</si>
  <si>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</si>
  <si>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</si>
  <si>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</si>
  <si>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Estimated efficiency</t>
  </si>
  <si>
    <t>Total output power</t>
  </si>
  <si>
    <t>Minimum load resistance</t>
  </si>
  <si>
    <t>Dc_max_ideal</t>
  </si>
  <si>
    <t>Maximum duty cycle at the minimum input voltage</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</si>
  <si>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</si>
  <si>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</si>
  <si>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</si>
  <si>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</si>
  <si>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</si>
  <si>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</si>
  <si>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</si>
  <si>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</si>
  <si>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</si>
  <si>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</si>
  <si>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</si>
  <si>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</si>
  <si>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</si>
  <si>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</si>
  <si>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</si>
  <si>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</si>
  <si>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</si>
  <si>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</si>
  <si>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</si>
  <si>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</si>
  <si>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</si>
  <si>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</si>
  <si>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</si>
  <si>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</si>
  <si>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</si>
  <si>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</si>
  <si>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</si>
  <si>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Forced off time limit? [2 True, 1 False]</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</si>
  <si>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</si>
  <si>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</si>
  <si>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</si>
  <si>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</si>
  <si>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</si>
  <si>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</si>
  <si>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</si>
  <si>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</si>
  <si>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</si>
  <si>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</si>
  <si>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</si>
  <si>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</si>
  <si>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Duty cycle at the mimum input voltage (CCM)</t>
  </si>
  <si>
    <t>Duty cycle at the nominal input voltage (CCM)</t>
  </si>
  <si>
    <t>Duty cycle at the maximum input voltage (CCM)</t>
  </si>
  <si>
    <t>ton_min</t>
  </si>
  <si>
    <t>Typical Ton minimum value</t>
  </si>
  <si>
    <t>Lcalc_VIN_min</t>
  </si>
  <si>
    <t>Inductor at Minimum input voltage</t>
  </si>
  <si>
    <t>IL_avg_VIN_min</t>
  </si>
  <si>
    <t>IL_avg_VIN_nom</t>
  </si>
  <si>
    <t>IL_avg_VIN_max</t>
  </si>
  <si>
    <t>Average input current at minimum input voltage. 100% Eff assumed</t>
  </si>
  <si>
    <t>Average input current at nominal input voltage. 100% Eff assumed</t>
  </si>
  <si>
    <t>Average input current at maximum input voltage. 100% Eff assumed</t>
  </si>
  <si>
    <t>H</t>
  </si>
  <si>
    <t>ILrip</t>
  </si>
  <si>
    <t>Lopt</t>
  </si>
  <si>
    <t>Optimal inductor. Based off the average</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</si>
  <si>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</si>
  <si>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</si>
  <si>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</si>
  <si>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</si>
  <si>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</si>
  <si>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Strategy 1</t>
  </si>
  <si>
    <t>Strategy 2</t>
  </si>
  <si>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</si>
  <si>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</si>
  <si>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</si>
  <si>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</si>
  <si>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</si>
  <si>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</si>
  <si>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</si>
  <si>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</si>
  <si>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</si>
  <si>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</si>
  <si>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</si>
  <si>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</si>
  <si>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</si>
  <si>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</si>
  <si>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</si>
  <si>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</si>
  <si>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</si>
  <si>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</si>
  <si>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</si>
  <si>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</si>
  <si>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</si>
  <si>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</si>
  <si>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</si>
  <si>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</si>
  <si>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</si>
  <si>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This value used to make the selection</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</si>
  <si>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</si>
  <si>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</si>
  <si>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</si>
  <si>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</si>
  <si>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</si>
  <si>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</si>
  <si>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</si>
  <si>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</si>
  <si>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</si>
  <si>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</si>
  <si>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</si>
  <si>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</si>
  <si>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</si>
  <si>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</si>
  <si>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</si>
  <si>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</si>
  <si>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</si>
  <si>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</si>
  <si>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External Compensation? (0-no, 1-yes)</t>
  </si>
  <si>
    <t>Rcs_w_sl</t>
  </si>
  <si>
    <t>Rcs_ext_sl_ratio</t>
  </si>
  <si>
    <t>External Slope compensation ratio. Constant</t>
  </si>
  <si>
    <t>R_sl_ext</t>
  </si>
  <si>
    <t>R_cs_calc</t>
  </si>
  <si>
    <t>R_sl_calc</t>
  </si>
  <si>
    <t>R_cs</t>
  </si>
  <si>
    <t>R_sl</t>
  </si>
  <si>
    <t>Current Sense Resistor calculated</t>
  </si>
  <si>
    <t>External slope compensation resistor</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</si>
  <si>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</si>
  <si>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</si>
  <si>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</si>
  <si>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</si>
  <si>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</si>
  <si>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</si>
  <si>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</si>
  <si>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</si>
  <si>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</si>
  <si>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</si>
  <si>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</si>
  <si>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</si>
  <si>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</si>
  <si>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</si>
  <si>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</si>
  <si>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</si>
  <si>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</si>
  <si>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</si>
  <si>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</si>
  <si>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</si>
  <si>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Will add this later. Can be left off for APL</t>
  </si>
  <si>
    <t>Step 4: Output Capacitor Selection</t>
  </si>
  <si>
    <t>mV</t>
  </si>
  <si>
    <t xml:space="preserve">Minimum output capacitance </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</si>
  <si>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</si>
  <si>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</si>
  <si>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</si>
  <si>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Recommend Minimum Inductor Saturation Current Rating</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</si>
  <si>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</si>
  <si>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</si>
  <si>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</si>
  <si>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</si>
  <si>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</si>
  <si>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t>RMS current of the output capacitor at VIN min IOUT max. RMS current rating should be larger than this.</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</si>
  <si>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</si>
  <si>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</si>
  <si>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</si>
  <si>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</si>
  <si>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</si>
  <si>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</si>
  <si>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</si>
  <si>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</si>
  <si>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</si>
  <si>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</si>
  <si>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</si>
  <si>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</si>
  <si>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</si>
  <si>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</si>
  <si>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</si>
  <si>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</si>
  <si>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</si>
  <si>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</si>
  <si>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</si>
  <si>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</si>
  <si>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</si>
  <si>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</si>
  <si>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</si>
  <si>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</si>
  <si>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</si>
  <si>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</si>
  <si>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</si>
  <si>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</si>
  <si>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</si>
  <si>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</si>
  <si>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</si>
  <si>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</si>
  <si>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</si>
  <si>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</si>
  <si>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</si>
  <si>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</si>
  <si>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</si>
  <si>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</si>
  <si>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</si>
  <si>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</si>
  <si>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</si>
  <si>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</si>
  <si>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</si>
  <si>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</si>
  <si>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</si>
  <si>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</si>
  <si>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</si>
  <si>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</si>
  <si>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</si>
  <si>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</si>
  <si>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</si>
  <si>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</si>
  <si>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</si>
  <si>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</si>
  <si>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</si>
  <si>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</si>
  <si>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</si>
  <si>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</si>
  <si>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</si>
  <si>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</si>
  <si>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</si>
  <si>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</si>
  <si>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</si>
  <si>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</si>
  <si>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Plant Parameters</t>
  </si>
  <si>
    <t>wz_ea</t>
  </si>
  <si>
    <t>Adc_ea</t>
  </si>
  <si>
    <t>gm_ea</t>
  </si>
  <si>
    <t>Error Amplifier Gain</t>
  </si>
  <si>
    <t>A/V</t>
  </si>
  <si>
    <t>wp0_ea</t>
  </si>
  <si>
    <t>wp1_ea</t>
  </si>
  <si>
    <t>ADC_ea</t>
  </si>
  <si>
    <t xml:space="preserve">Gain </t>
  </si>
  <si>
    <t>Open Loop Response</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</si>
  <si>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</si>
  <si>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</si>
  <si>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</si>
  <si>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</si>
  <si>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</si>
  <si>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</si>
  <si>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</si>
  <si>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</si>
  <si>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</si>
  <si>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</si>
  <si>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</si>
  <si>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</si>
  <si>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</si>
  <si>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</si>
  <si>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</si>
  <si>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</si>
  <si>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</si>
  <si>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</si>
  <si>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</si>
  <si>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</si>
  <si>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Fcross_est</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</si>
  <si>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</si>
  <si>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</si>
  <si>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</si>
  <si>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</si>
  <si>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Conservative. Set Fcross to be 1/5th the RHP zero frequency or 1/10th SW: whichever is lower</t>
  </si>
  <si>
    <t>Select the lower crossover frequency</t>
  </si>
  <si>
    <t>Gplant_fc</t>
  </si>
  <si>
    <t>Gain of the plant at the desired crossover frequency</t>
  </si>
  <si>
    <t>Fcross</t>
  </si>
  <si>
    <t>wz_RHP</t>
  </si>
  <si>
    <t>Gplant_fc_dB</t>
  </si>
  <si>
    <t>Plant gain at crossover frequency (dB)</t>
  </si>
  <si>
    <t>Gea_mid_calc</t>
  </si>
  <si>
    <t>Error Amplifier Mid-band gain to set cross over frequency correctly</t>
  </si>
  <si>
    <t>Rcomp_Calc</t>
  </si>
  <si>
    <t>Calculate on based on the desired Mid-band gain needed to set the crossover frequency</t>
  </si>
  <si>
    <t>fz_ea_est</t>
  </si>
  <si>
    <t>Set the fz_ea 1/10th the cross over frequency (Common approach)</t>
  </si>
  <si>
    <t>Set the fz_ea geometerically inbetween crossover and the wp_lf</t>
  </si>
  <si>
    <t>Fz_ea_1</t>
  </si>
  <si>
    <t>Fz_ea_2</t>
  </si>
  <si>
    <t>CCOMP_calc</t>
  </si>
  <si>
    <t>CHF_Calc</t>
  </si>
  <si>
    <t>fp_ea_est</t>
  </si>
  <si>
    <r>
      <t>Select a top feedback resistor(R</t>
    </r>
    <r>
      <rPr>
        <vertAlign val="subscript"/>
        <sz val="11"/>
        <color theme="1"/>
        <rFont val="Calibri"/>
        <family val="2"/>
        <scheme val="minor"/>
      </rPr>
      <t>FBT</t>
    </r>
    <r>
      <rPr>
        <sz val="11"/>
        <color theme="1"/>
        <rFont val="Calibri"/>
        <family val="2"/>
        <scheme val="minor"/>
      </rPr>
      <t>)</t>
    </r>
  </si>
  <si>
    <t>Step 5: Soft-Start Capacitor Selection</t>
  </si>
  <si>
    <t>Step 6: UVLO Resistor Divider Selection</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</si>
  <si>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</si>
  <si>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</si>
  <si>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</si>
  <si>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</si>
  <si>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</si>
  <si>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</si>
  <si>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</si>
  <si>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</si>
  <si>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</si>
  <si>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</si>
  <si>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</si>
  <si>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</si>
  <si>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</si>
  <si>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</si>
  <si>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</si>
  <si>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</si>
  <si>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</si>
  <si>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</si>
  <si>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</si>
  <si>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</si>
  <si>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</si>
  <si>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</si>
  <si>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</si>
  <si>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</si>
  <si>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</si>
  <si>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</si>
  <si>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</si>
  <si>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</si>
  <si>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</si>
  <si>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</si>
  <si>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</si>
  <si>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</si>
  <si>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</si>
  <si>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</si>
  <si>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</si>
  <si>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</si>
  <si>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</si>
  <si>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</si>
  <si>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</si>
  <si>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</si>
  <si>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</si>
  <si>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</si>
  <si>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</si>
  <si>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</si>
  <si>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</si>
  <si>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</si>
  <si>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</si>
  <si>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</si>
  <si>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</si>
  <si>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</si>
  <si>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</si>
  <si>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</si>
  <si>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</si>
  <si>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</si>
  <si>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</si>
  <si>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</si>
  <si>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</si>
  <si>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</si>
  <si>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</si>
  <si>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</si>
  <si>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</si>
  <si>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</si>
  <si>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</si>
  <si>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</si>
  <si>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</si>
  <si>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</si>
  <si>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</si>
  <si>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</si>
  <si>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</si>
  <si>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</si>
  <si>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</si>
  <si>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</si>
  <si>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</si>
  <si>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</si>
  <si>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</si>
  <si>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</si>
  <si>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</si>
  <si>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</si>
  <si>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</si>
  <si>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</si>
  <si>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</si>
  <si>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</si>
  <si>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</si>
  <si>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</si>
  <si>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</si>
  <si>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</si>
  <si>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</si>
  <si>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</si>
  <si>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</si>
  <si>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</si>
  <si>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</si>
  <si>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</si>
  <si>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</si>
  <si>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</si>
  <si>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</si>
  <si>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</si>
  <si>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</si>
  <si>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</si>
  <si>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</si>
  <si>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</si>
  <si>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</si>
  <si>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</si>
  <si>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</si>
  <si>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</si>
  <si>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</si>
  <si>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</si>
  <si>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</si>
  <si>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</si>
  <si>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</si>
  <si>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</si>
  <si>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</si>
  <si>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</si>
  <si>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</si>
  <si>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</si>
  <si>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</si>
  <si>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</si>
  <si>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</si>
  <si>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</si>
  <si>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</si>
  <si>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</si>
  <si>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</si>
  <si>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</si>
  <si>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</si>
  <si>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</si>
  <si>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</si>
  <si>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Inductor</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</si>
  <si>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</si>
  <si>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</si>
  <si>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</si>
  <si>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</si>
  <si>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Variable output current (Need to add this in</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</si>
  <si>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</si>
  <si>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</si>
  <si>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</si>
  <si>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</si>
  <si>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</si>
  <si>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</si>
  <si>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</si>
  <si>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</si>
  <si>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</si>
  <si>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</si>
  <si>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</si>
  <si>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</si>
  <si>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</si>
  <si>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</si>
  <si>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</si>
  <si>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</si>
  <si>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</si>
  <si>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</si>
  <si>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</si>
  <si>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</si>
  <si>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</si>
  <si>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</si>
  <si>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</si>
  <si>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</si>
  <si>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</si>
  <si>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</si>
  <si>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</si>
  <si>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</si>
  <si>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</si>
  <si>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</si>
  <si>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</si>
  <si>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</si>
  <si>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</si>
  <si>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</si>
  <si>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Boost Converter Duty Cycle Limit by LM5155 at V</t>
    </r>
    <r>
      <rPr>
        <vertAlign val="subscript"/>
        <sz val="10"/>
        <color theme="1"/>
        <rFont val="Calibri"/>
        <family val="2"/>
        <scheme val="minor"/>
      </rPr>
      <t>SUPPLY(MIN)</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</si>
  <si>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</si>
  <si>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</si>
  <si>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</si>
  <si>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</si>
  <si>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</si>
  <si>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</si>
  <si>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</si>
  <si>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</si>
  <si>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CCM</t>
  </si>
  <si>
    <t>DCM</t>
  </si>
  <si>
    <t>Dc_DCM_max_ideal</t>
  </si>
  <si>
    <t>Duty cycle at the mimum input voltage (DCM)</t>
  </si>
  <si>
    <t>Duty cycle at the nominal input voltage (DCM)</t>
  </si>
  <si>
    <t>Duty cycle at the maximum input voltage (DCM)</t>
  </si>
  <si>
    <t>Dc_DCM_VIN_min</t>
  </si>
  <si>
    <t>IL_avg_DCM_VIN_min</t>
  </si>
  <si>
    <t>Dc_DCM_VIN_nom</t>
  </si>
  <si>
    <t>IL_avg_DCM_VIN_nom</t>
  </si>
  <si>
    <t>Dc_DCM_VIN_max</t>
  </si>
  <si>
    <t xml:space="preserve">Duty cycle at the mimum input voltage </t>
  </si>
  <si>
    <t>Duty cycle at the nominal input voltage</t>
  </si>
  <si>
    <t>Duty cycle at the maximum input voltage</t>
  </si>
  <si>
    <t>Dc_CCM_max_ideal</t>
  </si>
  <si>
    <t>Dc_CCM_VIN_min</t>
  </si>
  <si>
    <t>IL_avg_CCM_VIN_min</t>
  </si>
  <si>
    <t>Dc_CCM_VIN_nom</t>
  </si>
  <si>
    <t>IL_avg_CCM_VIN_nom</t>
  </si>
  <si>
    <t>Dc_CCM_VIN_max</t>
  </si>
  <si>
    <t>IL_avg_CCM_VIN_max</t>
  </si>
  <si>
    <t>Selected Mode for Calculation</t>
  </si>
  <si>
    <t>Possible Mode due to Load and L Selection</t>
  </si>
  <si>
    <t xml:space="preserve">Ideal Duty Cycle at VSUPPLY(MIN) </t>
  </si>
  <si>
    <t>CCM/DCM selected</t>
  </si>
  <si>
    <t>Rsl_max</t>
  </si>
  <si>
    <t>Maximum Value of Rsl (DS page 21)</t>
  </si>
  <si>
    <t>Operation Mode</t>
  </si>
  <si>
    <t>Version Number</t>
  </si>
  <si>
    <t>1.0.0</t>
  </si>
  <si>
    <t>Version History</t>
  </si>
  <si>
    <t>Version</t>
  </si>
  <si>
    <t>Change List Description</t>
  </si>
  <si>
    <t>Initial Release</t>
  </si>
  <si>
    <r>
      <t>Desired soft-start time at minimum input voltage (T</t>
    </r>
    <r>
      <rPr>
        <vertAlign val="subscript"/>
        <sz val="11"/>
        <color theme="1"/>
        <rFont val="Calibri"/>
        <family val="2"/>
        <scheme val="minor"/>
      </rPr>
      <t>SS</t>
    </r>
    <r>
      <rPr>
        <sz val="11"/>
        <color theme="1"/>
        <rFont val="Calibri"/>
        <family val="2"/>
        <scheme val="minor"/>
      </rPr>
      <t>)</t>
    </r>
  </si>
  <si>
    <r>
      <t>Select a bottom resistor based on calculated value(R</t>
    </r>
    <r>
      <rPr>
        <vertAlign val="subscript"/>
        <sz val="11"/>
        <color theme="1"/>
        <rFont val="Calibri"/>
        <family val="2"/>
        <scheme val="minor"/>
      </rPr>
      <t>FBB</t>
    </r>
    <r>
      <rPr>
        <sz val="11"/>
        <color theme="1"/>
        <rFont val="Calibri"/>
        <family val="2"/>
        <scheme val="minor"/>
      </rPr>
      <t>)</t>
    </r>
  </si>
  <si>
    <t>1.1.0</t>
  </si>
  <si>
    <t>Added DCM mode</t>
  </si>
  <si>
    <t>Sel_Cond_Mode</t>
  </si>
  <si>
    <t>ConductionMode</t>
  </si>
  <si>
    <t>Gain Cross</t>
  </si>
  <si>
    <t>Phase Cross</t>
  </si>
  <si>
    <t>XOVER SEARCH</t>
  </si>
  <si>
    <t>xover</t>
  </si>
  <si>
    <t>phase margin</t>
  </si>
  <si>
    <r>
      <t>Target Output Voltage, V</t>
    </r>
    <r>
      <rPr>
        <vertAlign val="subscript"/>
        <sz val="10"/>
        <color theme="1"/>
        <rFont val="Calibri"/>
        <family val="2"/>
        <scheme val="minor"/>
      </rPr>
      <t>LOAD</t>
    </r>
    <r>
      <rPr>
        <sz val="10"/>
        <color theme="1"/>
        <rFont val="Calibri"/>
        <family val="2"/>
        <scheme val="minor"/>
      </rPr>
      <t xml:space="preserve"> </t>
    </r>
  </si>
  <si>
    <r>
      <t>Desired Output ripple voltage (</t>
    </r>
    <r>
      <rPr>
        <sz val="11"/>
        <color theme="1"/>
        <rFont val="Calibri"/>
        <family val="2"/>
      </rPr>
      <t>Δv</t>
    </r>
    <r>
      <rPr>
        <vertAlign val="subscript"/>
        <sz val="11"/>
        <color theme="1"/>
        <rFont val="Calibri"/>
        <family val="2"/>
      </rPr>
      <t>OUT</t>
    </r>
    <r>
      <rPr>
        <sz val="11"/>
        <color theme="1"/>
        <rFont val="Calibri"/>
        <family val="2"/>
      </rPr>
      <t>)</t>
    </r>
  </si>
  <si>
    <r>
      <rPr>
        <sz val="11"/>
        <color theme="1"/>
        <rFont val="Calibri"/>
        <family val="2"/>
      </rPr>
      <t>μ</t>
    </r>
    <r>
      <rPr>
        <sz val="11"/>
        <color theme="1"/>
        <rFont val="Calibri"/>
        <family val="2"/>
        <scheme val="minor"/>
      </rPr>
      <t>H</t>
    </r>
  </si>
  <si>
    <r>
      <rPr>
        <sz val="11"/>
        <color theme="1"/>
        <rFont val="Calibri"/>
        <family val="2"/>
      </rPr>
      <t>μ</t>
    </r>
    <r>
      <rPr>
        <sz val="11"/>
        <color theme="1"/>
        <rFont val="Calibri"/>
        <family val="2"/>
        <scheme val="minor"/>
      </rPr>
      <t>F</t>
    </r>
  </si>
  <si>
    <t>wp_hf</t>
  </si>
  <si>
    <t>HF pole used for DCM</t>
  </si>
  <si>
    <t>Fn</t>
  </si>
  <si>
    <t>M</t>
  </si>
  <si>
    <t>Hd</t>
  </si>
  <si>
    <t>tauL</t>
  </si>
  <si>
    <t>Suggested maximum bandwidth</t>
  </si>
  <si>
    <r>
      <t>Selected bandwidth (F</t>
    </r>
    <r>
      <rPr>
        <vertAlign val="subscript"/>
        <sz val="11"/>
        <color theme="1"/>
        <rFont val="Calibri"/>
        <family val="2"/>
        <scheme val="minor"/>
      </rPr>
      <t>CO</t>
    </r>
    <r>
      <rPr>
        <sz val="11"/>
        <color theme="1"/>
        <rFont val="Calibri"/>
        <family val="2"/>
        <scheme val="minor"/>
      </rPr>
      <t>)</t>
    </r>
  </si>
  <si>
    <t>Mode</t>
  </si>
  <si>
    <t>Valid Lm</t>
  </si>
  <si>
    <t>L dcm/ccm</t>
  </si>
  <si>
    <t>min</t>
  </si>
  <si>
    <t>max</t>
  </si>
  <si>
    <t>min10%</t>
  </si>
  <si>
    <t>max10%</t>
  </si>
  <si>
    <t>V in min</t>
  </si>
  <si>
    <t>V in nom</t>
  </si>
  <si>
    <t>DC CCM &lt; DCM</t>
  </si>
  <si>
    <t>CCM/DCM</t>
  </si>
  <si>
    <t>Dc_Mode_Loop_Loop</t>
  </si>
  <si>
    <t>Duty Cycle mode for Loop Comenstation</t>
  </si>
  <si>
    <t>CCM only</t>
  </si>
  <si>
    <t>DCM only</t>
  </si>
  <si>
    <t>ModeCheck</t>
  </si>
  <si>
    <t>Lcalc_VIN_max</t>
  </si>
  <si>
    <t>Lcalc_VIN_nom</t>
  </si>
  <si>
    <t>Inductor at Nominal input voltage</t>
  </si>
  <si>
    <t>Inductor at Maximum input voltage</t>
  </si>
  <si>
    <t>V in max</t>
  </si>
  <si>
    <t>Strategy DCM</t>
  </si>
  <si>
    <t>L_DCM</t>
  </si>
  <si>
    <t>1.1.1</t>
  </si>
  <si>
    <t>Fixed reporting of wrong phase Margin</t>
  </si>
  <si>
    <t>Rev 1.1.1</t>
  </si>
  <si>
    <t>August-2021</t>
  </si>
  <si>
    <t>LM5155/56 DC/DC BOOST Controller Design Tool</t>
  </si>
  <si>
    <t>VIN_op_max_56</t>
  </si>
  <si>
    <t>Maximum BIAS pin operating voltage LM5156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</si>
</sst>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00E+00"/>
    <numFmt numFmtId="166" formatCode="0.0000"/>
    <numFmt numFmtId="167" formatCode="0.0000E+00"/>
    <numFmt numFmtId="168" formatCode="0.0"/>
    <numFmt numFmtId="169" formatCode="0.0E+00"/>
  </numFmts>
  <fonts count="44"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
      <u/>
      <sz val="11"/>
      <color theme="10"/>
      <name val="Calibri"/>
      <family val="2"/>
      <scheme val="minor"/>
    </font>
    <font>
      <sz val="11"/>
      <color theme="1"/>
      <name val="Arial"/>
      <family val="2"/>
    </font>
    <font>
      <b/>
      <sz val="10"/>
      <color theme="1"/>
      <name val="Arial"/>
      <family val="2"/>
    </font>
    <font>
      <sz val="10"/>
      <color theme="1"/>
      <name val="Arial"/>
      <family val="2"/>
    </font>
    <font>
      <b/>
      <u/>
      <sz val="10"/>
      <color theme="10"/>
      <name val="Arial"/>
      <family val="2"/>
    </font>
    <font>
      <b/>
      <sz val="10"/>
      <color theme="0"/>
      <name val="Arial"/>
      <family val="2"/>
    </font>
    <font>
      <b/>
      <u/>
      <sz val="11"/>
      <color theme="10"/>
      <name val="Arial"/>
      <family val="2"/>
    </font>
    <font>
      <b/>
      <sz val="8"/>
      <color indexed="81"/>
      <name val="Tahoma"/>
      <family val="2"/>
    </font>
    <font>
      <b/>
      <sz val="9"/>
      <color indexed="52"/>
      <name val="Tahoma"/>
      <family val="2"/>
    </font>
  </fonts>
  <fills count="20">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
      <patternFill patternType="solid">
        <fgColor rgb="FFDE0000"/>
        <bgColor indexed="64"/>
      </patternFill>
    </fill>
    <fill>
      <patternFill patternType="solid">
        <fgColor indexed="44"/>
        <bgColor indexed="64"/>
      </patternFill>
    </fill>
  </fills>
  <borders count="29">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xf numFmtId="0" fontId="35" fillId="0" borderId="0" applyNumberFormat="0" applyFill="0" applyBorder="0" applyAlignment="0" applyProtection="0"/>
  </cellStyleXfs>
  <cellXfs count="251">
    <xf numFmtId="0" fontId="0" fillId="0" borderId="0" xfId="0"/>
    <xf numFmtId="0" fontId="0" fillId="9" borderId="0" xfId="0" applyFill="1"/>
    <xf numFmtId="0" fontId="16"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5" fontId="0" fillId="9" borderId="0" xfId="0" applyNumberFormat="1" applyFill="1"/>
    <xf numFmtId="0" fontId="5" fillId="0" borderId="0" xfId="3" applyFont="1" applyAlignment="1">
      <alignment horizontal="right"/>
    </xf>
    <xf numFmtId="0" fontId="4" fillId="0" borderId="0" xfId="3" applyAlignment="1">
      <alignment horizontal="center"/>
    </xf>
    <xf numFmtId="164" fontId="0" fillId="9" borderId="0" xfId="0" applyNumberFormat="1" applyFill="1"/>
    <xf numFmtId="2" fontId="0" fillId="9" borderId="0" xfId="0" applyNumberFormat="1" applyFill="1"/>
    <xf numFmtId="1" fontId="0" fillId="9" borderId="0" xfId="0" applyNumberFormat="1" applyFill="1"/>
    <xf numFmtId="0" fontId="15" fillId="0" borderId="0" xfId="0" applyFont="1"/>
    <xf numFmtId="164" fontId="0" fillId="0" borderId="0" xfId="0" applyNumberFormat="1"/>
    <xf numFmtId="11" fontId="14" fillId="10" borderId="0" xfId="0" applyNumberFormat="1" applyFont="1" applyFill="1"/>
    <xf numFmtId="0" fontId="17" fillId="0" borderId="0" xfId="0" applyFont="1"/>
    <xf numFmtId="2" fontId="0" fillId="0" borderId="0" xfId="0" applyNumberFormat="1"/>
    <xf numFmtId="167" fontId="0" fillId="9" borderId="0" xfId="0" applyNumberFormat="1" applyFill="1"/>
    <xf numFmtId="11" fontId="0" fillId="9" borderId="0" xfId="0" applyNumberFormat="1" applyFill="1"/>
    <xf numFmtId="0" fontId="5" fillId="0" borderId="0" xfId="3" applyFont="1" applyAlignment="1">
      <alignment horizontal="left"/>
    </xf>
    <xf numFmtId="166" fontId="0" fillId="9" borderId="0" xfId="0" applyNumberFormat="1" applyFill="1"/>
    <xf numFmtId="0" fontId="14" fillId="10" borderId="0" xfId="0" applyFont="1" applyFill="1"/>
    <xf numFmtId="0" fontId="19" fillId="0" borderId="0" xfId="0" applyFont="1"/>
    <xf numFmtId="0" fontId="21" fillId="0" borderId="0" xfId="0" applyFont="1"/>
    <xf numFmtId="0" fontId="0" fillId="12" borderId="0" xfId="0" applyFill="1"/>
    <xf numFmtId="1" fontId="0" fillId="0" borderId="0" xfId="0" applyNumberFormat="1"/>
    <xf numFmtId="0" fontId="22" fillId="0" borderId="0" xfId="0" applyFont="1"/>
    <xf numFmtId="0" fontId="23" fillId="0" borderId="0" xfId="0" applyFont="1"/>
    <xf numFmtId="168" fontId="0" fillId="0" borderId="0" xfId="0" applyNumberFormat="1"/>
    <xf numFmtId="169" fontId="0" fillId="0" borderId="0" xfId="0" applyNumberFormat="1"/>
    <xf numFmtId="0" fontId="0" fillId="0" borderId="13" xfId="0" applyBorder="1"/>
    <xf numFmtId="0" fontId="0" fillId="14"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4" borderId="13" xfId="0" applyFill="1" applyBorder="1"/>
    <xf numFmtId="0" fontId="0" fillId="0" borderId="19" xfId="0" applyBorder="1"/>
    <xf numFmtId="0" fontId="0" fillId="14"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4"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4" fillId="8" borderId="0" xfId="0" applyFont="1" applyFill="1" applyProtection="1">
      <protection hidden="1"/>
    </xf>
    <xf numFmtId="0" fontId="0" fillId="15"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4"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15"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2"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2" fillId="16" borderId="0" xfId="3" applyFont="1" applyFill="1" applyAlignment="1" applyProtection="1">
      <alignment horizontal="right"/>
      <protection hidden="1"/>
    </xf>
    <xf numFmtId="0" fontId="0" fillId="16" borderId="6" xfId="0" applyFill="1" applyBorder="1" applyProtection="1">
      <protection hidden="1"/>
    </xf>
    <xf numFmtId="0" fontId="12" fillId="16" borderId="5" xfId="0" applyFont="1" applyFill="1" applyBorder="1" applyProtection="1">
      <protection hidden="1"/>
    </xf>
    <xf numFmtId="0" fontId="12" fillId="16" borderId="0" xfId="0" applyFont="1" applyFill="1" applyProtection="1">
      <protection hidden="1"/>
    </xf>
    <xf numFmtId="0" fontId="12" fillId="16" borderId="0" xfId="0" applyFont="1" applyFill="1" applyAlignment="1" applyProtection="1">
      <alignment horizontal="right"/>
      <protection hidden="1"/>
    </xf>
    <xf numFmtId="0" fontId="12" fillId="16" borderId="7" xfId="0" applyFont="1" applyFill="1" applyBorder="1" applyProtection="1">
      <protection hidden="1"/>
    </xf>
    <xf numFmtId="0" fontId="12" fillId="16" borderId="8" xfId="0" applyFont="1" applyFill="1" applyBorder="1" applyProtection="1">
      <protection hidden="1"/>
    </xf>
    <xf numFmtId="0" fontId="0" fillId="16" borderId="8" xfId="0" applyFill="1" applyBorder="1" applyProtection="1">
      <protection hidden="1"/>
    </xf>
    <xf numFmtId="0" fontId="12" fillId="16" borderId="8" xfId="0" applyFont="1" applyFill="1" applyBorder="1" applyAlignment="1" applyProtection="1">
      <alignment horizontal="right"/>
      <protection hidden="1"/>
    </xf>
    <xf numFmtId="0" fontId="0" fillId="16" borderId="9" xfId="0" applyFill="1" applyBorder="1" applyProtection="1">
      <protection hidden="1"/>
    </xf>
    <xf numFmtId="0" fontId="12" fillId="16" borderId="2" xfId="0" applyFont="1" applyFill="1" applyBorder="1" applyProtection="1">
      <protection hidden="1"/>
    </xf>
    <xf numFmtId="0" fontId="12" fillId="16" borderId="3" xfId="0" applyFont="1" applyFill="1" applyBorder="1" applyProtection="1">
      <protection hidden="1"/>
    </xf>
    <xf numFmtId="0" fontId="0" fillId="16" borderId="7" xfId="0" applyFill="1" applyBorder="1" applyProtection="1">
      <protection hidden="1"/>
    </xf>
    <xf numFmtId="0" fontId="12" fillId="16" borderId="8" xfId="3" applyFont="1" applyFill="1" applyBorder="1" applyAlignment="1" applyProtection="1">
      <alignment horizontal="right"/>
      <protection hidden="1"/>
    </xf>
    <xf numFmtId="0" fontId="16" fillId="16" borderId="6" xfId="0" applyFont="1" applyFill="1" applyBorder="1" applyProtection="1">
      <protection hidden="1"/>
    </xf>
    <xf numFmtId="0" fontId="0" fillId="16" borderId="8" xfId="0" applyFill="1" applyBorder="1" applyAlignment="1" applyProtection="1">
      <alignment horizontal="right"/>
      <protection hidden="1"/>
    </xf>
    <xf numFmtId="0" fontId="16" fillId="16" borderId="9" xfId="0" applyFont="1" applyFill="1" applyBorder="1" applyProtection="1">
      <protection hidden="1"/>
    </xf>
    <xf numFmtId="0" fontId="0" fillId="16" borderId="3" xfId="0" applyFill="1" applyBorder="1" applyAlignment="1" applyProtection="1">
      <alignment horizontal="right"/>
      <protection hidden="1"/>
    </xf>
    <xf numFmtId="0" fontId="15" fillId="16" borderId="2" xfId="0" applyFont="1" applyFill="1" applyBorder="1" applyProtection="1">
      <protection hidden="1"/>
    </xf>
    <xf numFmtId="0" fontId="14" fillId="16" borderId="3" xfId="0" applyFont="1" applyFill="1" applyBorder="1" applyAlignment="1" applyProtection="1">
      <alignment horizontal="right"/>
      <protection hidden="1"/>
    </xf>
    <xf numFmtId="0" fontId="15" fillId="16" borderId="5" xfId="0" applyFont="1" applyFill="1" applyBorder="1" applyProtection="1">
      <protection hidden="1"/>
    </xf>
    <xf numFmtId="0" fontId="22" fillId="16" borderId="0" xfId="0" applyFont="1" applyFill="1" applyAlignment="1" applyProtection="1">
      <alignment horizontal="right"/>
      <protection hidden="1"/>
    </xf>
    <xf numFmtId="0" fontId="0" fillId="0" borderId="0" xfId="0" applyProtection="1">
      <protection hidden="1"/>
    </xf>
    <xf numFmtId="0" fontId="0" fillId="16" borderId="0" xfId="0" applyFill="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27"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30" fillId="16" borderId="0" xfId="0" applyFont="1" applyFill="1" applyAlignment="1" applyProtection="1">
      <alignment horizontal="left"/>
      <protection hidden="1"/>
    </xf>
    <xf numFmtId="0" fontId="4" fillId="16" borderId="3" xfId="3" applyFill="1" applyBorder="1" applyAlignment="1" applyProtection="1">
      <alignment horizontal="right"/>
      <protection hidden="1"/>
    </xf>
    <xf numFmtId="0" fontId="4" fillId="16" borderId="4" xfId="3" applyFill="1" applyBorder="1" applyProtection="1">
      <protection hidden="1"/>
    </xf>
    <xf numFmtId="0" fontId="4" fillId="16" borderId="0" xfId="3" applyFill="1" applyAlignment="1" applyProtection="1">
      <alignment horizontal="right"/>
      <protection hidden="1"/>
    </xf>
    <xf numFmtId="0" fontId="4" fillId="16" borderId="6" xfId="3" applyFill="1" applyBorder="1" applyProtection="1">
      <protection hidden="1"/>
    </xf>
    <xf numFmtId="0" fontId="4" fillId="16" borderId="8" xfId="3" applyFill="1" applyBorder="1" applyAlignment="1" applyProtection="1">
      <alignment horizontal="right"/>
      <protection hidden="1"/>
    </xf>
    <xf numFmtId="0" fontId="4" fillId="16" borderId="9" xfId="3" applyFill="1" applyBorder="1" applyProtection="1">
      <protection hidden="1"/>
    </xf>
    <xf numFmtId="0" fontId="0" fillId="15" borderId="0" xfId="0" applyFill="1" applyAlignment="1" applyProtection="1">
      <alignment horizontal="right"/>
      <protection hidden="1"/>
    </xf>
    <xf numFmtId="0" fontId="14" fillId="15" borderId="0" xfId="0" applyFont="1" applyFill="1" applyProtection="1">
      <protection hidden="1"/>
    </xf>
    <xf numFmtId="0" fontId="34"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164" fontId="0" fillId="0" borderId="25" xfId="0" applyNumberFormat="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6"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48" fontId="0" fillId="0" borderId="0" xfId="0" applyNumberFormat="1"/>
    <xf numFmtId="0" fontId="0" fillId="7" borderId="26" xfId="0" applyFill="1" applyBorder="1" applyAlignment="1" applyProtection="1">
      <alignment horizontal="right"/>
      <protection locked="0" hidden="1"/>
    </xf>
    <xf numFmtId="0" fontId="3" fillId="3" borderId="0" xfId="3" applyFont="1" applyFill="1" applyAlignment="1">
      <alignment horizontal="right"/>
    </xf>
    <xf numFmtId="2" fontId="0" fillId="9" borderId="0" xfId="0" applyNumberFormat="1" applyFill="1" applyAlignment="1">
      <alignment horizontal="right"/>
    </xf>
    <xf numFmtId="168" fontId="0" fillId="16" borderId="10" xfId="0" applyNumberFormat="1" applyFill="1" applyBorder="1" applyProtection="1">
      <protection hidden="1"/>
    </xf>
    <xf numFmtId="1" fontId="0" fillId="16" borderId="26" xfId="0" applyNumberFormat="1" applyFill="1" applyBorder="1" applyProtection="1">
      <protection hidden="1"/>
    </xf>
    <xf numFmtId="4" fontId="0" fillId="16" borderId="25" xfId="0" applyNumberFormat="1" applyFill="1" applyBorder="1" applyProtection="1">
      <protection hidden="1"/>
    </xf>
    <xf numFmtId="0" fontId="36" fillId="0" borderId="0" xfId="0" applyFont="1"/>
    <xf numFmtId="0" fontId="37" fillId="0" borderId="0" xfId="0" applyFont="1" applyAlignment="1">
      <alignment horizontal="center"/>
    </xf>
    <xf numFmtId="0" fontId="37" fillId="0" borderId="0" xfId="0" applyFont="1" applyAlignment="1">
      <alignment horizontal="left"/>
    </xf>
    <xf numFmtId="0" fontId="38" fillId="0" borderId="0" xfId="0" applyFont="1"/>
    <xf numFmtId="0" fontId="39" fillId="0" borderId="0" xfId="8" applyFont="1" applyFill="1" applyBorder="1" applyAlignment="1">
      <alignment vertical="center"/>
    </xf>
    <xf numFmtId="0" fontId="39" fillId="0" borderId="0" xfId="8" applyFont="1" applyFill="1" applyBorder="1" applyAlignment="1">
      <alignment horizontal="right" vertical="center"/>
    </xf>
    <xf numFmtId="0" fontId="36" fillId="0" borderId="0" xfId="0" applyFont="1" applyAlignment="1">
      <alignment horizontal="center"/>
    </xf>
    <xf numFmtId="0" fontId="36" fillId="0" borderId="0" xfId="0" applyFont="1" applyAlignment="1">
      <alignment horizontal="left"/>
    </xf>
    <xf numFmtId="0" fontId="38" fillId="0" borderId="0" xfId="0" applyFont="1" applyAlignment="1">
      <alignment horizontal="center"/>
    </xf>
    <xf numFmtId="0" fontId="3" fillId="0" borderId="0" xfId="0" applyFont="1"/>
    <xf numFmtId="0" fontId="40" fillId="17" borderId="0" xfId="0" applyFont="1" applyFill="1" applyAlignment="1">
      <alignment horizontal="center"/>
    </xf>
    <xf numFmtId="0" fontId="41" fillId="0" borderId="0" xfId="8" applyFont="1" applyFill="1" applyBorder="1" applyAlignment="1">
      <alignment vertical="center"/>
    </xf>
    <xf numFmtId="49" fontId="38" fillId="0" borderId="0" xfId="0" applyNumberFormat="1" applyFont="1" applyAlignment="1">
      <alignment horizontal="center"/>
    </xf>
    <xf numFmtId="49" fontId="37" fillId="0" borderId="0" xfId="0" applyNumberFormat="1" applyFont="1" applyAlignment="1">
      <alignment horizontal="left"/>
    </xf>
    <xf numFmtId="0" fontId="5" fillId="0" borderId="0" xfId="3" applyFont="1" applyAlignment="1" applyProtection="1">
      <alignment horizontal="center"/>
      <protection hidden="1"/>
    </xf>
    <xf numFmtId="0" fontId="5" fillId="3" borderId="0" xfId="3" applyFont="1" applyFill="1" applyAlignment="1" applyProtection="1">
      <alignment horizontal="center"/>
      <protection hidden="1"/>
    </xf>
    <xf numFmtId="0" fontId="4" fillId="0" borderId="0" xfId="3" applyProtection="1">
      <protection hidden="1"/>
    </xf>
    <xf numFmtId="0" fontId="5" fillId="4" borderId="0" xfId="3" applyFont="1" applyFill="1" applyAlignment="1" applyProtection="1">
      <alignment horizontal="center"/>
      <protection hidden="1"/>
    </xf>
    <xf numFmtId="0" fontId="5" fillId="0" borderId="0" xfId="3" applyFont="1" applyAlignment="1" applyProtection="1">
      <alignment horizontal="right"/>
      <protection hidden="1"/>
    </xf>
    <xf numFmtId="0" fontId="4" fillId="0" borderId="0" xfId="3" applyAlignment="1" applyProtection="1">
      <alignment horizontal="center"/>
      <protection hidden="1"/>
    </xf>
    <xf numFmtId="0" fontId="5" fillId="0" borderId="0" xfId="3" applyFont="1" applyAlignment="1" applyProtection="1">
      <alignment horizontal="left"/>
      <protection hidden="1"/>
    </xf>
    <xf numFmtId="0" fontId="5" fillId="5" borderId="0" xfId="3" applyFont="1" applyFill="1" applyAlignment="1" applyProtection="1">
      <alignment horizontal="center"/>
      <protection hidden="1"/>
    </xf>
    <xf numFmtId="0" fontId="0" fillId="0" borderId="10" xfId="0" applyBorder="1" applyProtection="1">
      <protection hidden="1"/>
    </xf>
    <xf numFmtId="0" fontId="0" fillId="0" borderId="12" xfId="0" applyBorder="1" applyProtection="1">
      <protection hidden="1"/>
    </xf>
    <xf numFmtId="0" fontId="0" fillId="0" borderId="5" xfId="0" applyBorder="1" applyProtection="1">
      <protection hidden="1"/>
    </xf>
    <xf numFmtId="0" fontId="0" fillId="0" borderId="6" xfId="0" applyBorder="1" applyProtection="1">
      <protection hidden="1"/>
    </xf>
    <xf numFmtId="0" fontId="5" fillId="0" borderId="0" xfId="3" applyFont="1" applyProtection="1">
      <protection hidden="1"/>
    </xf>
    <xf numFmtId="0" fontId="4" fillId="0" borderId="5" xfId="3" applyBorder="1" applyProtection="1">
      <protection hidden="1"/>
    </xf>
    <xf numFmtId="0" fontId="4" fillId="0" borderId="6" xfId="3" applyBorder="1" applyProtection="1">
      <protection hidden="1"/>
    </xf>
    <xf numFmtId="164" fontId="4" fillId="0" borderId="11" xfId="3" applyNumberFormat="1" applyBorder="1" applyProtection="1">
      <protection hidden="1"/>
    </xf>
    <xf numFmtId="0" fontId="4" fillId="0" borderId="11" xfId="3" applyBorder="1" applyProtection="1">
      <protection hidden="1"/>
    </xf>
    <xf numFmtId="0" fontId="0" fillId="0" borderId="11" xfId="0" applyBorder="1" applyProtection="1">
      <protection hidden="1"/>
    </xf>
    <xf numFmtId="0" fontId="4" fillId="0" borderId="10" xfId="3" applyBorder="1" applyProtection="1">
      <protection hidden="1"/>
    </xf>
    <xf numFmtId="164" fontId="0" fillId="0" borderId="11" xfId="0" applyNumberFormat="1" applyBorder="1" applyProtection="1">
      <protection hidden="1"/>
    </xf>
    <xf numFmtId="0" fontId="26" fillId="0" borderId="0" xfId="3" applyFont="1" applyProtection="1">
      <protection hidden="1"/>
    </xf>
    <xf numFmtId="0" fontId="0" fillId="0" borderId="2" xfId="0" applyBorder="1" applyProtection="1">
      <protection hidden="1"/>
    </xf>
    <xf numFmtId="1" fontId="0" fillId="0" borderId="4" xfId="0" applyNumberFormat="1" applyBorder="1" applyProtection="1">
      <protection hidden="1"/>
    </xf>
    <xf numFmtId="164" fontId="4" fillId="0" borderId="3" xfId="3" applyNumberFormat="1" applyBorder="1" applyProtection="1">
      <protection hidden="1"/>
    </xf>
    <xf numFmtId="0" fontId="4" fillId="0" borderId="3" xfId="3" applyBorder="1" applyProtection="1">
      <protection hidden="1"/>
    </xf>
    <xf numFmtId="0" fontId="0" fillId="0" borderId="3" xfId="0" applyBorder="1" applyProtection="1">
      <protection hidden="1"/>
    </xf>
    <xf numFmtId="0" fontId="4" fillId="0" borderId="2" xfId="3" applyBorder="1" applyProtection="1">
      <protection hidden="1"/>
    </xf>
    <xf numFmtId="164" fontId="0" fillId="0" borderId="3" xfId="0" applyNumberFormat="1" applyBorder="1" applyProtection="1">
      <protection hidden="1"/>
    </xf>
    <xf numFmtId="0" fontId="0" fillId="0" borderId="4" xfId="0" applyBorder="1" applyProtection="1">
      <protection hidden="1"/>
    </xf>
    <xf numFmtId="0" fontId="0" fillId="10" borderId="0" xfId="0" applyFill="1" applyProtection="1">
      <protection hidden="1"/>
    </xf>
    <xf numFmtId="1" fontId="0" fillId="0" borderId="6" xfId="0" applyNumberFormat="1" applyBorder="1" applyProtection="1">
      <protection hidden="1"/>
    </xf>
    <xf numFmtId="164" fontId="4" fillId="0" borderId="0" xfId="3" applyNumberFormat="1" applyProtection="1">
      <protection hidden="1"/>
    </xf>
    <xf numFmtId="164" fontId="0" fillId="0" borderId="0" xfId="0" applyNumberFormat="1" applyProtection="1">
      <protection hidden="1"/>
    </xf>
    <xf numFmtId="0" fontId="0" fillId="0" borderId="7" xfId="0" applyBorder="1" applyProtection="1">
      <protection hidden="1"/>
    </xf>
    <xf numFmtId="1" fontId="0" fillId="0" borderId="9" xfId="0" applyNumberFormat="1" applyBorder="1" applyProtection="1">
      <protection hidden="1"/>
    </xf>
    <xf numFmtId="164" fontId="4" fillId="0" borderId="8" xfId="3" applyNumberFormat="1" applyBorder="1" applyProtection="1">
      <protection hidden="1"/>
    </xf>
    <xf numFmtId="0" fontId="4" fillId="0" borderId="8" xfId="3" applyBorder="1" applyProtection="1">
      <protection hidden="1"/>
    </xf>
    <xf numFmtId="0" fontId="0" fillId="0" borderId="8" xfId="0" applyBorder="1" applyProtection="1">
      <protection hidden="1"/>
    </xf>
    <xf numFmtId="0" fontId="4" fillId="0" borderId="7" xfId="3" applyBorder="1" applyProtection="1">
      <protection hidden="1"/>
    </xf>
    <xf numFmtId="164" fontId="0" fillId="0" borderId="8" xfId="0" applyNumberFormat="1" applyBorder="1" applyProtection="1">
      <protection hidden="1"/>
    </xf>
    <xf numFmtId="0" fontId="0" fillId="0" borderId="9" xfId="0" applyBorder="1" applyProtection="1">
      <protection hidden="1"/>
    </xf>
    <xf numFmtId="2" fontId="0" fillId="0" borderId="0" xfId="0" applyNumberFormat="1" applyProtection="1">
      <protection hidden="1"/>
    </xf>
    <xf numFmtId="0" fontId="25" fillId="0" borderId="0" xfId="0" applyFont="1" applyProtection="1">
      <protection hidden="1"/>
    </xf>
    <xf numFmtId="2" fontId="0" fillId="0" borderId="10" xfId="0" applyNumberFormat="1" applyBorder="1" applyProtection="1">
      <protection hidden="1"/>
    </xf>
    <xf numFmtId="2" fontId="0" fillId="0" borderId="5" xfId="0" applyNumberFormat="1" applyBorder="1" applyProtection="1">
      <protection hidden="1"/>
    </xf>
    <xf numFmtId="2" fontId="0" fillId="0" borderId="7" xfId="0" applyNumberFormat="1" applyBorder="1" applyProtection="1">
      <protection hidden="1"/>
    </xf>
    <xf numFmtId="0" fontId="4" fillId="0" borderId="9" xfId="3" applyBorder="1" applyProtection="1">
      <protection hidden="1"/>
    </xf>
    <xf numFmtId="0" fontId="0" fillId="12" borderId="0" xfId="0" applyFill="1" applyProtection="1">
      <protection hidden="1"/>
    </xf>
    <xf numFmtId="0" fontId="16" fillId="0" borderId="0" xfId="0" applyFont="1" applyProtection="1">
      <protection hidden="1"/>
    </xf>
    <xf numFmtId="0" fontId="0" fillId="11" borderId="0" xfId="0" applyFill="1" applyProtection="1">
      <protection hidden="1"/>
    </xf>
    <xf numFmtId="164" fontId="0" fillId="9" borderId="0" xfId="0" applyNumberFormat="1" applyFill="1" applyProtection="1">
      <protection hidden="1"/>
    </xf>
    <xf numFmtId="1" fontId="0" fillId="9" borderId="0" xfId="0" applyNumberFormat="1" applyFill="1" applyProtection="1">
      <protection hidden="1"/>
    </xf>
    <xf numFmtId="2" fontId="0" fillId="9" borderId="0" xfId="0" applyNumberFormat="1" applyFill="1" applyProtection="1">
      <protection hidden="1"/>
    </xf>
    <xf numFmtId="0" fontId="0" fillId="9" borderId="0" xfId="0" applyFill="1" applyProtection="1">
      <protection hidden="1"/>
    </xf>
    <xf numFmtId="0" fontId="24" fillId="0" borderId="0" xfId="0" applyFont="1" applyProtection="1">
      <protection hidden="1"/>
    </xf>
    <xf numFmtId="0" fontId="0" fillId="19" borderId="0" xfId="0" applyFill="1"/>
    <xf numFmtId="0" fontId="0" fillId="0" borderId="5" xfId="0" applyBorder="1"/>
    <xf numFmtId="0" fontId="5" fillId="0" borderId="0" xfId="0" applyFont="1"/>
    <xf numFmtId="2" fontId="3" fillId="0" borderId="0" xfId="0" quotePrefix="1" applyNumberFormat="1" applyFont="1"/>
    <xf numFmtId="0" fontId="0" fillId="0" borderId="0" xfId="0" applyAlignment="1">
      <alignment horizontal="left"/>
    </xf>
    <xf numFmtId="0" fontId="5" fillId="0" borderId="0" xfId="0" applyFont="1" applyAlignment="1">
      <alignment horizontal="left"/>
    </xf>
    <xf numFmtId="164" fontId="0" fillId="0" borderId="26" xfId="0" applyNumberFormat="1" applyBorder="1" applyAlignment="1" applyProtection="1">
      <alignment horizontal="right"/>
      <protection hidden="1"/>
    </xf>
    <xf numFmtId="168" fontId="0" fillId="16" borderId="25" xfId="0" applyNumberFormat="1" applyFill="1" applyBorder="1" applyProtection="1">
      <protection hidden="1"/>
    </xf>
    <xf numFmtId="0" fontId="0" fillId="0" borderId="27" xfId="0" applyBorder="1"/>
    <xf numFmtId="0" fontId="0" fillId="0" borderId="28" xfId="0" applyBorder="1"/>
    <xf numFmtId="0" fontId="0" fillId="0" borderId="24" xfId="0" applyBorder="1"/>
    <xf numFmtId="0" fontId="4" fillId="0" borderId="25" xfId="3" applyBorder="1"/>
    <xf numFmtId="2" fontId="4" fillId="0" borderId="25" xfId="3" applyNumberFormat="1" applyBorder="1" applyAlignment="1">
      <alignment horizontal="center"/>
    </xf>
    <xf numFmtId="0" fontId="38" fillId="0" borderId="0" xfId="0" applyFont="1" applyAlignment="1">
      <alignment wrapText="1"/>
    </xf>
    <xf numFmtId="48" fontId="0" fillId="9" borderId="0" xfId="0" applyNumberFormat="1" applyFill="1"/>
    <xf numFmtId="0" fontId="35" fillId="8" borderId="0" xfId="8" applyFill="1" applyBorder="1" applyAlignment="1" applyProtection="1">
      <alignment horizontal="center"/>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6" fillId="2" borderId="0" xfId="3" applyFont="1" applyFill="1" applyAlignment="1" applyProtection="1">
      <alignment horizontal="center"/>
      <protection hidden="1"/>
    </xf>
    <xf numFmtId="0" fontId="5" fillId="0" borderId="0" xfId="3" applyFont="1" applyAlignment="1" applyProtection="1">
      <alignment horizontal="center"/>
      <protection hidden="1"/>
    </xf>
    <xf numFmtId="0" fontId="4" fillId="0" borderId="0" xfId="3" applyAlignment="1" applyProtection="1">
      <alignment horizontal="center"/>
      <protection hidden="1"/>
    </xf>
    <xf numFmtId="0" fontId="0" fillId="0" borderId="0" xfId="0" applyAlignment="1" applyProtection="1">
      <alignment horizontal="center"/>
      <protection hidden="1"/>
    </xf>
    <xf numFmtId="0" fontId="22" fillId="0" borderId="11" xfId="0" applyFont="1" applyBorder="1" applyAlignment="1" applyProtection="1">
      <alignment horizontal="center"/>
      <protection hidden="1"/>
    </xf>
    <xf numFmtId="0" fontId="22" fillId="0" borderId="12" xfId="0" applyFont="1" applyBorder="1" applyAlignment="1" applyProtection="1">
      <alignment horizontal="center"/>
      <protection hidden="1"/>
    </xf>
    <xf numFmtId="0" fontId="22" fillId="0" borderId="10" xfId="0" applyFont="1" applyBorder="1" applyAlignment="1" applyProtection="1">
      <alignment horizontal="center"/>
      <protection hidden="1"/>
    </xf>
    <xf numFmtId="0" fontId="0" fillId="0" borderId="5" xfId="0" applyBorder="1" applyAlignment="1" applyProtection="1">
      <alignment horizontal="center"/>
      <protection hidden="1"/>
    </xf>
    <xf numFmtId="0" fontId="0" fillId="0" borderId="6" xfId="0" applyBorder="1" applyAlignment="1" applyProtection="1">
      <alignment horizontal="center"/>
      <protection hidden="1"/>
    </xf>
    <xf numFmtId="0" fontId="36" fillId="0" borderId="0" xfId="0" applyFont="1" applyAlignment="1">
      <alignment horizontal="center"/>
    </xf>
    <xf numFmtId="0" fontId="36" fillId="18" borderId="0" xfId="0" applyFont="1" applyFill="1" applyAlignment="1">
      <alignment horizontal="center"/>
    </xf>
    <xf numFmtId="0" fontId="40" fillId="17" borderId="0" xfId="0" applyFont="1" applyFill="1" applyAlignment="1">
      <alignment horizontal="left"/>
    </xf>
    <xf numFmtId="0" fontId="38" fillId="0" borderId="0" xfId="0" applyFont="1" applyAlignment="1">
      <alignment horizontal="left"/>
    </xf>
    <xf numFmtId="0" fontId="38" fillId="0" borderId="0" xfId="0" applyFont="1" applyAlignment="1">
      <alignment wrapText="1"/>
    </xf>
  </cellXfs>
  <cellStyles count="9">
    <cellStyle name="Comma 2" xfId="5" xr:uid="{00000000-0005-0000-0000-000000000000}"/>
    <cellStyle name="Comma 3" xfId="2" xr:uid="{00000000-0005-0000-0000-000001000000}"/>
    <cellStyle name="Hyperlink" xfId="8" builtinId="8"/>
    <cellStyle name="Normal" xfId="0" builtinId="0"/>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s>
  <dxfs count="11">
    <dxf>
      <fill>
        <patternFill>
          <bgColor rgb="FFFF0000"/>
        </patternFill>
      </fill>
    </dxf>
    <dxf>
      <fill>
        <patternFill>
          <bgColor rgb="FFFF0000"/>
        </patternFill>
      </fill>
    </dxf>
    <dxf>
      <font>
        <color rgb="FFC00000"/>
      </font>
      <fill>
        <patternFill>
          <bgColor theme="5" tint="0.59996337778862885"/>
        </patternFill>
      </fill>
    </dxf>
    <dxf>
      <font>
        <color rgb="FF9C0006"/>
      </font>
      <fill>
        <patternFill>
          <bgColor rgb="FFFFC7CE"/>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ont>
        <color auto="1"/>
      </font>
      <fill>
        <patternFill>
          <bgColor rgb="FFFFC000"/>
        </patternFill>
      </fill>
    </dxf>
    <dxf>
      <fill>
        <patternFill>
          <bgColor rgb="FFFF0000"/>
        </patternFill>
      </fill>
    </dxf>
  </dxfs>
  <tableStyles count="0" defaultTableStyle="TableStyleMedium2" defaultPivotStyle="PivotStyleLight16"/>
  <colors>
    <mruColors>
      <color rgb="FF9C0006"/>
      <color rgb="FFFFC7CE"/>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Loop_Modeling!$AT$19:$AT$560</c:f>
              <c:numCache>
                <c:formatCode>0.000</c:formatCode>
                <c:ptCount val="542"/>
                <c:pt idx="0">
                  <c:v>23.206860818614242</c:v>
                </c:pt>
                <c:pt idx="1">
                  <c:v>23.006956666156128</c:v>
                </c:pt>
                <c:pt idx="2">
                  <c:v>22.807057023269024</c:v>
                </c:pt>
                <c:pt idx="3">
                  <c:v>22.607162101751733</c:v>
                </c:pt>
                <c:pt idx="4">
                  <c:v>22.407272123314289</c:v>
                </c:pt>
                <c:pt idx="5">
                  <c:v>22.207387320038315</c:v>
                </c:pt>
                <c:pt idx="6">
                  <c:v>22.007507934858744</c:v>
                </c:pt>
                <c:pt idx="7">
                  <c:v>21.807634222066806</c:v>
                </c:pt>
                <c:pt idx="8">
                  <c:v>21.607766447836333</c:v>
                </c:pt>
                <c:pt idx="9">
                  <c:v>21.407904890774219</c:v>
                </c:pt>
                <c:pt idx="10">
                  <c:v>21.2080498424959</c:v>
                </c:pt>
                <c:pt idx="11">
                  <c:v>21.008201608225797</c:v>
                </c:pt>
                <c:pt idx="12">
                  <c:v>20.808360507426748</c:v>
                </c:pt>
                <c:pt idx="13">
                  <c:v>20.608526874456299</c:v>
                </c:pt>
                <c:pt idx="14">
                  <c:v>20.408701059253616</c:v>
                </c:pt>
                <c:pt idx="15">
                  <c:v>20.208883428056893</c:v>
                </c:pt>
                <c:pt idx="16">
                  <c:v>20.00907436415244</c:v>
                </c:pt>
                <c:pt idx="17">
                  <c:v>19.809274268658502</c:v>
                </c:pt>
                <c:pt idx="18">
                  <c:v>19.609483561342739</c:v>
                </c:pt>
                <c:pt idx="19">
                  <c:v>19.409702681477167</c:v>
                </c:pt>
                <c:pt idx="20">
                  <c:v>19.209932088730223</c:v>
                </c:pt>
                <c:pt idx="21">
                  <c:v>19.010172264099083</c:v>
                </c:pt>
                <c:pt idx="22">
                  <c:v>18.81042371088266</c:v>
                </c:pt>
                <c:pt idx="23">
                  <c:v>18.61068695569719</c:v>
                </c:pt>
                <c:pt idx="24">
                  <c:v>18.410962549536677</c:v>
                </c:pt>
                <c:pt idx="25">
                  <c:v>18.211251068879712</c:v>
                </c:pt>
                <c:pt idx="26">
                  <c:v>18.01155311684408</c:v>
                </c:pt>
                <c:pt idx="27">
                  <c:v>17.811869324391544</c:v>
                </c:pt>
                <c:pt idx="28">
                  <c:v>17.612200351584754</c:v>
                </c:pt>
                <c:pt idx="29">
                  <c:v>17.412546888897474</c:v>
                </c:pt>
                <c:pt idx="30">
                  <c:v>17.212909658581637</c:v>
                </c:pt>
                <c:pt idx="31">
                  <c:v>17.013289416092043</c:v>
                </c:pt>
                <c:pt idx="32">
                  <c:v>16.813686951570524</c:v>
                </c:pt>
                <c:pt idx="33">
                  <c:v>16.614103091394298</c:v>
                </c:pt>
                <c:pt idx="34">
                  <c:v>16.414538699786757</c:v>
                </c:pt>
                <c:pt idx="35">
                  <c:v>16.214994680497146</c:v>
                </c:pt>
                <c:pt idx="36">
                  <c:v>16.015471978547652</c:v>
                </c:pt>
                <c:pt idx="37">
                  <c:v>15.815971582053285</c:v>
                </c:pt>
                <c:pt idx="38">
                  <c:v>15.616494524114819</c:v>
                </c:pt>
                <c:pt idx="39">
                  <c:v>15.417041884788452</c:v>
                </c:pt>
                <c:pt idx="40">
                  <c:v>15.217614793132981</c:v>
                </c:pt>
                <c:pt idx="41">
                  <c:v>15.018214429339853</c:v>
                </c:pt>
                <c:pt idx="42">
                  <c:v>14.81884202694398</c:v>
                </c:pt>
                <c:pt idx="43">
                  <c:v>14.619498875122774</c:v>
                </c:pt>
                <c:pt idx="44">
                  <c:v>14.420186321080568</c:v>
                </c:pt>
                <c:pt idx="45">
                  <c:v>14.220905772525585</c:v>
                </c:pt>
                <c:pt idx="46">
                  <c:v>14.021658700236806</c:v>
                </c:pt>
                <c:pt idx="47">
                  <c:v>13.822446640728071</c:v>
                </c:pt>
                <c:pt idx="48">
                  <c:v>13.623271199005906</c:v>
                </c:pt>
                <c:pt idx="49">
                  <c:v>13.424134051427451</c:v>
                </c:pt>
                <c:pt idx="50">
                  <c:v>13.225036948657765</c:v>
                </c:pt>
                <c:pt idx="51">
                  <c:v>13.02598171872846</c:v>
                </c:pt>
                <c:pt idx="52">
                  <c:v>12.826970270199745</c:v>
                </c:pt>
                <c:pt idx="53">
                  <c:v>12.628004595426116</c:v>
                </c:pt>
                <c:pt idx="54">
                  <c:v>12.429086773926555</c:v>
                </c:pt>
                <c:pt idx="55">
                  <c:v>12.230218975860467</c:v>
                </c:pt>
                <c:pt idx="56">
                  <c:v>12.031403465608403</c:v>
                </c:pt>
                <c:pt idx="57">
                  <c:v>11.832642605457826</c:v>
                </c:pt>
                <c:pt idx="58">
                  <c:v>11.633938859393515</c:v>
                </c:pt>
                <c:pt idx="59">
                  <c:v>11.435294796990188</c:v>
                </c:pt>
                <c:pt idx="60">
                  <c:v>11.236713097406652</c:v>
                </c:pt>
                <c:pt idx="61">
                  <c:v>11.038196553477274</c:v>
                </c:pt>
                <c:pt idx="62">
                  <c:v>10.83974807589972</c:v>
                </c:pt>
                <c:pt idx="63">
                  <c:v>10.641370697512571</c:v>
                </c:pt>
                <c:pt idx="64">
                  <c:v>10.443067577659129</c:v>
                </c:pt>
                <c:pt idx="65">
                  <c:v>10.244842006630341</c:v>
                </c:pt>
                <c:pt idx="66">
                  <c:v>10.046697410180352</c:v>
                </c:pt>
                <c:pt idx="67">
                  <c:v>9.8486373541064829</c:v>
                </c:pt>
                <c:pt idx="68">
                  <c:v>9.6506655488824507</c:v>
                </c:pt>
                <c:pt idx="69">
                  <c:v>9.4527858543346923</c:v>
                </c:pt>
                <c:pt idx="70">
                  <c:v>9.2550022843488051</c:v>
                </c:pt>
                <c:pt idx="71">
                  <c:v>9.0573190115908133</c:v>
                </c:pt>
                <c:pt idx="72">
                  <c:v>8.859740372226943</c:v>
                </c:pt>
                <c:pt idx="73">
                  <c:v>8.6622708706233968</c:v>
                </c:pt>
                <c:pt idx="74">
                  <c:v>8.4649151840045906</c:v>
                </c:pt>
                <c:pt idx="75">
                  <c:v>8.2676781670460251</c:v>
                </c:pt>
                <c:pt idx="76">
                  <c:v>8.0705648563774943</c:v>
                </c:pt>
                <c:pt idx="77">
                  <c:v>7.87358047496451</c:v>
                </c:pt>
                <c:pt idx="78">
                  <c:v>7.6767304363386</c:v>
                </c:pt>
                <c:pt idx="79">
                  <c:v>7.4800203486395116</c:v>
                </c:pt>
                <c:pt idx="80">
                  <c:v>7.2834560184289003</c:v>
                </c:pt>
                <c:pt idx="81">
                  <c:v>7.0870434542366132</c:v>
                </c:pt>
                <c:pt idx="82">
                  <c:v>6.8907888697877286</c:v>
                </c:pt>
                <c:pt idx="83">
                  <c:v>6.6946986868621714</c:v>
                </c:pt>
                <c:pt idx="84">
                  <c:v>6.4987795377298401</c:v>
                </c:pt>
                <c:pt idx="85">
                  <c:v>6.3030382670995087</c:v>
                </c:pt>
                <c:pt idx="86">
                  <c:v>6.1074819335180388</c:v>
                </c:pt>
                <c:pt idx="87">
                  <c:v>5.9121178101452188</c:v>
                </c:pt>
                <c:pt idx="88">
                  <c:v>5.716953384829818</c:v>
                </c:pt>
                <c:pt idx="89">
                  <c:v>5.521996359401891</c:v>
                </c:pt>
                <c:pt idx="90">
                  <c:v>5.3272546480943532</c:v>
                </c:pt>
                <c:pt idx="91">
                  <c:v>5.1327363749956856</c:v>
                </c:pt>
                <c:pt idx="92">
                  <c:v>4.9384498704353259</c:v>
                </c:pt>
                <c:pt idx="93">
                  <c:v>4.7444036661884796</c:v>
                </c:pt>
                <c:pt idx="94">
                  <c:v>4.5506064893900611</c:v>
                </c:pt>
                <c:pt idx="95">
                  <c:v>4.3570672550312999</c:v>
                </c:pt>
                <c:pt idx="96">
                  <c:v>4.1637950569130773</c:v>
                </c:pt>
                <c:pt idx="97">
                  <c:v>3.9707991569177814</c:v>
                </c:pt>
                <c:pt idx="98">
                  <c:v>3.7780889724584648</c:v>
                </c:pt>
                <c:pt idx="99">
                  <c:v>3.5856740619568237</c:v>
                </c:pt>
                <c:pt idx="100">
                  <c:v>3.3935641081944472</c:v>
                </c:pt>
                <c:pt idx="101">
                  <c:v>3.2017688993759097</c:v>
                </c:pt>
                <c:pt idx="102">
                  <c:v>3.0102983077414649</c:v>
                </c:pt>
                <c:pt idx="103">
                  <c:v>2.819162265555502</c:v>
                </c:pt>
                <c:pt idx="104">
                  <c:v>2.6283707382999371</c:v>
                </c:pt>
                <c:pt idx="105">
                  <c:v>2.43793369489677</c:v>
                </c:pt>
                <c:pt idx="106">
                  <c:v>2.2478610747821341</c:v>
                </c:pt>
                <c:pt idx="107">
                  <c:v>2.0581627516556003</c:v>
                </c:pt>
                <c:pt idx="108">
                  <c:v>1.8688484937301779</c:v>
                </c:pt>
                <c:pt idx="109">
                  <c:v>1.6799279203120108</c:v>
                </c:pt>
                <c:pt idx="110">
                  <c:v>1.4914104545437152</c:v>
                </c:pt>
                <c:pt idx="111">
                  <c:v>1.3033052721552965</c:v>
                </c:pt>
                <c:pt idx="112">
                  <c:v>1.1156212460751778</c:v>
                </c:pt>
                <c:pt idx="113">
                  <c:v>0.9283668867683138</c:v>
                </c:pt>
                <c:pt idx="114">
                  <c:v>0.74155027818505515</c:v>
                </c:pt>
                <c:pt idx="115">
                  <c:v>0.55517900922232433</c:v>
                </c:pt>
                <c:pt idx="116">
                  <c:v>0.36926010062539527</c:v>
                </c:pt>
                <c:pt idx="117">
                  <c:v>0.18379992727873029</c:v>
                </c:pt>
                <c:pt idx="118">
                  <c:v>-1.1958641247393239E-3</c:v>
                </c:pt>
                <c:pt idx="119">
                  <c:v>-0.18572244202574922</c:v>
                </c:pt>
                <c:pt idx="120">
                  <c:v>-0.36977588148868157</c:v>
                </c:pt>
                <c:pt idx="121">
                  <c:v>-0.55335326014623409</c:v>
                </c:pt>
                <c:pt idx="122">
                  <c:v>-0.73645275844982216</c:v>
                </c:pt>
                <c:pt idx="123">
                  <c:v>-0.91907376403130736</c:v>
                </c:pt>
                <c:pt idx="124">
                  <c:v>-1.1012169799241605</c:v>
                </c:pt>
                <c:pt idx="125">
                  <c:v>-1.2828845363364487</c:v>
                </c:pt>
                <c:pt idx="126">
                  <c:v>-1.4640801056040995</c:v>
                </c:pt>
                <c:pt idx="127">
                  <c:v>-1.6448090198899732</c:v>
                </c:pt>
                <c:pt idx="128">
                  <c:v>-1.8250783911296977</c:v>
                </c:pt>
                <c:pt idx="129">
                  <c:v>-2.0048972326507379</c:v>
                </c:pt>
                <c:pt idx="130">
                  <c:v>-2.1842765818284318</c:v>
                </c:pt>
                <c:pt idx="131">
                  <c:v>-2.3632296230701004</c:v>
                </c:pt>
                <c:pt idx="132">
                  <c:v>-2.541771810347075</c:v>
                </c:pt>
                <c:pt idx="133">
                  <c:v>-2.7199209884318218</c:v>
                </c:pt>
                <c:pt idx="134">
                  <c:v>-2.8976975119283246</c:v>
                </c:pt>
                <c:pt idx="135">
                  <c:v>-3.0751243611273198</c:v>
                </c:pt>
                <c:pt idx="136">
                  <c:v>-3.2522272536564563</c:v>
                </c:pt>
                <c:pt idx="137">
                  <c:v>-3.4290347508536358</c:v>
                </c:pt>
                <c:pt idx="138">
                  <c:v>-3.6055783577430516</c:v>
                </c:pt>
                <c:pt idx="139">
                  <c:v>-3.7818926154645589</c:v>
                </c:pt>
                <c:pt idx="140">
                  <c:v>-3.9580151849821172</c:v>
                </c:pt>
                <c:pt idx="141">
                  <c:v>-4.1339869208854942</c:v>
                </c:pt>
                <c:pt idx="142">
                  <c:v>-4.3098519340995747</c:v>
                </c:pt>
                <c:pt idx="143">
                  <c:v>-4.4856576423296524</c:v>
                </c:pt>
                <c:pt idx="144">
                  <c:v>-4.6614548070946622</c:v>
                </c:pt>
                <c:pt idx="145">
                  <c:v>-4.8372975562474725</c:v>
                </c:pt>
                <c:pt idx="146">
                  <c:v>-5.013243390932387</c:v>
                </c:pt>
                <c:pt idx="147">
                  <c:v>-5.1893531760041895</c:v>
                </c:pt>
                <c:pt idx="148">
                  <c:v>-5.3656911130200591</c:v>
                </c:pt>
                <c:pt idx="149">
                  <c:v>-5.5423246950151794</c:v>
                </c:pt>
                <c:pt idx="150">
                  <c:v>-5.719324642390907</c:v>
                </c:pt>
                <c:pt idx="151">
                  <c:v>-5.8967648193730664</c:v>
                </c:pt>
                <c:pt idx="152">
                  <c:v>-6.0747221306404207</c:v>
                </c:pt>
                <c:pt idx="153">
                  <c:v>-6.2532763978768244</c:v>
                </c:pt>
                <c:pt idx="154">
                  <c:v>-6.4325102161668868</c:v>
                </c:pt>
                <c:pt idx="155">
                  <c:v>-6.6125087903240249</c:v>
                </c:pt>
                <c:pt idx="156">
                  <c:v>-6.7933597514231927</c:v>
                </c:pt>
                <c:pt idx="157">
                  <c:v>-6.9751529539912402</c:v>
                </c:pt>
                <c:pt idx="158">
                  <c:v>-7.1579802544960458</c:v>
                </c:pt>
                <c:pt idx="159">
                  <c:v>-7.3419352719646138</c:v>
                </c:pt>
                <c:pt idx="160">
                  <c:v>-7.5271131317403759</c:v>
                </c:pt>
                <c:pt idx="161">
                  <c:v>-7.7136101935780239</c:v>
                </c:pt>
                <c:pt idx="162">
                  <c:v>-7.9015237654419472</c:v>
                </c:pt>
                <c:pt idx="163">
                  <c:v>-8.0909518045442201</c:v>
                </c:pt>
                <c:pt idx="164">
                  <c:v>-8.2819926073112455</c:v>
                </c:pt>
                <c:pt idx="165">
                  <c:v>-8.4747444901078648</c:v>
                </c:pt>
                <c:pt idx="166">
                  <c:v>-8.6693054626744352</c:v>
                </c:pt>
                <c:pt idx="167">
                  <c:v>-8.8657728963399069</c:v>
                </c:pt>
                <c:pt idx="168">
                  <c:v>-9.0642431891616777</c:v>
                </c:pt>
                <c:pt idx="169">
                  <c:v>-9.2648114302124078</c:v>
                </c:pt>
                <c:pt idx="170">
                  <c:v>-9.4675710652766849</c:v>
                </c:pt>
                <c:pt idx="171">
                  <c:v>-9.672613566247751</c:v>
                </c:pt>
                <c:pt idx="172">
                  <c:v>-9.8800281065061188</c:v>
                </c:pt>
                <c:pt idx="173">
                  <c:v>-10.089901244543665</c:v>
                </c:pt>
                <c:pt idx="174">
                  <c:v>-10.302316618040017</c:v>
                </c:pt>
                <c:pt idx="175">
                  <c:v>-10.517354650527011</c:v>
                </c:pt>
                <c:pt idx="176">
                  <c:v>-10.735092272677022</c:v>
                </c:pt>
                <c:pt idx="177">
                  <c:v>-10.955602660131911</c:v>
                </c:pt>
                <c:pt idx="178">
                  <c:v>-11.178954989643895</c:v>
                </c:pt>
                <c:pt idx="179">
                  <c:v>-11.405214215140502</c:v>
                </c:pt>
                <c:pt idx="180">
                  <c:v>-11.634440865145049</c:v>
                </c:pt>
                <c:pt idx="181">
                  <c:v>-11.866690862787713</c:v>
                </c:pt>
                <c:pt idx="182">
                  <c:v>-12.102015369436712</c:v>
                </c:pt>
                <c:pt idx="183">
                  <c:v>-12.340460652758747</c:v>
                </c:pt>
                <c:pt idx="184">
                  <c:v>-12.582067979794564</c:v>
                </c:pt>
                <c:pt idx="185">
                  <c:v>-12.826873535406405</c:v>
                </c:pt>
                <c:pt idx="186">
                  <c:v>-13.074908366222493</c:v>
                </c:pt>
                <c:pt idx="187">
                  <c:v>-13.326198349979322</c:v>
                </c:pt>
                <c:pt idx="188">
                  <c:v>-13.580764189938229</c:v>
                </c:pt>
                <c:pt idx="189">
                  <c:v>-13.838621433840078</c:v>
                </c:pt>
                <c:pt idx="190">
                  <c:v>-14.099780516659507</c:v>
                </c:pt>
                <c:pt idx="191">
                  <c:v>-14.364246826231255</c:v>
                </c:pt>
                <c:pt idx="192">
                  <c:v>-14.632020790649428</c:v>
                </c:pt>
                <c:pt idx="193">
                  <c:v>-14.90309798618414</c:v>
                </c:pt>
                <c:pt idx="194">
                  <c:v>-15.177469264325241</c:v>
                </c:pt>
                <c:pt idx="195">
                  <c:v>-15.45512089644933</c:v>
                </c:pt>
                <c:pt idx="196">
                  <c:v>-15.736034734511088</c:v>
                </c:pt>
                <c:pt idx="197">
                  <c:v>-16.020188386087273</c:v>
                </c:pt>
                <c:pt idx="198">
                  <c:v>-16.307555402056618</c:v>
                </c:pt>
                <c:pt idx="199">
                  <c:v>-16.598105475163337</c:v>
                </c:pt>
                <c:pt idx="200">
                  <c:v>-16.891804647710181</c:v>
                </c:pt>
                <c:pt idx="201">
                  <c:v>-17.188615526633569</c:v>
                </c:pt>
                <c:pt idx="202">
                  <c:v>-17.488497504247263</c:v>
                </c:pt>
                <c:pt idx="203">
                  <c:v>-17.79140698298491</c:v>
                </c:pt>
                <c:pt idx="204">
                  <c:v>-18.09729760253343</c:v>
                </c:pt>
                <c:pt idx="205">
                  <c:v>-18.406120467826931</c:v>
                </c:pt>
                <c:pt idx="206">
                  <c:v>-18.717824376453528</c:v>
                </c:pt>
                <c:pt idx="207">
                  <c:v>-19.032356044124729</c:v>
                </c:pt>
                <c:pt idx="208">
                  <c:v>-19.349660326959388</c:v>
                </c:pt>
                <c:pt idx="209">
                  <c:v>-19.66968043944448</c:v>
                </c:pt>
                <c:pt idx="210">
                  <c:v>-19.992358167041676</c:v>
                </c:pt>
                <c:pt idx="211">
                  <c:v>-20.317634072529994</c:v>
                </c:pt>
                <c:pt idx="212">
                  <c:v>-20.645447695281138</c:v>
                </c:pt>
                <c:pt idx="213">
                  <c:v>-20.975737742782336</c:v>
                </c:pt>
                <c:pt idx="214">
                  <c:v>-21.308442273829332</c:v>
                </c:pt>
                <c:pt idx="215">
                  <c:v>-21.643498872919867</c:v>
                </c:pt>
                <c:pt idx="216">
                  <c:v>-21.980844815476427</c:v>
                </c:pt>
                <c:pt idx="217">
                  <c:v>-22.32041722363034</c:v>
                </c:pt>
                <c:pt idx="218">
                  <c:v>-22.662153212381256</c:v>
                </c:pt>
                <c:pt idx="219">
                  <c:v>-23.005990026036311</c:v>
                </c:pt>
                <c:pt idx="220">
                  <c:v>-23.351865164906318</c:v>
                </c:pt>
                <c:pt idx="221">
                  <c:v>-23.699716502308487</c:v>
                </c:pt>
                <c:pt idx="222">
                  <c:v>-24.049482391984711</c:v>
                </c:pt>
                <c:pt idx="223">
                  <c:v>-24.401101766102677</c:v>
                </c:pt>
                <c:pt idx="224">
                  <c:v>-24.754514224054351</c:v>
                </c:pt>
                <c:pt idx="225">
                  <c:v>-25.109660112307211</c:v>
                </c:pt>
                <c:pt idx="226">
                  <c:v>-25.466480595599755</c:v>
                </c:pt>
                <c:pt idx="227">
                  <c:v>-25.82491771980132</c:v>
                </c:pt>
                <c:pt idx="228">
                  <c:v>-26.184914466779318</c:v>
                </c:pt>
                <c:pt idx="229">
                  <c:v>-26.546414801634963</c:v>
                </c:pt>
                <c:pt idx="230">
                  <c:v>-26.909363712680982</c:v>
                </c:pt>
                <c:pt idx="231">
                  <c:v>-27.273707244544191</c:v>
                </c:pt>
                <c:pt idx="232">
                  <c:v>-27.63939252477757</c:v>
                </c:pt>
                <c:pt idx="233">
                  <c:v>-28.006367784371335</c:v>
                </c:pt>
                <c:pt idx="234">
                  <c:v>-28.374582372544758</c:v>
                </c:pt>
                <c:pt idx="235">
                  <c:v>-28.743986766199463</c:v>
                </c:pt>
                <c:pt idx="236">
                  <c:v>-29.114532574404656</c:v>
                </c:pt>
                <c:pt idx="237">
                  <c:v>-29.486172538274992</c:v>
                </c:pt>
                <c:pt idx="238">
                  <c:v>-29.858860526592022</c:v>
                </c:pt>
                <c:pt idx="239">
                  <c:v>-30.232551527505006</c:v>
                </c:pt>
                <c:pt idx="240">
                  <c:v>-30.607201636633651</c:v>
                </c:pt>
                <c:pt idx="241">
                  <c:v>-30.982768041880703</c:v>
                </c:pt>
                <c:pt idx="242">
                  <c:v>-31.359209005247362</c:v>
                </c:pt>
                <c:pt idx="243">
                  <c:v>-31.736483841925729</c:v>
                </c:pt>
                <c:pt idx="244">
                  <c:v>-32.114552896931116</c:v>
                </c:pt>
                <c:pt idx="245">
                  <c:v>-32.493377519516152</c:v>
                </c:pt>
                <c:pt idx="246">
                  <c:v>-32.872920035595605</c:v>
                </c:pt>
                <c:pt idx="247">
                  <c:v>-33.253143718394774</c:v>
                </c:pt>
                <c:pt idx="248">
                  <c:v>-33.634012757516544</c:v>
                </c:pt>
                <c:pt idx="249">
                  <c:v>-34.015492226610299</c:v>
                </c:pt>
                <c:pt idx="250">
                  <c:v>-34.397548049809934</c:v>
                </c:pt>
                <c:pt idx="251">
                  <c:v>-34.780146967092911</c:v>
                </c:pt>
                <c:pt idx="252">
                  <c:v>-35.163256498701941</c:v>
                </c:pt>
                <c:pt idx="253">
                  <c:v>-35.546844908754743</c:v>
                </c:pt>
                <c:pt idx="254">
                  <c:v>-35.930881168159061</c:v>
                </c:pt>
                <c:pt idx="255">
                  <c:v>-36.315334916934262</c:v>
                </c:pt>
                <c:pt idx="256">
                  <c:v>-36.700176426034133</c:v>
                </c:pt>
                <c:pt idx="257">
                  <c:v>-37.085376558753623</c:v>
                </c:pt>
                <c:pt idx="258">
                  <c:v>-37.470906731793065</c:v>
                </c:pt>
                <c:pt idx="259">
                  <c:v>-37.856738876044368</c:v>
                </c:pt>
                <c:pt idx="260">
                  <c:v>-38.242845397158163</c:v>
                </c:pt>
                <c:pt idx="261">
                  <c:v>-38.62919913593921</c:v>
                </c:pt>
                <c:pt idx="262">
                  <c:v>-39.015773328615722</c:v>
                </c:pt>
                <c:pt idx="263">
                  <c:v>-39.402541567018773</c:v>
                </c:pt>
                <c:pt idx="264">
                  <c:v>-39.789477758704393</c:v>
                </c:pt>
                <c:pt idx="265">
                  <c:v>-40.176556087044474</c:v>
                </c:pt>
                <c:pt idx="266">
                  <c:v>-40.563750971311862</c:v>
                </c:pt>
                <c:pt idx="267">
                  <c:v>-40.951037026777335</c:v>
                </c:pt>
                <c:pt idx="268">
                  <c:v>-41.338389024836424</c:v>
                </c:pt>
                <c:pt idx="269">
                  <c:v>-41.725781853180059</c:v>
                </c:pt>
                <c:pt idx="270">
                  <c:v>-42.113190476021657</c:v>
                </c:pt>
                <c:pt idx="271">
                  <c:v>-42.500589894392206</c:v>
                </c:pt>
                <c:pt idx="272">
                  <c:v>-42.887955106513331</c:v>
                </c:pt>
                <c:pt idx="273">
                  <c:v>-43.275261068258935</c:v>
                </c:pt>
                <c:pt idx="274">
                  <c:v>-43.662482653715827</c:v>
                </c:pt>
                <c:pt idx="275">
                  <c:v>-44.049594615855</c:v>
                </c:pt>
                <c:pt idx="276">
                  <c:v>-44.43657154732464</c:v>
                </c:pt>
                <c:pt idx="277">
                  <c:v>-44.82338784138075</c:v>
                </c:pt>
                <c:pt idx="278">
                  <c:v>-45.210017652970592</c:v>
                </c:pt>
                <c:pt idx="279">
                  <c:v>-45.596434859988136</c:v>
                </c:pt>
                <c:pt idx="280">
                  <c:v>-45.982613024723911</c:v>
                </c:pt>
                <c:pt idx="281">
                  <c:v>-46.368525355534345</c:v>
                </c:pt>
                <c:pt idx="282">
                  <c:v>-46.754144668760667</c:v>
                </c:pt>
                <c:pt idx="283">
                  <c:v>-47.139443350930989</c:v>
                </c:pt>
                <c:pt idx="284">
                  <c:v>-47.524393321284364</c:v>
                </c:pt>
                <c:pt idx="285">
                  <c:v>-47.908965994661692</c:v>
                </c:pt>
                <c:pt idx="286">
                  <c:v>-48.293132244810607</c:v>
                </c:pt>
                <c:pt idx="287">
                  <c:v>-48.676862368163363</c:v>
                </c:pt>
                <c:pt idx="288">
                  <c:v>-49.060126048145904</c:v>
                </c:pt>
                <c:pt idx="289">
                  <c:v>-49.442892320088134</c:v>
                </c:pt>
                <c:pt idx="290">
                  <c:v>-49.825129536810962</c:v>
                </c:pt>
                <c:pt idx="291">
                  <c:v>-50.206805334967314</c:v>
                </c:pt>
                <c:pt idx="292">
                  <c:v>-50.587886602233723</c:v>
                </c:pt>
                <c:pt idx="293">
                  <c:v>-50.96833944543971</c:v>
                </c:pt>
                <c:pt idx="294">
                  <c:v>-51.348129159743401</c:v>
                </c:pt>
                <c:pt idx="295">
                  <c:v>-51.727220198960595</c:v>
                </c:pt>
                <c:pt idx="296">
                  <c:v>-52.105576147163639</c:v>
                </c:pt>
                <c:pt idx="297">
                  <c:v>-52.483159691674224</c:v>
                </c:pt>
                <c:pt idx="298">
                  <c:v>-52.859932597575394</c:v>
                </c:pt>
                <c:pt idx="299">
                  <c:v>-53.235855683880054</c:v>
                </c:pt>
                <c:pt idx="300">
                  <c:v>-53.610888801490006</c:v>
                </c:pt>
                <c:pt idx="301">
                  <c:v>-53.984990813091343</c:v>
                </c:pt>
                <c:pt idx="302">
                  <c:v>-54.358119575126295</c:v>
                </c:pt>
                <c:pt idx="303">
                  <c:v>-54.730231921988597</c:v>
                </c:pt>
                <c:pt idx="304">
                  <c:v>-55.101283652586631</c:v>
                </c:pt>
                <c:pt idx="305">
                  <c:v>-55.471229519416582</c:v>
                </c:pt>
                <c:pt idx="306">
                  <c:v>-55.840023220283257</c:v>
                </c:pt>
                <c:pt idx="307">
                  <c:v>-56.20761739280168</c:v>
                </c:pt>
                <c:pt idx="308">
                  <c:v>-56.573963611800899</c:v>
                </c:pt>
                <c:pt idx="309">
                  <c:v>-56.939012389743255</c:v>
                </c:pt>
                <c:pt idx="310">
                  <c:v>-57.302713180254031</c:v>
                </c:pt>
                <c:pt idx="311">
                  <c:v>-57.665014384842777</c:v>
                </c:pt>
                <c:pt idx="312">
                  <c:v>-58.025863362875342</c:v>
                </c:pt>
                <c:pt idx="313">
                  <c:v>-58.385206444826622</c:v>
                </c:pt>
                <c:pt idx="314">
                  <c:v>-58.742988948824653</c:v>
                </c:pt>
                <c:pt idx="315">
                  <c:v>-59.099155200455549</c:v>
                </c:pt>
                <c:pt idx="316">
                  <c:v>-59.453648555767572</c:v>
                </c:pt>
                <c:pt idx="317">
                  <c:v>-59.806411427370733</c:v>
                </c:pt>
                <c:pt idx="318">
                  <c:v>-60.15738531348272</c:v>
                </c:pt>
                <c:pt idx="319">
                  <c:v>-60.506510829725144</c:v>
                </c:pt>
                <c:pt idx="320">
                  <c:v>-60.853727743419341</c:v>
                </c:pt>
                <c:pt idx="321">
                  <c:v>-61.198975010074015</c:v>
                </c:pt>
                <c:pt idx="322">
                  <c:v>-61.542190811698454</c:v>
                </c:pt>
                <c:pt idx="323">
                  <c:v>-61.883312596508937</c:v>
                </c:pt>
                <c:pt idx="324">
                  <c:v>-62.22227711952943</c:v>
                </c:pt>
                <c:pt idx="325">
                  <c:v>-62.559020483517394</c:v>
                </c:pt>
                <c:pt idx="326">
                  <c:v>-62.893478179573144</c:v>
                </c:pt>
                <c:pt idx="327">
                  <c:v>-63.225585126719174</c:v>
                </c:pt>
                <c:pt idx="328">
                  <c:v>-63.555275709655945</c:v>
                </c:pt>
                <c:pt idx="329">
                  <c:v>-63.882483813830333</c:v>
                </c:pt>
                <c:pt idx="330">
                  <c:v>-64.207142856872082</c:v>
                </c:pt>
                <c:pt idx="331">
                  <c:v>-64.529185815381723</c:v>
                </c:pt>
                <c:pt idx="332">
                  <c:v>-64.848545245976183</c:v>
                </c:pt>
                <c:pt idx="333">
                  <c:v>-65.165153299428596</c:v>
                </c:pt>
                <c:pt idx="334">
                  <c:v>-65.478941726665013</c:v>
                </c:pt>
                <c:pt idx="335">
                  <c:v>-65.789841875314863</c:v>
                </c:pt>
                <c:pt idx="336">
                  <c:v>-66.097784675444572</c:v>
                </c:pt>
                <c:pt idx="337">
                  <c:v>-66.402700613041958</c:v>
                </c:pt>
                <c:pt idx="338">
                  <c:v>-66.704519689756438</c:v>
                </c:pt>
                <c:pt idx="339">
                  <c:v>-67.003171367342759</c:v>
                </c:pt>
                <c:pt idx="340">
                  <c:v>-67.298584495196522</c:v>
                </c:pt>
                <c:pt idx="341">
                  <c:v>-67.590687219313168</c:v>
                </c:pt>
                <c:pt idx="342">
                  <c:v>-67.87940687094347</c:v>
                </c:pt>
                <c:pt idx="343">
                  <c:v>-68.164669833154562</c:v>
                </c:pt>
                <c:pt idx="344">
                  <c:v>-68.446401383441341</c:v>
                </c:pt>
                <c:pt idx="345">
                  <c:v>-68.724525510457511</c:v>
                </c:pt>
                <c:pt idx="346">
                  <c:v>-68.998964702849079</c:v>
                </c:pt>
                <c:pt idx="347">
                  <c:v>-69.269639708075601</c:v>
                </c:pt>
                <c:pt idx="348">
                  <c:v>-69.53646925898758</c:v>
                </c:pt>
                <c:pt idx="349">
                  <c:v>-69.799369765785627</c:v>
                </c:pt>
                <c:pt idx="350">
                  <c:v>-70.058254970823612</c:v>
                </c:pt>
                <c:pt idx="351">
                  <c:v>-70.313035563512514</c:v>
                </c:pt>
                <c:pt idx="352">
                  <c:v>-70.563618752344766</c:v>
                </c:pt>
                <c:pt idx="353">
                  <c:v>-70.809907790767227</c:v>
                </c:pt>
                <c:pt idx="354">
                  <c:v>-71.051801453290352</c:v>
                </c:pt>
                <c:pt idx="355">
                  <c:v>-71.289193457809617</c:v>
                </c:pt>
                <c:pt idx="356">
                  <c:v>-71.521971829638119</c:v>
                </c:pt>
                <c:pt idx="357">
                  <c:v>-71.750018202175198</c:v>
                </c:pt>
                <c:pt idx="358">
                  <c:v>-71.973207048473071</c:v>
                </c:pt>
                <c:pt idx="359">
                  <c:v>-72.191404837179761</c:v>
                </c:pt>
                <c:pt idx="360">
                  <c:v>-72.404469105428703</c:v>
                </c:pt>
                <c:pt idx="361">
                  <c:v>-72.612247440183921</c:v>
                </c:pt>
                <c:pt idx="362">
                  <c:v>-72.814576358324359</c:v>
                </c:pt>
                <c:pt idx="363">
                  <c:v>-73.011280074329051</c:v>
                </c:pt>
                <c:pt idx="364">
                  <c:v>-73.202169142787298</c:v>
                </c:pt>
                <c:pt idx="365">
                  <c:v>-73.387038961076286</c:v>
                </c:pt>
                <c:pt idx="366">
                  <c:v>-73.565668115386259</c:v>
                </c:pt>
                <c:pt idx="367">
                  <c:v>-73.737816550814159</c:v>
                </c:pt>
                <c:pt idx="368">
                  <c:v>-73.903223543445719</c:v>
                </c:pt>
                <c:pt idx="369">
                  <c:v>-74.061605449194985</c:v>
                </c:pt>
                <c:pt idx="370">
                  <c:v>-74.212653200646258</c:v>
                </c:pt>
                <c:pt idx="371">
                  <c:v>-74.356029519268503</c:v>
                </c:pt>
                <c:pt idx="372">
                  <c:v>-74.491365806179928</c:v>
                </c:pt>
                <c:pt idx="373">
                  <c:v>-74.618258670254605</c:v>
                </c:pt>
                <c:pt idx="374">
                  <c:v>-74.736266047997674</c:v>
                </c:pt>
                <c:pt idx="375">
                  <c:v>-74.844902865641615</c:v>
                </c:pt>
                <c:pt idx="376">
                  <c:v>-74.943636191008665</c:v>
                </c:pt>
                <c:pt idx="377">
                  <c:v>-75.031879821906188</c:v>
                </c:pt>
                <c:pt idx="378">
                  <c:v>-75.108988260957076</c:v>
                </c:pt>
                <c:pt idx="379">
                  <c:v>-75.17425003667185</c:v>
                </c:pt>
                <c:pt idx="380">
                  <c:v>-75.226880351847669</c:v>
                </c:pt>
                <c:pt idx="381">
                  <c:v>-75.26601308045143</c:v>
                </c:pt>
                <c:pt idx="382">
                  <c:v>-75.290692204897283</c:v>
                </c:pt>
                <c:pt idx="383">
                  <c:v>-75.299862906309173</c:v>
                </c:pt>
                <c:pt idx="384">
                  <c:v>-75.29236272202327</c:v>
                </c:pt>
                <c:pt idx="385">
                  <c:v>-75.266913517831341</c:v>
                </c:pt>
                <c:pt idx="386">
                  <c:v>-75.22211556988924</c:v>
                </c:pt>
                <c:pt idx="387">
                  <c:v>-75.15644594844764</c:v>
                </c:pt>
                <c:pt idx="388">
                  <c:v>-75.068264866011404</c:v>
                </c:pt>
                <c:pt idx="389">
                  <c:v>-74.955836064672255</c:v>
                </c:pt>
                <c:pt idx="390">
                  <c:v>-74.817371277137738</c:v>
                </c:pt>
                <c:pt idx="391">
                  <c:v>-74.651115289269669</c:v>
                </c:pt>
                <c:pt idx="392">
                  <c:v>-74.455498723790981</c:v>
                </c:pt>
                <c:pt idx="393">
                  <c:v>-74.229402711504221</c:v>
                </c:pt>
                <c:pt idx="394">
                  <c:v>-73.972606264632091</c:v>
                </c:pt>
                <c:pt idx="395">
                  <c:v>-73.686526355318321</c:v>
                </c:pt>
                <c:pt idx="396">
                  <c:v>-73.375410875656371</c:v>
                </c:pt>
                <c:pt idx="397">
                  <c:v>-73.048186473270846</c:v>
                </c:pt>
                <c:pt idx="398">
                  <c:v>-72.721126237916621</c:v>
                </c:pt>
                <c:pt idx="399">
                  <c:v>-72.421202776411178</c:v>
                </c:pt>
                <c:pt idx="400">
                  <c:v>-72.189093419724813</c:v>
                </c:pt>
                <c:pt idx="401">
                  <c:v>-72.079073861071066</c:v>
                </c:pt>
                <c:pt idx="402">
                  <c:v>-72.151458658192055</c:v>
                </c:pt>
                <c:pt idx="403">
                  <c:v>-72.455394648716975</c:v>
                </c:pt>
                <c:pt idx="404">
                  <c:v>-73.008646420319181</c:v>
                </c:pt>
                <c:pt idx="405">
                  <c:v>-73.789021165652372</c:v>
                </c:pt>
                <c:pt idx="406">
                  <c:v>-74.745003051785901</c:v>
                </c:pt>
                <c:pt idx="407">
                  <c:v>-75.816313556686254</c:v>
                </c:pt>
                <c:pt idx="408">
                  <c:v>-76.950111146205728</c:v>
                </c:pt>
                <c:pt idx="409">
                  <c:v>-78.107463003652924</c:v>
                </c:pt>
                <c:pt idx="410">
                  <c:v>-79.262877595811844</c:v>
                </c:pt>
                <c:pt idx="411">
                  <c:v>-80.401155594276076</c:v>
                </c:pt>
                <c:pt idx="412">
                  <c:v>-81.514088510764751</c:v>
                </c:pt>
                <c:pt idx="413">
                  <c:v>-82.597889796564914</c:v>
                </c:pt>
                <c:pt idx="414">
                  <c:v>-83.651434386258188</c:v>
                </c:pt>
                <c:pt idx="415">
                  <c:v>-84.675128751100942</c:v>
                </c:pt>
                <c:pt idx="416">
                  <c:v>-85.670212386497738</c:v>
                </c:pt>
                <c:pt idx="417">
                  <c:v>-86.638336660491305</c:v>
                </c:pt>
                <c:pt idx="418">
                  <c:v>-87.581316294581768</c:v>
                </c:pt>
                <c:pt idx="419">
                  <c:v>-88.500986390861272</c:v>
                </c:pt>
                <c:pt idx="420">
                  <c:v>-89.399123267138918</c:v>
                </c:pt>
                <c:pt idx="421">
                  <c:v>-90.277403501740963</c:v>
                </c:pt>
                <c:pt idx="422">
                  <c:v>-91.13738559621271</c:v>
                </c:pt>
                <c:pt idx="423">
                  <c:v>-91.980504792857275</c:v>
                </c:pt>
                <c:pt idx="424">
                  <c:v>-92.808075320414247</c:v>
                </c:pt>
                <c:pt idx="425">
                  <c:v>-93.621296617316318</c:v>
                </c:pt>
                <c:pt idx="426">
                  <c:v>-94.42126146967405</c:v>
                </c:pt>
                <c:pt idx="427">
                  <c:v>-95.208964847962093</c:v>
                </c:pt>
                <c:pt idx="428">
                  <c:v>-95.985312743001117</c:v>
                </c:pt>
                <c:pt idx="429">
                  <c:v>-96.751130616182351</c:v>
                </c:pt>
                <c:pt idx="430">
                  <c:v>-97.507171268945655</c:v>
                </c:pt>
                <c:pt idx="431">
                  <c:v>-98.254122050075097</c:v>
                </c:pt>
                <c:pt idx="432">
                  <c:v>-98.992611385751644</c:v>
                </c:pt>
                <c:pt idx="433">
                  <c:v>-99.723214654718859</c:v>
                </c:pt>
                <c:pt idx="434">
                  <c:v>-100.44645945058909</c:v>
                </c:pt>
                <c:pt idx="435">
                  <c:v>-101.16283028228921</c:v>
                </c:pt>
                <c:pt idx="436">
                  <c:v>-101.87277276625193</c:v>
                </c:pt>
                <c:pt idx="437">
                  <c:v>-102.57669736290632</c:v>
                </c:pt>
                <c:pt idx="438">
                  <c:v>-103.2749827070006</c:v>
                </c:pt>
                <c:pt idx="439">
                  <c:v>-103.96797857729641</c:v>
                </c:pt>
                <c:pt idx="440">
                  <c:v>-104.65600854683723</c:v>
                </c:pt>
                <c:pt idx="441">
                  <c:v>-105.33937235068072</c:v>
                </c:pt>
                <c:pt idx="442">
                  <c:v>-106.01834800386183</c:v>
                </c:pt>
                <c:pt idx="443">
                  <c:v>-106.69319369856865</c:v>
                </c:pt>
                <c:pt idx="444">
                  <c:v>-107.36414950606743</c:v>
                </c:pt>
                <c:pt idx="445">
                  <c:v>-108.0314389058357</c:v>
                </c:pt>
                <c:pt idx="446">
                  <c:v>-108.69527016162918</c:v>
                </c:pt>
                <c:pt idx="447">
                  <c:v>-109.35583756180372</c:v>
                </c:pt>
                <c:pt idx="448">
                  <c:v>-110.01332253909423</c:v>
                </c:pt>
                <c:pt idx="449">
                  <c:v>-110.66789468320279</c:v>
                </c:pt>
                <c:pt idx="450">
                  <c:v>-111.31971265793014</c:v>
                </c:pt>
                <c:pt idx="451">
                  <c:v>-111.96892503316732</c:v>
                </c:pt>
                <c:pt idx="452">
                  <c:v>-112.61567104083551</c:v>
                </c:pt>
                <c:pt idx="453">
                  <c:v>-113.26008126277962</c:v>
                </c:pt>
                <c:pt idx="454">
                  <c:v>-113.90227825768534</c:v>
                </c:pt>
                <c:pt idx="455">
                  <c:v>-114.54237713326438</c:v>
                </c:pt>
                <c:pt idx="456">
                  <c:v>-115.18048606923472</c:v>
                </c:pt>
                <c:pt idx="457">
                  <c:v>-115.81670679599654</c:v>
                </c:pt>
                <c:pt idx="458">
                  <c:v>-116.45113503335045</c:v>
                </c:pt>
                <c:pt idx="459">
                  <c:v>-117.08386089312094</c:v>
                </c:pt>
                <c:pt idx="460">
                  <c:v>-117.71496924912724</c:v>
                </c:pt>
                <c:pt idx="461">
                  <c:v>-118.34454007756521</c:v>
                </c:pt>
                <c:pt idx="462">
                  <c:v>-118.97264877054036</c:v>
                </c:pt>
                <c:pt idx="463">
                  <c:v>-119.59936642519757</c:v>
                </c:pt>
                <c:pt idx="464">
                  <c:v>-120.22476011063888</c:v>
                </c:pt>
                <c:pt idx="465">
                  <c:v>-120.84889311459429</c:v>
                </c:pt>
                <c:pt idx="466">
                  <c:v>-121.4718251716105</c:v>
                </c:pt>
                <c:pt idx="467">
                  <c:v>-122.09361267434112</c:v>
                </c:pt>
                <c:pt idx="468">
                  <c:v>-122.71430886936901</c:v>
                </c:pt>
                <c:pt idx="469">
                  <c:v>-123.33396403884632</c:v>
                </c:pt>
                <c:pt idx="470">
                  <c:v>-123.95262566911377</c:v>
                </c:pt>
                <c:pt idx="471">
                  <c:v>-124.57033860735268</c:v>
                </c:pt>
                <c:pt idx="472">
                  <c:v>-125.18714520721471</c:v>
                </c:pt>
                <c:pt idx="473">
                  <c:v>-125.80308546429592</c:v>
                </c:pt>
                <c:pt idx="474">
                  <c:v>-126.41819714223325</c:v>
                </c:pt>
                <c:pt idx="475">
                  <c:v>-127.03251589013385</c:v>
                </c:pt>
                <c:pt idx="476">
                  <c:v>-127.64607535198198</c:v>
                </c:pt>
                <c:pt idx="477">
                  <c:v>-128.25890726861135</c:v>
                </c:pt>
                <c:pt idx="478">
                  <c:v>-128.87104157277733</c:v>
                </c:pt>
                <c:pt idx="479">
                  <c:v>-129.48250647781688</c:v>
                </c:pt>
                <c:pt idx="480">
                  <c:v>-130.09332856034351</c:v>
                </c:pt>
                <c:pt idx="481">
                  <c:v>-130.70353283738132</c:v>
                </c:pt>
                <c:pt idx="482">
                  <c:v>-131.31314283831489</c:v>
                </c:pt>
                <c:pt idx="483">
                  <c:v>-131.92218067199144</c:v>
                </c:pt>
                <c:pt idx="484">
                  <c:v>-132.53066708929299</c:v>
                </c:pt>
                <c:pt idx="485">
                  <c:v>-133.13862154146102</c:v>
                </c:pt>
                <c:pt idx="486">
                  <c:v>-133.74606223443925</c:v>
                </c:pt>
                <c:pt idx="487">
                  <c:v>-134.35300617947757</c:v>
                </c:pt>
                <c:pt idx="488">
                  <c:v>-134.95946924021484</c:v>
                </c:pt>
                <c:pt idx="489">
                  <c:v>-135.56546617645188</c:v>
                </c:pt>
                <c:pt idx="490">
                  <c:v>-136.17101068479877</c:v>
                </c:pt>
                <c:pt idx="491">
                  <c:v>-136.77611543637164</c:v>
                </c:pt>
                <c:pt idx="492">
                  <c:v>-137.38079211170063</c:v>
                </c:pt>
                <c:pt idx="493">
                  <c:v>-137.98505143299519</c:v>
                </c:pt>
                <c:pt idx="494">
                  <c:v>-138.58890319390548</c:v>
                </c:pt>
                <c:pt idx="495">
                  <c:v>-139.19235628690598</c:v>
                </c:pt>
                <c:pt idx="496">
                  <c:v>-139.79541872841997</c:v>
                </c:pt>
                <c:pt idx="497">
                  <c:v>-140.39809768179214</c:v>
                </c:pt>
                <c:pt idx="498">
                  <c:v>-141.00039947821207</c:v>
                </c:pt>
                <c:pt idx="499">
                  <c:v>-141.60232963568328</c:v>
                </c:pt>
                <c:pt idx="500">
                  <c:v>-142.20389287612417</c:v>
                </c:pt>
                <c:pt idx="501">
                  <c:v>-142.80509314068479</c:v>
                </c:pt>
                <c:pt idx="502">
                  <c:v>-143.40593360335652</c:v>
                </c:pt>
                <c:pt idx="503">
                  <c:v>-144.00641668294566</c:v>
                </c:pt>
                <c:pt idx="504">
                  <c:v>-144.60654405348069</c:v>
                </c:pt>
                <c:pt idx="505">
                  <c:v>-145.20631665311757</c:v>
                </c:pt>
                <c:pt idx="506">
                  <c:v>-145.80573469160524</c:v>
                </c:pt>
                <c:pt idx="507">
                  <c:v>-146.40479765636792</c:v>
                </c:pt>
                <c:pt idx="508">
                  <c:v>-147.00350431726514</c:v>
                </c:pt>
                <c:pt idx="509">
                  <c:v>-147.60185273007971</c:v>
                </c:pt>
                <c:pt idx="510">
                  <c:v>-148.19984023878925</c:v>
                </c:pt>
                <c:pt idx="511">
                  <c:v>-148.79746347667424</c:v>
                </c:pt>
                <c:pt idx="512">
                  <c:v>-149.39471836631293</c:v>
                </c:pt>
                <c:pt idx="513">
                  <c:v>-149.99160011851504</c:v>
                </c:pt>
                <c:pt idx="514">
                  <c:v>-150.58810323024579</c:v>
                </c:pt>
                <c:pt idx="515">
                  <c:v>-151.18422148159306</c:v>
                </c:pt>
                <c:pt idx="516">
                  <c:v>-151.7799479318308</c:v>
                </c:pt>
                <c:pt idx="517">
                  <c:v>-152.3752749146328</c:v>
                </c:pt>
                <c:pt idx="518">
                  <c:v>-152.97019403249362</c:v>
                </c:pt>
                <c:pt idx="519">
                  <c:v>-153.56469615041564</c:v>
                </c:pt>
                <c:pt idx="520">
                  <c:v>-154.15877138892287</c:v>
                </c:pt>
                <c:pt idx="521">
                  <c:v>-154.75240911646719</c:v>
                </c:pt>
                <c:pt idx="522">
                  <c:v>-155.34559794129248</c:v>
                </c:pt>
                <c:pt idx="523">
                  <c:v>-155.93832570283089</c:v>
                </c:pt>
                <c:pt idx="524">
                  <c:v>-156.53057946270582</c:v>
                </c:pt>
                <c:pt idx="525">
                  <c:v>-157.12234549542299</c:v>
                </c:pt>
                <c:pt idx="526">
                  <c:v>-157.71360927883359</c:v>
                </c:pt>
                <c:pt idx="527">
                  <c:v>-158.30435548446476</c:v>
                </c:pt>
                <c:pt idx="528">
                  <c:v>-158.89456796780976</c:v>
                </c:pt>
                <c:pt idx="529">
                  <c:v>-159.48422975868687</c:v>
                </c:pt>
                <c:pt idx="530">
                  <c:v>-160.07332305177104</c:v>
                </c:pt>
                <c:pt idx="531">
                  <c:v>-160.66182919742161</c:v>
                </c:pt>
                <c:pt idx="532">
                  <c:v>-161.2497286929252</c:v>
                </c:pt>
                <c:pt idx="533">
                  <c:v>-161.83700117429055</c:v>
                </c:pt>
                <c:pt idx="534">
                  <c:v>-162.42362540873003</c:v>
                </c:pt>
                <c:pt idx="535">
                  <c:v>-163.00957928797874</c:v>
                </c:pt>
                <c:pt idx="536">
                  <c:v>-163.59483982260454</c:v>
                </c:pt>
                <c:pt idx="537">
                  <c:v>-164.17938313747277</c:v>
                </c:pt>
                <c:pt idx="538">
                  <c:v>-164.76318446853614</c:v>
                </c:pt>
                <c:pt idx="539">
                  <c:v>-165.34621816112747</c:v>
                </c:pt>
                <c:pt idx="540">
                  <c:v>-165.92845766994128</c:v>
                </c:pt>
                <c:pt idx="541">
                  <c:v>-166.50987556089615</c:v>
                </c:pt>
              </c:numCache>
            </c:numRef>
          </c:yVal>
          <c:smooth val="1"/>
          <c:extLst>
            <c:ext xmlns:c16="http://schemas.microsoft.com/office/drawing/2014/chart" uri="{C3380CC4-5D6E-409C-BE32-E72D297353CC}">
              <c16:uniqueId val="{00000000-2470-421C-8EF3-DF4BAC2DF802}"/>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2470-421C-8EF3-DF4BAC2DF802}"/>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2470-421C-8EF3-DF4BAC2DF802}"/>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696.30287602704209</c:v>
                </c:pt>
              </c:numCache>
            </c:numRef>
          </c:xVal>
          <c:yVal>
            <c:numRef>
              <c:f>Loop_Modeling!$AT$11</c:f>
              <c:numCache>
                <c:formatCode>0.000</c:formatCode>
                <c:ptCount val="1"/>
                <c:pt idx="0">
                  <c:v>-12.407746691355237</c:v>
                </c:pt>
              </c:numCache>
            </c:numRef>
          </c:yVal>
          <c:smooth val="0"/>
          <c:extLst>
            <c:ext xmlns:c16="http://schemas.microsoft.com/office/drawing/2014/chart" uri="{C3380CC4-5D6E-409C-BE32-E72D297353CC}">
              <c16:uniqueId val="{00000002-2470-421C-8EF3-DF4BAC2DF802}"/>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470-421C-8EF3-DF4BAC2DF802}"/>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30315.227255599119</c:v>
                </c:pt>
              </c:numCache>
            </c:numRef>
          </c:xVal>
          <c:yVal>
            <c:numRef>
              <c:f>Loop_Modeling!$AT$9</c:f>
              <c:numCache>
                <c:formatCode>0.000</c:formatCode>
                <c:ptCount val="1"/>
                <c:pt idx="0">
                  <c:v>-69.314224029281547</c:v>
                </c:pt>
              </c:numCache>
            </c:numRef>
          </c:yVal>
          <c:smooth val="1"/>
          <c:extLst>
            <c:ext xmlns:c16="http://schemas.microsoft.com/office/drawing/2014/chart" uri="{C3380CC4-5D6E-409C-BE32-E72D297353CC}">
              <c16:uniqueId val="{00000004-2470-421C-8EF3-DF4BAC2DF802}"/>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2470-421C-8EF3-DF4BAC2DF802}"/>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2470-421C-8EF3-DF4BAC2DF802}"/>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7957747.1545947678</c:v>
                </c:pt>
              </c:numCache>
            </c:numRef>
          </c:xVal>
          <c:yVal>
            <c:numRef>
              <c:f>Loop_Modeling!$AT$10</c:f>
              <c:numCache>
                <c:formatCode>0.000</c:formatCode>
                <c:ptCount val="1"/>
                <c:pt idx="0">
                  <c:v>-192.81072292668935</c:v>
                </c:pt>
              </c:numCache>
            </c:numRef>
          </c:yVal>
          <c:smooth val="1"/>
          <c:extLst>
            <c:ext xmlns:c16="http://schemas.microsoft.com/office/drawing/2014/chart" uri="{C3380CC4-5D6E-409C-BE32-E72D297353CC}">
              <c16:uniqueId val="{00000006-2470-421C-8EF3-DF4BAC2DF802}"/>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2470-421C-8EF3-DF4BAC2DF80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338.6275384933943</c:v>
                </c:pt>
              </c:numCache>
            </c:numRef>
          </c:xVal>
          <c:yVal>
            <c:numRef>
              <c:f>Loop_Modeling!$AT$12</c:f>
              <c:numCache>
                <c:formatCode>0.000</c:formatCode>
                <c:ptCount val="1"/>
                <c:pt idx="0">
                  <c:v>-6.0697721045499877</c:v>
                </c:pt>
              </c:numCache>
            </c:numRef>
          </c:yVal>
          <c:smooth val="1"/>
          <c:extLst>
            <c:ext xmlns:c16="http://schemas.microsoft.com/office/drawing/2014/chart" uri="{C3380CC4-5D6E-409C-BE32-E72D297353CC}">
              <c16:uniqueId val="{00000008-2470-421C-8EF3-DF4BAC2DF802}"/>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2470-421C-8EF3-DF4BAC2DF802}"/>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677.25507698678871</c:v>
                </c:pt>
              </c:numCache>
            </c:numRef>
          </c:xVal>
          <c:yVal>
            <c:numRef>
              <c:f>Loop_Modeling!$AT$13</c:f>
              <c:numCache>
                <c:formatCode>0.000</c:formatCode>
                <c:ptCount val="1"/>
                <c:pt idx="0">
                  <c:v>-12.119843780189399</c:v>
                </c:pt>
              </c:numCache>
            </c:numRef>
          </c:yVal>
          <c:smooth val="1"/>
          <c:extLst>
            <c:ext xmlns:c16="http://schemas.microsoft.com/office/drawing/2014/chart" uri="{C3380CC4-5D6E-409C-BE32-E72D297353CC}">
              <c16:uniqueId val="{0000000A-2470-421C-8EF3-DF4BAC2DF802}"/>
            </c:ext>
          </c:extLst>
        </c:ser>
        <c:dLbls>
          <c:showLegendKey val="0"/>
          <c:showVal val="0"/>
          <c:showCatName val="0"/>
          <c:showSerName val="0"/>
          <c:showPercent val="0"/>
          <c:showBubbleSize val="0"/>
        </c:dLbls>
        <c:axId val="144369152"/>
        <c:axId val="144371072"/>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Loop_Modeling!$AU$19:$AU$560</c:f>
              <c:numCache>
                <c:formatCode>General</c:formatCode>
                <c:ptCount val="542"/>
                <c:pt idx="0">
                  <c:v>90.00545821713817</c:v>
                </c:pt>
                <c:pt idx="1">
                  <c:v>90.005566066030738</c:v>
                </c:pt>
                <c:pt idx="2">
                  <c:v>90.005675048840757</c:v>
                </c:pt>
                <c:pt idx="3">
                  <c:v>90.005785093577103</c:v>
                </c:pt>
                <c:pt idx="4">
                  <c:v>90.005896119554137</c:v>
                </c:pt>
                <c:pt idx="5">
                  <c:v>90.006008036689693</c:v>
                </c:pt>
                <c:pt idx="6">
                  <c:v>90.006120744751257</c:v>
                </c:pt>
                <c:pt idx="7">
                  <c:v>90.006234132546993</c:v>
                </c:pt>
                <c:pt idx="8">
                  <c:v>90.006348077056828</c:v>
                </c:pt>
                <c:pt idx="9">
                  <c:v>90.006462442500151</c:v>
                </c:pt>
                <c:pt idx="10">
                  <c:v>90.006577079335401</c:v>
                </c:pt>
                <c:pt idx="11">
                  <c:v>90.006691823186188</c:v>
                </c:pt>
                <c:pt idx="12">
                  <c:v>90.006806493689552</c:v>
                </c:pt>
                <c:pt idx="13">
                  <c:v>90.006920893260158</c:v>
                </c:pt>
                <c:pt idx="14">
                  <c:v>90.007034805764619</c:v>
                </c:pt>
                <c:pt idx="15">
                  <c:v>90.007147995099942</c:v>
                </c:pt>
                <c:pt idx="16">
                  <c:v>90.007260203668793</c:v>
                </c:pt>
                <c:pt idx="17">
                  <c:v>90.007371150744575</c:v>
                </c:pt>
                <c:pt idx="18">
                  <c:v>90.007480530718553</c:v>
                </c:pt>
                <c:pt idx="19">
                  <c:v>90.007588011220435</c:v>
                </c:pt>
                <c:pt idx="20">
                  <c:v>90.007693231104113</c:v>
                </c:pt>
                <c:pt idx="21">
                  <c:v>90.007795798288072</c:v>
                </c:pt>
                <c:pt idx="22">
                  <c:v>90.007895287441386</c:v>
                </c:pt>
                <c:pt idx="23">
                  <c:v>90.007991237503546</c:v>
                </c:pt>
                <c:pt idx="24">
                  <c:v>90.0080831490272</c:v>
                </c:pt>
                <c:pt idx="25">
                  <c:v>90.008170481330765</c:v>
                </c:pt>
                <c:pt idx="26">
                  <c:v>90.008252649448281</c:v>
                </c:pt>
                <c:pt idx="27">
                  <c:v>90.008329020861709</c:v>
                </c:pt>
                <c:pt idx="28">
                  <c:v>90.00839891200124</c:v>
                </c:pt>
                <c:pt idx="29">
                  <c:v>90.008461584496828</c:v>
                </c:pt>
                <c:pt idx="30">
                  <c:v>90.008516241164202</c:v>
                </c:pt>
                <c:pt idx="31">
                  <c:v>90.008562021706666</c:v>
                </c:pt>
                <c:pt idx="32">
                  <c:v>90.008597998113316</c:v>
                </c:pt>
                <c:pt idx="33">
                  <c:v>90.008623169732431</c:v>
                </c:pt>
                <c:pt idx="34">
                  <c:v>90.008636457998051</c:v>
                </c:pt>
                <c:pt idx="35">
                  <c:v>90.008636700785502</c:v>
                </c:pt>
                <c:pt idx="36">
                  <c:v>90.00862264637108</c:v>
                </c:pt>
                <c:pt idx="37">
                  <c:v>90.008592946968221</c:v>
                </c:pt>
                <c:pt idx="38">
                  <c:v>90.008546151811686</c:v>
                </c:pt>
                <c:pt idx="39">
                  <c:v>90.008480699758849</c:v>
                </c:pt>
                <c:pt idx="40">
                  <c:v>90.00839491137576</c:v>
                </c:pt>
                <c:pt idx="41">
                  <c:v>90.00828698047242</c:v>
                </c:pt>
                <c:pt idx="42">
                  <c:v>90.008154965051176</c:v>
                </c:pt>
                <c:pt idx="43">
                  <c:v>90.007996777627753</c:v>
                </c:pt>
                <c:pt idx="44">
                  <c:v>90.007810174884085</c:v>
                </c:pt>
                <c:pt idx="45">
                  <c:v>90.007592746607244</c:v>
                </c:pt>
                <c:pt idx="46">
                  <c:v>90.007341903868195</c:v>
                </c:pt>
                <c:pt idx="47">
                  <c:v>90.007054866388899</c:v>
                </c:pt>
                <c:pt idx="48">
                  <c:v>90.006728649045598</c:v>
                </c:pt>
                <c:pt idx="49">
                  <c:v>90.006360047450485</c:v>
                </c:pt>
                <c:pt idx="50">
                  <c:v>90.005945622551991</c:v>
                </c:pt>
                <c:pt idx="51">
                  <c:v>90.00548168419057</c:v>
                </c:pt>
                <c:pt idx="52">
                  <c:v>90.004964273541248</c:v>
                </c:pt>
                <c:pt idx="53">
                  <c:v>90.004389144372212</c:v>
                </c:pt>
                <c:pt idx="54">
                  <c:v>90.003751743043736</c:v>
                </c:pt>
                <c:pt idx="55">
                  <c:v>90.003047187166814</c:v>
                </c:pt>
                <c:pt idx="56">
                  <c:v>90.002270242837767</c:v>
                </c:pt>
                <c:pt idx="57">
                  <c:v>90.00141530035873</c:v>
                </c:pt>
                <c:pt idx="58">
                  <c:v>90.000476348349622</c:v>
                </c:pt>
                <c:pt idx="59">
                  <c:v>89.999446946153753</c:v>
                </c:pt>
                <c:pt idx="60">
                  <c:v>89.998320194429979</c:v>
                </c:pt>
                <c:pt idx="61">
                  <c:v>89.997088703823493</c:v>
                </c:pt>
                <c:pt idx="62">
                  <c:v>89.995744561598329</c:v>
                </c:pt>
                <c:pt idx="63">
                  <c:v>89.994279296109781</c:v>
                </c:pt>
                <c:pt idx="64">
                  <c:v>89.992683838990416</c:v>
                </c:pt>
                <c:pt idx="65">
                  <c:v>89.99094848491454</c:v>
                </c:pt>
                <c:pt idx="66">
                  <c:v>89.989062848803016</c:v>
                </c:pt>
                <c:pt idx="67">
                  <c:v>89.987015820320991</c:v>
                </c:pt>
                <c:pt idx="68">
                  <c:v>89.984795515517547</c:v>
                </c:pt>
                <c:pt idx="69">
                  <c:v>89.982389225447989</c:v>
                </c:pt>
                <c:pt idx="70">
                  <c:v>89.979783361614082</c:v>
                </c:pt>
                <c:pt idx="71">
                  <c:v>89.976963398052263</c:v>
                </c:pt>
                <c:pt idx="72">
                  <c:v>89.973913809891883</c:v>
                </c:pt>
                <c:pt idx="73">
                  <c:v>89.970618008201512</c:v>
                </c:pt>
                <c:pt idx="74">
                  <c:v>89.967058270934785</c:v>
                </c:pt>
                <c:pt idx="75">
                  <c:v>89.963215669783864</c:v>
                </c:pt>
                <c:pt idx="76">
                  <c:v>89.959069992741149</c:v>
                </c:pt>
                <c:pt idx="77">
                  <c:v>89.954599662168064</c:v>
                </c:pt>
                <c:pt idx="78">
                  <c:v>89.949781648166905</c:v>
                </c:pt>
                <c:pt idx="79">
                  <c:v>89.944591377046862</c:v>
                </c:pt>
                <c:pt idx="80">
                  <c:v>89.939002634675916</c:v>
                </c:pt>
                <c:pt idx="81">
                  <c:v>89.932987464509608</c:v>
                </c:pt>
                <c:pt idx="82">
                  <c:v>89.92651606008738</c:v>
                </c:pt>
                <c:pt idx="83">
                  <c:v>89.919556651793386</c:v>
                </c:pt>
                <c:pt idx="84">
                  <c:v>89.912075387678087</c:v>
                </c:pt>
                <c:pt idx="85">
                  <c:v>89.904036208147232</c:v>
                </c:pt>
                <c:pt idx="86">
                  <c:v>89.895400714332382</c:v>
                </c:pt>
                <c:pt idx="87">
                  <c:v>89.886128029967566</c:v>
                </c:pt>
                <c:pt idx="88">
                  <c:v>89.876174656612548</c:v>
                </c:pt>
                <c:pt idx="89">
                  <c:v>89.865494322077737</c:v>
                </c:pt>
                <c:pt idx="90">
                  <c:v>89.854037821928955</c:v>
                </c:pt>
                <c:pt idx="91">
                  <c:v>89.841752853975464</c:v>
                </c:pt>
                <c:pt idx="92">
                  <c:v>89.828583845668746</c:v>
                </c:pt>
                <c:pt idx="93">
                  <c:v>89.814471774379555</c:v>
                </c:pt>
                <c:pt idx="94">
                  <c:v>89.799353980555139</c:v>
                </c:pt>
                <c:pt idx="95">
                  <c:v>89.783163973802075</c:v>
                </c:pt>
                <c:pt idx="96">
                  <c:v>89.765831231993403</c:v>
                </c:pt>
                <c:pt idx="97">
                  <c:v>89.747280993550902</c:v>
                </c:pt>
                <c:pt idx="98">
                  <c:v>89.72743404311862</c:v>
                </c:pt>
                <c:pt idx="99">
                  <c:v>89.70620649091218</c:v>
                </c:pt>
                <c:pt idx="100">
                  <c:v>89.683509546107175</c:v>
                </c:pt>
                <c:pt idx="101">
                  <c:v>89.659249284712317</c:v>
                </c:pt>
                <c:pt idx="102">
                  <c:v>89.633326412467468</c:v>
                </c:pt>
                <c:pt idx="103">
                  <c:v>89.605636023409545</c:v>
                </c:pt>
                <c:pt idx="104">
                  <c:v>89.576067354856917</c:v>
                </c:pt>
                <c:pt idx="105">
                  <c:v>89.544503539679567</c:v>
                </c:pt>
                <c:pt idx="106">
                  <c:v>89.510821356855402</c:v>
                </c:pt>
                <c:pt idx="107">
                  <c:v>89.474890981441149</c:v>
                </c:pt>
                <c:pt idx="108">
                  <c:v>89.436575735236715</c:v>
                </c:pt>
                <c:pt idx="109">
                  <c:v>89.395731839563894</c:v>
                </c:pt>
                <c:pt idx="110">
                  <c:v>89.352208171751627</c:v>
                </c:pt>
                <c:pt idx="111">
                  <c:v>89.305846027072263</c:v>
                </c:pt>
                <c:pt idx="112">
                  <c:v>89.256478888051888</c:v>
                </c:pt>
                <c:pt idx="113">
                  <c:v>89.203932203247234</c:v>
                </c:pt>
                <c:pt idx="114">
                  <c:v>89.148023177762425</c:v>
                </c:pt>
                <c:pt idx="115">
                  <c:v>89.088560577954269</c:v>
                </c:pt>
                <c:pt idx="116">
                  <c:v>89.02534455295249</c:v>
                </c:pt>
                <c:pt idx="117">
                  <c:v>88.958166475795935</c:v>
                </c:pt>
                <c:pt idx="118">
                  <c:v>88.886808807149507</c:v>
                </c:pt>
                <c:pt idx="119">
                  <c:v>88.811044984733684</c:v>
                </c:pt>
                <c:pt idx="120">
                  <c:v>88.730639341731958</c:v>
                </c:pt>
                <c:pt idx="121">
                  <c:v>88.645347057587983</c:v>
                </c:pt>
                <c:pt idx="122">
                  <c:v>88.554914144703503</c:v>
                </c:pt>
                <c:pt idx="123">
                  <c:v>88.459077474645383</c:v>
                </c:pt>
                <c:pt idx="124">
                  <c:v>88.357564847529574</c:v>
                </c:pt>
                <c:pt idx="125">
                  <c:v>88.250095108280306</c:v>
                </c:pt>
                <c:pt idx="126">
                  <c:v>88.136378313459531</c:v>
                </c:pt>
                <c:pt idx="127">
                  <c:v>88.016115952320902</c:v>
                </c:pt>
                <c:pt idx="128">
                  <c:v>87.889001225649082</c:v>
                </c:pt>
                <c:pt idx="129">
                  <c:v>87.754719385818618</c:v>
                </c:pt>
                <c:pt idx="130">
                  <c:v>87.612948141317574</c:v>
                </c:pt>
                <c:pt idx="131">
                  <c:v>87.46335812874095</c:v>
                </c:pt>
                <c:pt idx="132">
                  <c:v>87.305613454969915</c:v>
                </c:pt>
                <c:pt idx="133">
                  <c:v>87.13937231189486</c:v>
                </c:pt>
                <c:pt idx="134">
                  <c:v>86.9642876656239</c:v>
                </c:pt>
                <c:pt idx="135">
                  <c:v>86.780008021659498</c:v>
                </c:pt>
                <c:pt idx="136">
                  <c:v>86.586178266974315</c:v>
                </c:pt>
                <c:pt idx="137">
                  <c:v>86.382440589348377</c:v>
                </c:pt>
                <c:pt idx="138">
                  <c:v>86.168435473667472</c:v>
                </c:pt>
                <c:pt idx="139">
                  <c:v>85.943802774198588</c:v>
                </c:pt>
                <c:pt idx="140">
                  <c:v>85.708182861115858</c:v>
                </c:pt>
                <c:pt idx="141">
                  <c:v>85.461217838762096</c:v>
                </c:pt>
                <c:pt idx="142">
                  <c:v>85.202552832326731</c:v>
                </c:pt>
                <c:pt idx="143">
                  <c:v>84.93183733877909</c:v>
                </c:pt>
                <c:pt idx="144">
                  <c:v>84.648726637043055</c:v>
                </c:pt>
                <c:pt idx="145">
                  <c:v>84.352883251547084</c:v>
                </c:pt>
                <c:pt idx="146">
                  <c:v>84.043978462432065</c:v>
                </c:pt>
                <c:pt idx="147">
                  <c:v>83.721693854870068</c:v>
                </c:pt>
                <c:pt idx="148">
                  <c:v>83.385722899146259</c:v>
                </c:pt>
                <c:pt idx="149">
                  <c:v>83.035772552405717</c:v>
                </c:pt>
                <c:pt idx="150">
                  <c:v>82.671564872256241</c:v>
                </c:pt>
                <c:pt idx="151">
                  <c:v>82.292838631796101</c:v>
                </c:pt>
                <c:pt idx="152">
                  <c:v>81.899350925076774</c:v>
                </c:pt>
                <c:pt idx="153">
                  <c:v>81.490878751544201</c:v>
                </c:pt>
                <c:pt idx="154">
                  <c:v>81.067220567650594</c:v>
                </c:pt>
                <c:pt idx="155">
                  <c:v>80.628197793564652</c:v>
                </c:pt>
                <c:pt idx="156">
                  <c:v>80.173656262783155</c:v>
                </c:pt>
                <c:pt idx="157">
                  <c:v>79.703467602428091</c:v>
                </c:pt>
                <c:pt idx="158">
                  <c:v>79.217530532141311</c:v>
                </c:pt>
                <c:pt idx="159">
                  <c:v>78.715772069740396</c:v>
                </c:pt>
                <c:pt idx="160">
                  <c:v>78.198148632174806</c:v>
                </c:pt>
                <c:pt idx="161">
                  <c:v>77.664647020862603</c:v>
                </c:pt>
                <c:pt idx="162">
                  <c:v>77.115285281128948</c:v>
                </c:pt>
                <c:pt idx="163">
                  <c:v>76.550113426247535</c:v>
                </c:pt>
                <c:pt idx="164">
                  <c:v>75.96921401751446</c:v>
                </c:pt>
                <c:pt idx="165">
                  <c:v>75.372702592776719</c:v>
                </c:pt>
                <c:pt idx="166">
                  <c:v>74.760727936990435</c:v>
                </c:pt>
                <c:pt idx="167">
                  <c:v>74.133472189602088</c:v>
                </c:pt>
                <c:pt idx="168">
                  <c:v>73.491150784842077</c:v>
                </c:pt>
                <c:pt idx="169">
                  <c:v>72.834012222422444</c:v>
                </c:pt>
                <c:pt idx="170">
                  <c:v>72.162337667530949</c:v>
                </c:pt>
                <c:pt idx="171">
                  <c:v>71.476440380516038</c:v>
                </c:pt>
                <c:pt idx="172">
                  <c:v>70.776664978112194</c:v>
                </c:pt>
                <c:pt idx="173">
                  <c:v>70.063386529574572</c:v>
                </c:pt>
                <c:pt idx="174">
                  <c:v>69.337009492546301</c:v>
                </c:pt>
                <c:pt idx="175">
                  <c:v>68.597966494925387</c:v>
                </c:pt>
                <c:pt idx="176">
                  <c:v>67.846716970387206</c:v>
                </c:pt>
                <c:pt idx="177">
                  <c:v>67.083745656513301</c:v>
                </c:pt>
                <c:pt idx="178">
                  <c:v>66.309560965712521</c:v>
                </c:pt>
                <c:pt idx="179">
                  <c:v>65.52469324022141</c:v>
                </c:pt>
                <c:pt idx="180">
                  <c:v>64.729692903458172</c:v>
                </c:pt>
                <c:pt idx="181">
                  <c:v>63.925128520862927</c:v>
                </c:pt>
                <c:pt idx="182">
                  <c:v>63.111584784059609</c:v>
                </c:pt>
                <c:pt idx="183">
                  <c:v>62.289660432708722</c:v>
                </c:pt>
                <c:pt idx="184">
                  <c:v>61.45996612883161</c:v>
                </c:pt>
                <c:pt idx="185">
                  <c:v>60.623122298563999</c:v>
                </c:pt>
                <c:pt idx="186">
                  <c:v>59.779756956367983</c:v>
                </c:pt>
                <c:pt idx="187">
                  <c:v>58.930503526607595</c:v>
                </c:pt>
                <c:pt idx="188">
                  <c:v>58.075998677086659</c:v>
                </c:pt>
                <c:pt idx="189">
                  <c:v>57.216880178722874</c:v>
                </c:pt>
                <c:pt idx="190">
                  <c:v>56.353784804931252</c:v>
                </c:pt>
                <c:pt idx="191">
                  <c:v>55.487346283563276</c:v>
                </c:pt>
                <c:pt idx="192">
                  <c:v>54.618193313400674</c:v>
                </c:pt>
                <c:pt idx="193">
                  <c:v>53.746947656242448</c:v>
                </c:pt>
                <c:pt idx="194">
                  <c:v>52.874222314585595</c:v>
                </c:pt>
                <c:pt idx="195">
                  <c:v>52.000619803772274</c:v>
                </c:pt>
                <c:pt idx="196">
                  <c:v>51.126730526315058</c:v>
                </c:pt>
                <c:pt idx="197">
                  <c:v>50.253131254900389</c:v>
                </c:pt>
                <c:pt idx="198">
                  <c:v>49.380383729347137</c:v>
                </c:pt>
                <c:pt idx="199">
                  <c:v>48.509033371584373</c:v>
                </c:pt>
                <c:pt idx="200">
                  <c:v>47.639608121496522</c:v>
                </c:pt>
                <c:pt idx="201">
                  <c:v>46.772617395326733</c:v>
                </c:pt>
                <c:pt idx="202">
                  <c:v>45.908551167197125</c:v>
                </c:pt>
                <c:pt idx="203">
                  <c:v>45.047879173247239</c:v>
                </c:pt>
                <c:pt idx="204">
                  <c:v>44.191050236901255</c:v>
                </c:pt>
                <c:pt idx="205">
                  <c:v>43.3384917128529</c:v>
                </c:pt>
                <c:pt idx="206">
                  <c:v>42.490609046543383</c:v>
                </c:pt>
                <c:pt idx="207">
                  <c:v>41.647785445155392</c:v>
                </c:pt>
                <c:pt idx="208">
                  <c:v>40.81038165551653</c:v>
                </c:pt>
                <c:pt idx="209">
                  <c:v>39.978735843744566</c:v>
                </c:pt>
                <c:pt idx="210">
                  <c:v>39.153163571029246</c:v>
                </c:pt>
                <c:pt idx="211">
                  <c:v>38.3339578595603</c:v>
                </c:pt>
                <c:pt idx="212">
                  <c:v>37.521389342364053</c:v>
                </c:pt>
                <c:pt idx="213">
                  <c:v>36.715706490602251</c:v>
                </c:pt>
                <c:pt idx="214">
                  <c:v>35.917135911792236</c:v>
                </c:pt>
                <c:pt idx="215">
                  <c:v>35.125882712367833</c:v>
                </c:pt>
                <c:pt idx="216">
                  <c:v>34.34213091803084</c:v>
                </c:pt>
                <c:pt idx="217">
                  <c:v>33.566043945446665</c:v>
                </c:pt>
                <c:pt idx="218">
                  <c:v>32.79776511897019</c:v>
                </c:pt>
                <c:pt idx="219">
                  <c:v>32.037418226295898</c:v>
                </c:pt>
                <c:pt idx="220">
                  <c:v>31.285108107148773</c:v>
                </c:pt>
                <c:pt idx="221">
                  <c:v>30.540921269402517</c:v>
                </c:pt>
                <c:pt idx="222">
                  <c:v>29.804926527307192</c:v>
                </c:pt>
                <c:pt idx="223">
                  <c:v>29.077175656808834</c:v>
                </c:pt>
                <c:pt idx="224">
                  <c:v>28.357704063287038</c:v>
                </c:pt>
                <c:pt idx="225">
                  <c:v>27.646531457356073</c:v>
                </c:pt>
                <c:pt idx="226">
                  <c:v>26.943662534724265</c:v>
                </c:pt>
                <c:pt idx="227">
                  <c:v>26.249087656447731</c:v>
                </c:pt>
                <c:pt idx="228">
                  <c:v>25.562783526248538</c:v>
                </c:pt>
                <c:pt idx="229">
                  <c:v>24.884713861894536</c:v>
                </c:pt>
                <c:pt idx="230">
                  <c:v>24.214830057971877</c:v>
                </c:pt>
                <c:pt idx="231">
                  <c:v>23.553071837679784</c:v>
                </c:pt>
                <c:pt idx="232">
                  <c:v>22.899367891576677</c:v>
                </c:pt>
                <c:pt idx="233">
                  <c:v>22.253636501492849</c:v>
                </c:pt>
                <c:pt idx="234">
                  <c:v>21.615786148090539</c:v>
                </c:pt>
                <c:pt idx="235">
                  <c:v>20.985716100794928</c:v>
                </c:pt>
                <c:pt idx="236">
                  <c:v>20.363316989065812</c:v>
                </c:pt>
                <c:pt idx="237">
                  <c:v>19.748471354181991</c:v>
                </c:pt>
                <c:pt idx="238">
                  <c:v>19.141054180924183</c:v>
                </c:pt>
                <c:pt idx="239">
                  <c:v>18.540933408707829</c:v>
                </c:pt>
                <c:pt idx="240">
                  <c:v>17.947970421905389</c:v>
                </c:pt>
                <c:pt idx="241">
                  <c:v>17.362020519224625</c:v>
                </c:pt>
                <c:pt idx="242">
                  <c:v>16.782933362164655</c:v>
                </c:pt>
                <c:pt idx="243">
                  <c:v>16.210553402683978</c:v>
                </c:pt>
                <c:pt idx="244">
                  <c:v>15.644720290322471</c:v>
                </c:pt>
                <c:pt idx="245">
                  <c:v>15.085269259117295</c:v>
                </c:pt>
                <c:pt idx="246">
                  <c:v>14.532031494737016</c:v>
                </c:pt>
                <c:pt idx="247">
                  <c:v>13.984834482326345</c:v>
                </c:pt>
                <c:pt idx="248">
                  <c:v>13.44350233562243</c:v>
                </c:pt>
                <c:pt idx="249">
                  <c:v>12.907856107951648</c:v>
                </c:pt>
                <c:pt idx="250">
                  <c:v>12.377714085764275</c:v>
                </c:pt>
                <c:pt idx="251">
                  <c:v>11.852892065399853</c:v>
                </c:pt>
                <c:pt idx="252">
                  <c:v>11.33320361380934</c:v>
                </c:pt>
                <c:pt idx="253">
                  <c:v>10.81846031397953</c:v>
                </c:pt>
                <c:pt idx="254">
                  <c:v>10.308471995829526</c:v>
                </c:pt>
                <c:pt idx="255">
                  <c:v>9.8030469533608926</c:v>
                </c:pt>
                <c:pt idx="256">
                  <c:v>9.3019921488543282</c:v>
                </c:pt>
                <c:pt idx="257">
                  <c:v>8.805113404909477</c:v>
                </c:pt>
                <c:pt idx="258">
                  <c:v>8.3122155851309962</c:v>
                </c:pt>
                <c:pt idx="259">
                  <c:v>7.8231027642669355</c:v>
                </c:pt>
                <c:pt idx="260">
                  <c:v>7.3375783885951247</c:v>
                </c:pt>
                <c:pt idx="261">
                  <c:v>6.8554454273629082</c:v>
                </c:pt>
                <c:pt idx="262">
                  <c:v>6.3765065160704362</c:v>
                </c:pt>
                <c:pt idx="263">
                  <c:v>5.9005640923873566</c:v>
                </c:pt>
                <c:pt idx="264">
                  <c:v>5.4274205254854779</c:v>
                </c:pt>
                <c:pt idx="265">
                  <c:v>4.9568782395636184</c:v>
                </c:pt>
                <c:pt idx="266">
                  <c:v>4.4887398323295313</c:v>
                </c:pt>
                <c:pt idx="267">
                  <c:v>4.0228081892028511</c:v>
                </c:pt>
                <c:pt idx="268">
                  <c:v>3.5588865939878613</c:v>
                </c:pt>
                <c:pt idx="269">
                  <c:v>3.0967788367638436</c:v>
                </c:pt>
                <c:pt idx="270">
                  <c:v>2.636289319726258</c:v>
                </c:pt>
                <c:pt idx="271">
                  <c:v>2.1772231617112556</c:v>
                </c:pt>
                <c:pt idx="272">
                  <c:v>1.7193863021229272</c:v>
                </c:pt>
                <c:pt idx="273">
                  <c:v>1.2625856049787645</c:v>
                </c:pt>
                <c:pt idx="274">
                  <c:v>0.80662896377970339</c:v>
                </c:pt>
                <c:pt idx="275">
                  <c:v>0.35132540790530803</c:v>
                </c:pt>
                <c:pt idx="276">
                  <c:v>-0.10351478877360555</c:v>
                </c:pt>
                <c:pt idx="277">
                  <c:v>-0.5580799963795271</c:v>
                </c:pt>
                <c:pt idx="278">
                  <c:v>-1.0125571139334653</c:v>
                </c:pt>
                <c:pt idx="279">
                  <c:v>-1.4671314500093871</c:v>
                </c:pt>
                <c:pt idx="280">
                  <c:v>-1.9219865984802367</c:v>
                </c:pt>
                <c:pt idx="281">
                  <c:v>-2.377304308702155</c:v>
                </c:pt>
                <c:pt idx="282">
                  <c:v>-2.8332643495001402</c:v>
                </c:pt>
                <c:pt idx="283">
                  <c:v>-3.2900443663239205</c:v>
                </c:pt>
                <c:pt idx="284">
                  <c:v>-3.747819730963573</c:v>
                </c:pt>
                <c:pt idx="285">
                  <c:v>-4.2067633832267015</c:v>
                </c:pt>
                <c:pt idx="286">
                  <c:v>-4.6670456639953608</c:v>
                </c:pt>
                <c:pt idx="287">
                  <c:v>-5.1288341391074983</c:v>
                </c:pt>
                <c:pt idx="288">
                  <c:v>-5.5922934135269911</c:v>
                </c:pt>
                <c:pt idx="289">
                  <c:v>-6.0575849352938844</c:v>
                </c:pt>
                <c:pt idx="290">
                  <c:v>-6.5248667887833962</c:v>
                </c:pt>
                <c:pt idx="291">
                  <c:v>-6.9942934768275622</c:v>
                </c:pt>
                <c:pt idx="292">
                  <c:v>-7.4660156913080788</c:v>
                </c:pt>
                <c:pt idx="293">
                  <c:v>-7.9401800718573368</c:v>
                </c:pt>
                <c:pt idx="294">
                  <c:v>-8.4169289523727571</c:v>
                </c:pt>
                <c:pt idx="295">
                  <c:v>-8.8964000950936555</c:v>
                </c:pt>
                <c:pt idx="296">
                  <c:v>-9.3787264120607485</c:v>
                </c:pt>
                <c:pt idx="297">
                  <c:v>-9.8640356738449615</c:v>
                </c:pt>
                <c:pt idx="298">
                  <c:v>-10.35245020551265</c:v>
                </c:pt>
                <c:pt idx="299">
                  <c:v>-10.844086569875147</c:v>
                </c:pt>
                <c:pt idx="300">
                  <c:v>-11.339055238164432</c:v>
                </c:pt>
                <c:pt idx="301">
                  <c:v>-11.837460248380086</c:v>
                </c:pt>
                <c:pt idx="302">
                  <c:v>-12.339398851650971</c:v>
                </c:pt>
                <c:pt idx="303">
                  <c:v>-12.844961147080131</c:v>
                </c:pt>
                <c:pt idx="304">
                  <c:v>-13.354229705656511</c:v>
                </c:pt>
                <c:pt idx="305">
                  <c:v>-13.867279183948559</c:v>
                </c:pt>
                <c:pt idx="306">
                  <c:v>-14.384175928430775</c:v>
                </c:pt>
                <c:pt idx="307">
                  <c:v>-14.904977571434014</c:v>
                </c:pt>
                <c:pt idx="308">
                  <c:v>-15.429732619856164</c:v>
                </c:pt>
                <c:pt idx="309">
                  <c:v>-15.958480037919074</c:v>
                </c:pt>
                <c:pt idx="310">
                  <c:v>-16.49124882540919</c:v>
                </c:pt>
                <c:pt idx="311">
                  <c:v>-17.028057592989096</c:v>
                </c:pt>
                <c:pt idx="312">
                  <c:v>-17.568914136319201</c:v>
                </c:pt>
                <c:pt idx="313">
                  <c:v>-18.113815010873655</c:v>
                </c:pt>
                <c:pt idx="314">
                  <c:v>-18.662745109473232</c:v>
                </c:pt>
                <c:pt idx="315">
                  <c:v>-19.215677244692184</c:v>
                </c:pt>
                <c:pt idx="316">
                  <c:v>-19.772571738410935</c:v>
                </c:pt>
                <c:pt idx="317">
                  <c:v>-20.333376020893791</c:v>
                </c:pt>
                <c:pt idx="318">
                  <c:v>-20.898024241852063</c:v>
                </c:pt>
                <c:pt idx="319">
                  <c:v>-21.466436896021875</c:v>
                </c:pt>
                <c:pt idx="320">
                  <c:v>-22.038520465812301</c:v>
                </c:pt>
                <c:pt idx="321">
                  <c:v>-22.614167083601551</c:v>
                </c:pt>
                <c:pt idx="322">
                  <c:v>-23.193254216215422</c:v>
                </c:pt>
                <c:pt idx="323">
                  <c:v>-23.775644374070403</c:v>
                </c:pt>
                <c:pt idx="324">
                  <c:v>-24.361184847355489</c:v>
                </c:pt>
                <c:pt idx="325">
                  <c:v>-24.949707471468408</c:v>
                </c:pt>
                <c:pt idx="326">
                  <c:v>-25.541028423736083</c:v>
                </c:pt>
                <c:pt idx="327">
                  <c:v>-26.134948053188452</c:v>
                </c:pt>
                <c:pt idx="328">
                  <c:v>-26.73125074485549</c:v>
                </c:pt>
                <c:pt idx="329">
                  <c:v>-27.329704819700709</c:v>
                </c:pt>
                <c:pt idx="330">
                  <c:v>-27.930062470875857</c:v>
                </c:pt>
                <c:pt idx="331">
                  <c:v>-28.532059736522683</c:v>
                </c:pt>
                <c:pt idx="332">
                  <c:v>-29.135416508792872</c:v>
                </c:pt>
                <c:pt idx="333">
                  <c:v>-29.739836578181404</c:v>
                </c:pt>
                <c:pt idx="334">
                  <c:v>-30.3450077115975</c:v>
                </c:pt>
                <c:pt idx="335">
                  <c:v>-30.950601761902909</c:v>
                </c:pt>
                <c:pt idx="336">
                  <c:v>-31.556274805860372</c:v>
                </c:pt>
                <c:pt idx="337">
                  <c:v>-32.161667306638378</c:v>
                </c:pt>
                <c:pt idx="338">
                  <c:v>-32.766404296109037</c:v>
                </c:pt>
                <c:pt idx="339">
                  <c:v>-33.370095571278391</c:v>
                </c:pt>
                <c:pt idx="340">
                  <c:v>-33.972335898183182</c:v>
                </c:pt>
                <c:pt idx="341">
                  <c:v>-34.572705215572626</c:v>
                </c:pt>
                <c:pt idx="342">
                  <c:v>-35.170768829593861</c:v>
                </c:pt>
                <c:pt idx="343">
                  <c:v>-35.766077589560204</c:v>
                </c:pt>
                <c:pt idx="344">
                  <c:v>-36.35816803367883</c:v>
                </c:pt>
                <c:pt idx="345">
                  <c:v>-36.946562492322158</c:v>
                </c:pt>
                <c:pt idx="346">
                  <c:v>-37.530769135075481</c:v>
                </c:pt>
                <c:pt idx="347">
                  <c:v>-38.110281946319333</c:v>
                </c:pt>
                <c:pt idx="348">
                  <c:v>-38.684580612515795</c:v>
                </c:pt>
                <c:pt idx="349">
                  <c:v>-39.253130302628357</c:v>
                </c:pt>
                <c:pt idx="350">
                  <c:v>-39.815381321164672</c:v>
                </c:pt>
                <c:pt idx="351">
                  <c:v>-40.370768611168366</c:v>
                </c:pt>
                <c:pt idx="352">
                  <c:v>-40.918711082013843</c:v>
                </c:pt>
                <c:pt idx="353">
                  <c:v>-41.458610734037045</c:v>
                </c:pt>
                <c:pt idx="354">
                  <c:v>-41.989851548752711</c:v>
                </c:pt>
                <c:pt idx="355">
                  <c:v>-42.511798109563088</c:v>
                </c:pt>
                <c:pt idx="356">
                  <c:v>-43.023793913348811</c:v>
                </c:pt>
                <c:pt idx="357">
                  <c:v>-43.5251593279445</c:v>
                </c:pt>
                <c:pt idx="358">
                  <c:v>-44.015189144093341</c:v>
                </c:pt>
                <c:pt idx="359">
                  <c:v>-44.493149662761247</c:v>
                </c:pt>
                <c:pt idx="360">
                  <c:v>-44.958275249416367</c:v>
                </c:pt>
                <c:pt idx="361">
                  <c:v>-45.409764275640235</c:v>
                </c:pt>
                <c:pt idx="362">
                  <c:v>-45.84677435480689</c:v>
                </c:pt>
                <c:pt idx="363">
                  <c:v>-46.2684167619582</c:v>
                </c:pt>
                <c:pt idx="364">
                  <c:v>-46.673749907707339</c:v>
                </c:pt>
                <c:pt idx="365">
                  <c:v>-47.061771711132415</c:v>
                </c:pt>
                <c:pt idx="366">
                  <c:v>-47.431410686020079</c:v>
                </c:pt>
                <c:pt idx="367">
                  <c:v>-47.781515517052753</c:v>
                </c:pt>
                <c:pt idx="368">
                  <c:v>-48.110842855735854</c:v>
                </c:pt>
                <c:pt idx="369">
                  <c:v>-48.418043007664991</c:v>
                </c:pt>
                <c:pt idx="370">
                  <c:v>-48.701643110044856</c:v>
                </c:pt>
                <c:pt idx="371">
                  <c:v>-48.960027307183822</c:v>
                </c:pt>
                <c:pt idx="372">
                  <c:v>-49.191413316794609</c:v>
                </c:pt>
                <c:pt idx="373">
                  <c:v>-49.393824634431411</c:v>
                </c:pt>
                <c:pt idx="374">
                  <c:v>-49.565057438257519</c:v>
                </c:pt>
                <c:pt idx="375">
                  <c:v>-49.70264101951966</c:v>
                </c:pt>
                <c:pt idx="376">
                  <c:v>-49.803790259598806</c:v>
                </c:pt>
                <c:pt idx="377">
                  <c:v>-49.865348280827796</c:v>
                </c:pt>
                <c:pt idx="378">
                  <c:v>-49.883716886592708</c:v>
                </c:pt>
                <c:pt idx="379">
                  <c:v>-49.854771737577572</c:v>
                </c:pt>
                <c:pt idx="380">
                  <c:v>-49.773758332709562</c:v>
                </c:pt>
                <c:pt idx="381">
                  <c:v>-49.635163704032593</c:v>
                </c:pt>
                <c:pt idx="382">
                  <c:v>-49.432557197841582</c:v>
                </c:pt>
                <c:pt idx="383">
                  <c:v>-49.158391669967763</c:v>
                </c:pt>
                <c:pt idx="384">
                  <c:v>-48.80375369788927</c:v>
                </c:pt>
                <c:pt idx="385">
                  <c:v>-48.358047780062812</c:v>
                </c:pt>
                <c:pt idx="386">
                  <c:v>-47.808594668616081</c:v>
                </c:pt>
                <c:pt idx="387">
                  <c:v>-47.14011763209183</c:v>
                </c:pt>
                <c:pt idx="388">
                  <c:v>-46.33408224193591</c:v>
                </c:pt>
                <c:pt idx="389">
                  <c:v>-45.367845054460716</c:v>
                </c:pt>
                <c:pt idx="390">
                  <c:v>-44.213554718545872</c:v>
                </c:pt>
                <c:pt idx="391">
                  <c:v>-42.836737490624088</c:v>
                </c:pt>
                <c:pt idx="392">
                  <c:v>-41.194493448658413</c:v>
                </c:pt>
                <c:pt idx="393">
                  <c:v>-39.233243749890427</c:v>
                </c:pt>
                <c:pt idx="394">
                  <c:v>-36.886035023774056</c:v>
                </c:pt>
                <c:pt idx="395">
                  <c:v>-34.069593527659876</c:v>
                </c:pt>
                <c:pt idx="396">
                  <c:v>-30.681768028720057</c:v>
                </c:pt>
                <c:pt idx="397">
                  <c:v>-26.600954826395789</c:v>
                </c:pt>
                <c:pt idx="398">
                  <c:v>-21.690900107285227</c:v>
                </c:pt>
                <c:pt idx="399">
                  <c:v>-15.817028867981989</c:v>
                </c:pt>
                <c:pt idx="400">
                  <c:v>-8.8827933394060974</c:v>
                </c:pt>
                <c:pt idx="401">
                  <c:v>-0.89108592089771033</c:v>
                </c:pt>
                <c:pt idx="402">
                  <c:v>7.9832863715461277</c:v>
                </c:pt>
                <c:pt idx="403">
                  <c:v>17.358711096315645</c:v>
                </c:pt>
                <c:pt idx="404">
                  <c:v>26.70929036338816</c:v>
                </c:pt>
                <c:pt idx="405">
                  <c:v>35.519182052367768</c:v>
                </c:pt>
                <c:pt idx="406">
                  <c:v>43.430000879618824</c:v>
                </c:pt>
                <c:pt idx="407">
                  <c:v>50.2902172197781</c:v>
                </c:pt>
                <c:pt idx="408">
                  <c:v>56.112412312338321</c:v>
                </c:pt>
                <c:pt idx="409">
                  <c:v>61.000282327920893</c:v>
                </c:pt>
                <c:pt idx="410">
                  <c:v>65.089994842577298</c:v>
                </c:pt>
                <c:pt idx="411">
                  <c:v>68.516613998972005</c:v>
                </c:pt>
                <c:pt idx="412">
                  <c:v>71.399537559942118</c:v>
                </c:pt>
                <c:pt idx="413">
                  <c:v>73.838583097927597</c:v>
                </c:pt>
                <c:pt idx="414">
                  <c:v>75.914926561321636</c:v>
                </c:pt>
                <c:pt idx="415">
                  <c:v>77.693762432916671</c:v>
                </c:pt>
                <c:pt idx="416">
                  <c:v>79.227241055174176</c:v>
                </c:pt>
                <c:pt idx="417">
                  <c:v>80.55711681785364</c:v>
                </c:pt>
                <c:pt idx="418">
                  <c:v>81.716946346666361</c:v>
                </c:pt>
                <c:pt idx="419">
                  <c:v>82.733842743372719</c:v>
                </c:pt>
                <c:pt idx="420">
                  <c:v>83.629848998397534</c:v>
                </c:pt>
                <c:pt idx="421">
                  <c:v>84.423004259903522</c:v>
                </c:pt>
                <c:pt idx="422">
                  <c:v>85.128169771636365</c:v>
                </c:pt>
                <c:pt idx="423">
                  <c:v>85.757669520622471</c:v>
                </c:pt>
                <c:pt idx="424">
                  <c:v>86.321788927598263</c:v>
                </c:pt>
                <c:pt idx="425">
                  <c:v>86.829164923751449</c:v>
                </c:pt>
                <c:pt idx="426">
                  <c:v>87.287092785700196</c:v>
                </c:pt>
                <c:pt idx="427">
                  <c:v>87.701768947998517</c:v>
                </c:pt>
                <c:pt idx="428">
                  <c:v>88.078484344550546</c:v>
                </c:pt>
                <c:pt idx="429">
                  <c:v>88.421779318048323</c:v>
                </c:pt>
                <c:pt idx="430">
                  <c:v>88.735568501799406</c:v>
                </c:pt>
                <c:pt idx="431">
                  <c:v>89.023242101469251</c:v>
                </c:pt>
                <c:pt idx="432">
                  <c:v>89.287748517650186</c:v>
                </c:pt>
                <c:pt idx="433">
                  <c:v>89.531662128248442</c:v>
                </c:pt>
                <c:pt idx="434">
                  <c:v>89.757239199221388</c:v>
                </c:pt>
                <c:pt idx="435">
                  <c:v>89.966464244329984</c:v>
                </c:pt>
                <c:pt idx="436">
                  <c:v>90.16108865844663</c:v>
                </c:pt>
                <c:pt idx="437">
                  <c:v>90.342663066951232</c:v>
                </c:pt>
                <c:pt idx="438">
                  <c:v>90.512564538026467</c:v>
                </c:pt>
                <c:pt idx="439">
                  <c:v>90.672019574449763</c:v>
                </c:pt>
                <c:pt idx="440">
                  <c:v>90.822123621316109</c:v>
                </c:pt>
                <c:pt idx="441">
                  <c:v>90.963857684367582</c:v>
                </c:pt>
                <c:pt idx="442">
                  <c:v>91.098102541484934</c:v>
                </c:pt>
                <c:pt idx="443">
                  <c:v>91.225650940773136</c:v>
                </c:pt>
                <c:pt idx="444">
                  <c:v>91.347218107470951</c:v>
                </c:pt>
                <c:pt idx="445">
                  <c:v>91.463450824764251</c:v>
                </c:pt>
                <c:pt idx="446">
                  <c:v>91.574935307494712</c:v>
                </c:pt>
                <c:pt idx="447">
                  <c:v>91.682204050422214</c:v>
                </c:pt>
                <c:pt idx="448">
                  <c:v>91.785741802324523</c:v>
                </c:pt>
                <c:pt idx="449">
                  <c:v>91.885990792403859</c:v>
                </c:pt>
                <c:pt idx="450">
                  <c:v>91.983355315112007</c:v>
                </c:pt>
                <c:pt idx="451">
                  <c:v>92.078205762741192</c:v>
                </c:pt>
                <c:pt idx="452">
                  <c:v>92.17088218126932</c:v>
                </c:pt>
                <c:pt idx="453">
                  <c:v>92.261697413447294</c:v>
                </c:pt>
                <c:pt idx="454">
                  <c:v>92.350939883542338</c:v>
                </c:pt>
                <c:pt idx="455">
                  <c:v>92.4388760701503</c:v>
                </c:pt>
                <c:pt idx="456">
                  <c:v>92.525752706782001</c:v>
                </c:pt>
                <c:pt idx="457">
                  <c:v>92.611798744290354</c:v>
                </c:pt>
                <c:pt idx="458">
                  <c:v>92.697227104444067</c:v>
                </c:pt>
                <c:pt idx="459">
                  <c:v>92.782236249928758</c:v>
                </c:pt>
                <c:pt idx="460">
                  <c:v>92.867011592637553</c:v>
                </c:pt>
                <c:pt idx="461">
                  <c:v>92.951726759207617</c:v>
                </c:pt>
                <c:pt idx="462">
                  <c:v>93.036544730274386</c:v>
                </c:pt>
                <c:pt idx="463">
                  <c:v>93.121618867793259</c:v>
                </c:pt>
                <c:pt idx="464">
                  <c:v>93.207093842956596</c:v>
                </c:pt>
                <c:pt idx="465">
                  <c:v>93.293106475666264</c:v>
                </c:pt>
                <c:pt idx="466">
                  <c:v>93.379786495172127</c:v>
                </c:pt>
                <c:pt idx="467">
                  <c:v>93.467257230318438</c:v>
                </c:pt>
                <c:pt idx="468">
                  <c:v>93.555636236829301</c:v>
                </c:pt>
                <c:pt idx="469">
                  <c:v>93.645035868186781</c:v>
                </c:pt>
                <c:pt idx="470">
                  <c:v>93.735563795889774</c:v>
                </c:pt>
                <c:pt idx="471">
                  <c:v>93.827323484218383</c:v>
                </c:pt>
                <c:pt idx="472">
                  <c:v>93.920414624042962</c:v>
                </c:pt>
                <c:pt idx="473">
                  <c:v>94.014933529709808</c:v>
                </c:pt>
                <c:pt idx="474">
                  <c:v>94.110973502587711</c:v>
                </c:pt>
                <c:pt idx="475">
                  <c:v>94.208625164464578</c:v>
                </c:pt>
                <c:pt idx="476">
                  <c:v>94.307976763639289</c:v>
                </c:pt>
                <c:pt idx="477">
                  <c:v>94.409114456246172</c:v>
                </c:pt>
                <c:pt idx="478">
                  <c:v>94.51212256507921</c:v>
                </c:pt>
                <c:pt idx="479">
                  <c:v>94.617083817944319</c:v>
                </c:pt>
                <c:pt idx="480">
                  <c:v>94.7240795673533</c:v>
                </c:pt>
                <c:pt idx="481">
                  <c:v>94.83318999318459</c:v>
                </c:pt>
                <c:pt idx="482">
                  <c:v>94.944494289766979</c:v>
                </c:pt>
                <c:pt idx="483">
                  <c:v>95.058070838690426</c:v>
                </c:pt>
                <c:pt idx="484">
                  <c:v>95.173997368513895</c:v>
                </c:pt>
                <c:pt idx="485">
                  <c:v>95.292351102417783</c:v>
                </c:pt>
                <c:pt idx="486">
                  <c:v>95.413208894740009</c:v>
                </c:pt>
                <c:pt idx="487">
                  <c:v>95.536647357236305</c:v>
                </c:pt>
                <c:pt idx="488">
                  <c:v>95.662742975815064</c:v>
                </c:pt>
                <c:pt idx="489">
                  <c:v>95.791572218418096</c:v>
                </c:pt>
                <c:pt idx="490">
                  <c:v>95.923211634644588</c:v>
                </c:pt>
                <c:pt idx="491">
                  <c:v>96.057737947648178</c:v>
                </c:pt>
                <c:pt idx="492">
                  <c:v>96.195228138777253</c:v>
                </c:pt>
                <c:pt idx="493">
                  <c:v>96.335759525371316</c:v>
                </c:pt>
                <c:pt idx="494">
                  <c:v>96.479409832076186</c:v>
                </c:pt>
                <c:pt idx="495">
                  <c:v>96.626257255991433</c:v>
                </c:pt>
                <c:pt idx="496">
                  <c:v>96.776380525922491</c:v>
                </c:pt>
                <c:pt idx="497">
                  <c:v>96.929858955964875</c:v>
                </c:pt>
                <c:pt idx="498">
                  <c:v>97.086772493613708</c:v>
                </c:pt>
                <c:pt idx="499">
                  <c:v>97.247201762554155</c:v>
                </c:pt>
                <c:pt idx="500">
                  <c:v>97.411228100254505</c:v>
                </c:pt>
                <c:pt idx="501">
                  <c:v>97.578933590453474</c:v>
                </c:pt>
                <c:pt idx="502">
                  <c:v>97.750401090601585</c:v>
                </c:pt>
                <c:pt idx="503">
                  <c:v>97.92571425429017</c:v>
                </c:pt>
                <c:pt idx="504">
                  <c:v>98.104957548671337</c:v>
                </c:pt>
                <c:pt idx="505">
                  <c:v>98.288216266850895</c:v>
                </c:pt>
                <c:pt idx="506">
                  <c:v>98.475576535205391</c:v>
                </c:pt>
                <c:pt idx="507">
                  <c:v>98.667125315555978</c:v>
                </c:pt>
                <c:pt idx="508">
                  <c:v>98.86295040210662</c:v>
                </c:pt>
                <c:pt idx="509">
                  <c:v>99.063140413029657</c:v>
                </c:pt>
                <c:pt idx="510">
                  <c:v>99.267784776565648</c:v>
                </c:pt>
                <c:pt idx="511">
                  <c:v>99.476973711477555</c:v>
                </c:pt>
                <c:pt idx="512">
                  <c:v>99.690798201685524</c:v>
                </c:pt>
                <c:pt idx="513">
                  <c:v>99.909349964883745</c:v>
                </c:pt>
                <c:pt idx="514">
                  <c:v>100.13272141492661</c:v>
                </c:pt>
                <c:pt idx="515">
                  <c:v>100.36100561775166</c:v>
                </c:pt>
                <c:pt idx="516">
                  <c:v>100.59429624059143</c:v>
                </c:pt>
                <c:pt idx="517">
                  <c:v>100.83268749420832</c:v>
                </c:pt>
                <c:pt idx="518">
                  <c:v>101.0762740678761</c:v>
                </c:pt>
                <c:pt idx="519">
                  <c:v>101.32515105681283</c:v>
                </c:pt>
                <c:pt idx="520">
                  <c:v>101.5794138817635</c:v>
                </c:pt>
                <c:pt idx="521">
                  <c:v>101.83915820041554</c:v>
                </c:pt>
                <c:pt idx="522">
                  <c:v>102.10447981032317</c:v>
                </c:pt>
                <c:pt idx="523">
                  <c:v>102.37547454301168</c:v>
                </c:pt>
                <c:pt idx="524">
                  <c:v>102.65223814892391</c:v>
                </c:pt>
                <c:pt idx="525">
                  <c:v>102.93486617287166</c:v>
                </c:pt>
                <c:pt idx="526">
                  <c:v>103.22345381965316</c:v>
                </c:pt>
                <c:pt idx="527">
                  <c:v>103.51809580950368</c:v>
                </c:pt>
                <c:pt idx="528">
                  <c:v>103.81888622304918</c:v>
                </c:pt>
                <c:pt idx="529">
                  <c:v>104.12591833544718</c:v>
                </c:pt>
                <c:pt idx="530">
                  <c:v>104.43928443940786</c:v>
                </c:pt>
                <c:pt idx="531">
                  <c:v>104.75907565681437</c:v>
                </c:pt>
                <c:pt idx="532">
                  <c:v>105.08538173867633</c:v>
                </c:pt>
                <c:pt idx="533">
                  <c:v>105.41829085318878</c:v>
                </c:pt>
                <c:pt idx="534">
                  <c:v>105.75788936169219</c:v>
                </c:pt>
                <c:pt idx="535">
                  <c:v>106.10426158238035</c:v>
                </c:pt>
                <c:pt idx="536">
                  <c:v>106.45748954164226</c:v>
                </c:pt>
                <c:pt idx="537">
                  <c:v>106.81765271298177</c:v>
                </c:pt>
                <c:pt idx="538">
                  <c:v>107.18482774351878</c:v>
                </c:pt>
                <c:pt idx="539">
                  <c:v>107.55908816814437</c:v>
                </c:pt>
                <c:pt idx="540">
                  <c:v>107.94050411148039</c:v>
                </c:pt>
                <c:pt idx="541">
                  <c:v>108.3291419778779</c:v>
                </c:pt>
              </c:numCache>
            </c:numRef>
          </c:yVal>
          <c:smooth val="1"/>
          <c:extLst>
            <c:ext xmlns:c16="http://schemas.microsoft.com/office/drawing/2014/chart" uri="{C3380CC4-5D6E-409C-BE32-E72D297353CC}">
              <c16:uniqueId val="{0000000B-2470-421C-8EF3-DF4BAC2DF802}"/>
            </c:ext>
          </c:extLst>
        </c:ser>
        <c:dLbls>
          <c:showLegendKey val="0"/>
          <c:showVal val="0"/>
          <c:showCatName val="0"/>
          <c:showSerName val="0"/>
          <c:showPercent val="0"/>
          <c:showBubbleSize val="0"/>
        </c:dLbls>
        <c:axId val="144838016"/>
        <c:axId val="144836096"/>
      </c:scatterChart>
      <c:valAx>
        <c:axId val="144369152"/>
        <c:scaling>
          <c:logBase val="10"/>
          <c:orientation val="minMax"/>
          <c:max val="2000000"/>
          <c:min val="1"/>
        </c:scaling>
        <c:delete val="0"/>
        <c:axPos val="b"/>
        <c:majorGridlines/>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144371072"/>
        <c:crosses val="autoZero"/>
        <c:crossBetween val="midCat"/>
      </c:valAx>
      <c:valAx>
        <c:axId val="144371072"/>
        <c:scaling>
          <c:orientation val="minMax"/>
          <c:max val="60"/>
          <c:min val="-6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144369152"/>
        <c:crosses val="autoZero"/>
        <c:crossBetween val="midCat"/>
        <c:majorUnit val="20"/>
        <c:minorUnit val="10"/>
      </c:valAx>
      <c:valAx>
        <c:axId val="144836096"/>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144838016"/>
        <c:crosses val="max"/>
        <c:crossBetween val="midCat"/>
        <c:majorUnit val="90"/>
        <c:minorUnit val="45"/>
      </c:valAx>
      <c:valAx>
        <c:axId val="144838016"/>
        <c:scaling>
          <c:logBase val="10"/>
          <c:orientation val="minMax"/>
        </c:scaling>
        <c:delete val="1"/>
        <c:axPos val="b"/>
        <c:numFmt formatCode="0.00" sourceLinked="1"/>
        <c:majorTickMark val="out"/>
        <c:minorTickMark val="none"/>
        <c:tickLblPos val="nextTo"/>
        <c:crossAx val="14483609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Eff_vs_IOUT!$AT$7:$AT$157</c:f>
              <c:numCache>
                <c:formatCode>General</c:formatCode>
                <c:ptCount val="151"/>
                <c:pt idx="0">
                  <c:v>0</c:v>
                </c:pt>
                <c:pt idx="1">
                  <c:v>50.162588279232722</c:v>
                </c:pt>
                <c:pt idx="2">
                  <c:v>65.554988640312246</c:v>
                </c:pt>
                <c:pt idx="3">
                  <c:v>73.002824813134751</c:v>
                </c:pt>
                <c:pt idx="4">
                  <c:v>77.385057757274765</c:v>
                </c:pt>
                <c:pt idx="5">
                  <c:v>80.265573638964838</c:v>
                </c:pt>
                <c:pt idx="6">
                  <c:v>82.299638160346404</c:v>
                </c:pt>
                <c:pt idx="7">
                  <c:v>83.809974922442109</c:v>
                </c:pt>
                <c:pt idx="8">
                  <c:v>84.973913825151541</c:v>
                </c:pt>
                <c:pt idx="9">
                  <c:v>85.896953110412042</c:v>
                </c:pt>
                <c:pt idx="10">
                  <c:v>86.645770146608257</c:v>
                </c:pt>
                <c:pt idx="11">
                  <c:v>87.264563823721488</c:v>
                </c:pt>
                <c:pt idx="12">
                  <c:v>87.783784513164932</c:v>
                </c:pt>
                <c:pt idx="13">
                  <c:v>88.2250899359464</c:v>
                </c:pt>
                <c:pt idx="14">
                  <c:v>88.604302228623155</c:v>
                </c:pt>
                <c:pt idx="15">
                  <c:v>88.933247309676332</c:v>
                </c:pt>
                <c:pt idx="16">
                  <c:v>89.220940105836704</c:v>
                </c:pt>
                <c:pt idx="17">
                  <c:v>89.474371791948556</c:v>
                </c:pt>
                <c:pt idx="18">
                  <c:v>89.699046651346919</c:v>
                </c:pt>
                <c:pt idx="19">
                  <c:v>89.89935675613593</c:v>
                </c:pt>
                <c:pt idx="20">
                  <c:v>90.078848866555774</c:v>
                </c:pt>
                <c:pt idx="21">
                  <c:v>90.240418052820914</c:v>
                </c:pt>
                <c:pt idx="22">
                  <c:v>90.386450474299622</c:v>
                </c:pt>
                <c:pt idx="23">
                  <c:v>90.518930231754439</c:v>
                </c:pt>
                <c:pt idx="24">
                  <c:v>90.639520409874947</c:v>
                </c:pt>
                <c:pt idx="25">
                  <c:v>90.749625298092667</c:v>
                </c:pt>
                <c:pt idx="26">
                  <c:v>90.850438696555685</c:v>
                </c:pt>
                <c:pt idx="27">
                  <c:v>90.942981805124987</c:v>
                </c:pt>
                <c:pt idx="28">
                  <c:v>91.028133223549162</c:v>
                </c:pt>
                <c:pt idx="29">
                  <c:v>91.106652913506679</c:v>
                </c:pt>
                <c:pt idx="30">
                  <c:v>91.179201493302983</c:v>
                </c:pt>
                <c:pt idx="31">
                  <c:v>91.246355891676259</c:v>
                </c:pt>
                <c:pt idx="32">
                  <c:v>91.308622137151048</c:v>
                </c:pt>
                <c:pt idx="33">
                  <c:v>91.366445875828475</c:v>
                </c:pt>
                <c:pt idx="34">
                  <c:v>91.420221074352085</c:v>
                </c:pt>
                <c:pt idx="35">
                  <c:v>91.470297262818818</c:v>
                </c:pt>
                <c:pt idx="36">
                  <c:v>91.516985595342561</c:v>
                </c:pt>
                <c:pt idx="37">
                  <c:v>91.560563947243153</c:v>
                </c:pt>
                <c:pt idx="38">
                  <c:v>91.601281222708536</c:v>
                </c:pt>
                <c:pt idx="39">
                  <c:v>91.639361011848649</c:v>
                </c:pt>
                <c:pt idx="40">
                  <c:v>91.675004708827601</c:v>
                </c:pt>
                <c:pt idx="41">
                  <c:v>91.708394181389664</c:v>
                </c:pt>
                <c:pt idx="42">
                  <c:v>91.739694065213357</c:v>
                </c:pt>
                <c:pt idx="43">
                  <c:v>91.7690537431141</c:v>
                </c:pt>
                <c:pt idx="44">
                  <c:v>91.796609058396541</c:v>
                </c:pt>
                <c:pt idx="45">
                  <c:v>91.822483803042573</c:v>
                </c:pt>
                <c:pt idx="46">
                  <c:v>91.846791014463676</c:v>
                </c:pt>
                <c:pt idx="47">
                  <c:v>91.86963410889804</c:v>
                </c:pt>
                <c:pt idx="48">
                  <c:v>91.891107874926448</c:v>
                </c:pt>
                <c:pt idx="49">
                  <c:v>91.583502203512282</c:v>
                </c:pt>
                <c:pt idx="50">
                  <c:v>91.596284922211424</c:v>
                </c:pt>
                <c:pt idx="51">
                  <c:v>91.607539455328791</c:v>
                </c:pt>
                <c:pt idx="52">
                  <c:v>91.617353062704709</c:v>
                </c:pt>
                <c:pt idx="53">
                  <c:v>91.62580654937689</c:v>
                </c:pt>
                <c:pt idx="54">
                  <c:v>91.632974851498332</c:v>
                </c:pt>
                <c:pt idx="55">
                  <c:v>91.638927559571002</c:v>
                </c:pt>
                <c:pt idx="56">
                  <c:v>91.643729386682452</c:v>
                </c:pt>
                <c:pt idx="57">
                  <c:v>91.647440588373215</c:v>
                </c:pt>
                <c:pt idx="58">
                  <c:v>91.650117339866014</c:v>
                </c:pt>
                <c:pt idx="59">
                  <c:v>91.651812075623894</c:v>
                </c:pt>
                <c:pt idx="60">
                  <c:v>91.652573795554744</c:v>
                </c:pt>
                <c:pt idx="61">
                  <c:v>91.652448341622659</c:v>
                </c:pt>
                <c:pt idx="62">
                  <c:v>91.651478648149947</c:v>
                </c:pt>
                <c:pt idx="63">
                  <c:v>91.649704968683793</c:v>
                </c:pt>
                <c:pt idx="64">
                  <c:v>91.647165081948131</c:v>
                </c:pt>
                <c:pt idx="65">
                  <c:v>91.643894479095948</c:v>
                </c:pt>
                <c:pt idx="66">
                  <c:v>91.639926534213586</c:v>
                </c:pt>
                <c:pt idx="67">
                  <c:v>91.635292659798907</c:v>
                </c:pt>
                <c:pt idx="68">
                  <c:v>91.630022448735758</c:v>
                </c:pt>
                <c:pt idx="69">
                  <c:v>91.6241438041137</c:v>
                </c:pt>
                <c:pt idx="70">
                  <c:v>91.61768305808971</c:v>
                </c:pt>
                <c:pt idx="71">
                  <c:v>91.610665080856393</c:v>
                </c:pt>
                <c:pt idx="72">
                  <c:v>91.603113380663771</c:v>
                </c:pt>
                <c:pt idx="73">
                  <c:v>91.595050195740498</c:v>
                </c:pt>
                <c:pt idx="74">
                  <c:v>91.586496578869443</c:v>
                </c:pt>
                <c:pt idx="75">
                  <c:v>91.577472475293447</c:v>
                </c:pt>
                <c:pt idx="76">
                  <c:v>91.567996794557203</c:v>
                </c:pt>
                <c:pt idx="77">
                  <c:v>91.558087476828547</c:v>
                </c:pt>
                <c:pt idx="78">
                  <c:v>91.547761554188028</c:v>
                </c:pt>
                <c:pt idx="79">
                  <c:v>91.537035207326582</c:v>
                </c:pt>
                <c:pt idx="80">
                  <c:v>91.525923818047573</c:v>
                </c:pt>
                <c:pt idx="81">
                  <c:v>91.514442017931202</c:v>
                </c:pt>
                <c:pt idx="82">
                  <c:v>91.502603733484449</c:v>
                </c:pt>
                <c:pt idx="83">
                  <c:v>91.490422228069207</c:v>
                </c:pt>
                <c:pt idx="84">
                  <c:v>91.477910140873647</c:v>
                </c:pt>
                <c:pt idx="85">
                  <c:v>91.465079523167418</c:v>
                </c:pt>
                <c:pt idx="86">
                  <c:v>91.451941872058626</c:v>
                </c:pt>
                <c:pt idx="87">
                  <c:v>91.438508161951603</c:v>
                </c:pt>
                <c:pt idx="88">
                  <c:v>91.424788873885703</c:v>
                </c:pt>
                <c:pt idx="89">
                  <c:v>91.410794022920143</c:v>
                </c:pt>
                <c:pt idx="90">
                  <c:v>91.396533183714794</c:v>
                </c:pt>
                <c:pt idx="91">
                  <c:v>91.382015514444163</c:v>
                </c:pt>
                <c:pt idx="92">
                  <c:v>91.367249779169953</c:v>
                </c:pt>
                <c:pt idx="93">
                  <c:v>91.352244368786899</c:v>
                </c:pt>
                <c:pt idx="94">
                  <c:v>91.337007320646663</c:v>
                </c:pt>
                <c:pt idx="95">
                  <c:v>91.321546336956516</c:v>
                </c:pt>
                <c:pt idx="96">
                  <c:v>91.305868802040806</c:v>
                </c:pt>
                <c:pt idx="97">
                  <c:v>91.289981798546521</c:v>
                </c:pt>
                <c:pt idx="98">
                  <c:v>91.273892122667561</c:v>
                </c:pt>
                <c:pt idx="99">
                  <c:v>91.257606298456125</c:v>
                </c:pt>
                <c:pt idx="100">
                  <c:v>91.241130591284971</c:v>
                </c:pt>
                <c:pt idx="101">
                  <c:v>91.224471020518081</c:v>
                </c:pt>
                <c:pt idx="102">
                  <c:v>91.207633371443919</c:v>
                </c:pt>
                <c:pt idx="103">
                  <c:v>91.190623206520868</c:v>
                </c:pt>
                <c:pt idx="104">
                  <c:v>91.173445875980548</c:v>
                </c:pt>
                <c:pt idx="105">
                  <c:v>91.156106527831284</c:v>
                </c:pt>
                <c:pt idx="106">
                  <c:v>91.138610117301226</c:v>
                </c:pt>
                <c:pt idx="107">
                  <c:v>91.120961415757193</c:v>
                </c:pt>
                <c:pt idx="108">
                  <c:v>91.103165019132931</c:v>
                </c:pt>
                <c:pt idx="109">
                  <c:v>91.085225355898018</c:v>
                </c:pt>
                <c:pt idx="110">
                  <c:v>91.067146694596303</c:v>
                </c:pt>
                <c:pt idx="111">
                  <c:v>91.048933150980787</c:v>
                </c:pt>
                <c:pt idx="112">
                  <c:v>91.030588694770046</c:v>
                </c:pt>
                <c:pt idx="113">
                  <c:v>91.0121171560492</c:v>
                </c:pt>
                <c:pt idx="114">
                  <c:v>90.993522231337181</c:v>
                </c:pt>
                <c:pt idx="115">
                  <c:v>90.974807489340407</c:v>
                </c:pt>
                <c:pt idx="116">
                  <c:v>90.955976376411613</c:v>
                </c:pt>
                <c:pt idx="117">
                  <c:v>90.937032221731343</c:v>
                </c:pt>
                <c:pt idx="118">
                  <c:v>90.917978242228259</c:v>
                </c:pt>
                <c:pt idx="119">
                  <c:v>90.898817547253742</c:v>
                </c:pt>
                <c:pt idx="120">
                  <c:v>90.879553143024751</c:v>
                </c:pt>
                <c:pt idx="121">
                  <c:v>90.860187936848348</c:v>
                </c:pt>
                <c:pt idx="122">
                  <c:v>90.840724741140349</c:v>
                </c:pt>
                <c:pt idx="123">
                  <c:v>90.821166277249588</c:v>
                </c:pt>
                <c:pt idx="124">
                  <c:v>90.801515179098715</c:v>
                </c:pt>
                <c:pt idx="125">
                  <c:v>90.781773996651836</c:v>
                </c:pt>
                <c:pt idx="126">
                  <c:v>90.761945199218346</c:v>
                </c:pt>
                <c:pt idx="127">
                  <c:v>90.742031178602019</c:v>
                </c:pt>
                <c:pt idx="128">
                  <c:v>90.722034252103697</c:v>
                </c:pt>
                <c:pt idx="129">
                  <c:v>90.701956665385623</c:v>
                </c:pt>
                <c:pt idx="130">
                  <c:v>90.681800595204365</c:v>
                </c:pt>
                <c:pt idx="131">
                  <c:v>90.661568152019967</c:v>
                </c:pt>
                <c:pt idx="132">
                  <c:v>90.641261382487116</c:v>
                </c:pt>
                <c:pt idx="133">
                  <c:v>90.620882271835143</c:v>
                </c:pt>
                <c:pt idx="134">
                  <c:v>90.600432746142062</c:v>
                </c:pt>
                <c:pt idx="135">
                  <c:v>90.579914674508444</c:v>
                </c:pt>
                <c:pt idx="136">
                  <c:v>90.559329871136214</c:v>
                </c:pt>
                <c:pt idx="137">
                  <c:v>90.538680097316941</c:v>
                </c:pt>
                <c:pt idx="138">
                  <c:v>90.517967063334638</c:v>
                </c:pt>
                <c:pt idx="139">
                  <c:v>90.497192430286617</c:v>
                </c:pt>
                <c:pt idx="140">
                  <c:v>90.476357811827427</c:v>
                </c:pt>
                <c:pt idx="141">
                  <c:v>90.45546477583872</c:v>
                </c:pt>
                <c:pt idx="142">
                  <c:v>90.434514846029344</c:v>
                </c:pt>
                <c:pt idx="143">
                  <c:v>90.413509503468688</c:v>
                </c:pt>
                <c:pt idx="144">
                  <c:v>90.392450188056657</c:v>
                </c:pt>
                <c:pt idx="145">
                  <c:v>90.371338299933257</c:v>
                </c:pt>
                <c:pt idx="146">
                  <c:v>90.350175200830691</c:v>
                </c:pt>
                <c:pt idx="147">
                  <c:v>90.328962215370623</c:v>
                </c:pt>
                <c:pt idx="148">
                  <c:v>90.307700632309377</c:v>
                </c:pt>
                <c:pt idx="149">
                  <c:v>90.286391705733067</c:v>
                </c:pt>
                <c:pt idx="150">
                  <c:v>90.265036656205581</c:v>
                </c:pt>
              </c:numCache>
            </c:numRef>
          </c:yVal>
          <c:smooth val="0"/>
          <c:extLst>
            <c:ext xmlns:c16="http://schemas.microsoft.com/office/drawing/2014/chart" uri="{C3380CC4-5D6E-409C-BE32-E72D297353CC}">
              <c16:uniqueId val="{00000000-EBB2-49C9-A014-1F538461E4EA}"/>
            </c:ext>
          </c:extLst>
        </c:ser>
        <c:dLbls>
          <c:showLegendKey val="0"/>
          <c:showVal val="0"/>
          <c:showCatName val="0"/>
          <c:showSerName val="0"/>
          <c:showPercent val="0"/>
          <c:showBubbleSize val="0"/>
        </c:dLbls>
        <c:axId val="144893056"/>
        <c:axId val="1448945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Eff_vs_IOUT!$AI$7:$AI$157</c:f>
              <c:numCache>
                <c:formatCode>General</c:formatCode>
                <c:ptCount val="151"/>
                <c:pt idx="0">
                  <c:v>0</c:v>
                </c:pt>
                <c:pt idx="1">
                  <c:v>4.2981071802089928E-4</c:v>
                </c:pt>
                <c:pt idx="2">
                  <c:v>8.6348602691494586E-4</c:v>
                </c:pt>
                <c:pt idx="3">
                  <c:v>1.2996771476841136E-3</c:v>
                </c:pt>
                <c:pt idx="4">
                  <c:v>1.7379027674815481E-3</c:v>
                </c:pt>
                <c:pt idx="5">
                  <c:v>2.1778847140606259E-3</c:v>
                </c:pt>
                <c:pt idx="6">
                  <c:v>2.6194352985965015E-3</c:v>
                </c:pt>
                <c:pt idx="7">
                  <c:v>3.0624167339484308E-3</c:v>
                </c:pt>
                <c:pt idx="8">
                  <c:v>3.5067222619482746E-3</c:v>
                </c:pt>
                <c:pt idx="9">
                  <c:v>3.9522659914788738E-3</c:v>
                </c:pt>
                <c:pt idx="10">
                  <c:v>4.3989768676091648E-3</c:v>
                </c:pt>
                <c:pt idx="11">
                  <c:v>4.8467948329568048E-3</c:v>
                </c:pt>
                <c:pt idx="12">
                  <c:v>5.2956682514159695E-3</c:v>
                </c:pt>
                <c:pt idx="13">
                  <c:v>5.7455521055976974E-3</c:v>
                </c:pt>
                <c:pt idx="14">
                  <c:v>6.1964066924823655E-3</c:v>
                </c:pt>
                <c:pt idx="15">
                  <c:v>6.648196653014562E-3</c:v>
                </c:pt>
                <c:pt idx="16">
                  <c:v>7.1008902331098009E-3</c:v>
                </c:pt>
                <c:pt idx="17">
                  <c:v>7.5544587095910951E-3</c:v>
                </c:pt>
                <c:pt idx="18">
                  <c:v>8.008875936532725E-3</c:v>
                </c:pt>
                <c:pt idx="19">
                  <c:v>8.464117981356184E-3</c:v>
                </c:pt>
                <c:pt idx="20">
                  <c:v>8.9201628290567735E-3</c:v>
                </c:pt>
                <c:pt idx="21">
                  <c:v>9.3769901389852538E-3</c:v>
                </c:pt>
                <c:pt idx="22">
                  <c:v>9.834581042752687E-3</c:v>
                </c:pt>
                <c:pt idx="23">
                  <c:v>1.0292917974726933E-2</c:v>
                </c:pt>
                <c:pt idx="24">
                  <c:v>1.0751984528658134E-2</c:v>
                </c:pt>
                <c:pt idx="25">
                  <c:v>1.121176533547126E-2</c:v>
                </c:pt>
                <c:pt idx="26">
                  <c:v>1.167224595836909E-2</c:v>
                </c:pt>
                <c:pt idx="27">
                  <c:v>1.2133412802214841E-2</c:v>
                </c:pt>
                <c:pt idx="28">
                  <c:v>1.2595253034787922E-2</c:v>
                </c:pt>
                <c:pt idx="29">
                  <c:v>1.30577545179844E-2</c:v>
                </c:pt>
                <c:pt idx="30">
                  <c:v>1.3520905747403193E-2</c:v>
                </c:pt>
                <c:pt idx="31">
                  <c:v>1.3984695799047828E-2</c:v>
                </c:pt>
                <c:pt idx="32">
                  <c:v>1.4449114282101029E-2</c:v>
                </c:pt>
                <c:pt idx="33">
                  <c:v>1.4914151296910438E-2</c:v>
                </c:pt>
                <c:pt idx="34">
                  <c:v>1.5379797397468524E-2</c:v>
                </c:pt>
                <c:pt idx="35">
                  <c:v>1.5846043557786904E-2</c:v>
                </c:pt>
                <c:pt idx="36">
                  <c:v>1.6312881141660174E-2</c:v>
                </c:pt>
                <c:pt idx="37">
                  <c:v>1.678030187539218E-2</c:v>
                </c:pt>
                <c:pt idx="38">
                  <c:v>1.7248297823121764E-2</c:v>
                </c:pt>
                <c:pt idx="39">
                  <c:v>1.7716861364437692E-2</c:v>
                </c:pt>
                <c:pt idx="40">
                  <c:v>1.8185985174016851E-2</c:v>
                </c:pt>
                <c:pt idx="41">
                  <c:v>1.8655662203056336E-2</c:v>
                </c:pt>
                <c:pt idx="42">
                  <c:v>1.91258856623014E-2</c:v>
                </c:pt>
                <c:pt idx="43">
                  <c:v>1.959664900649687E-2</c:v>
                </c:pt>
                <c:pt idx="44">
                  <c:v>2.0067945920112334E-2</c:v>
                </c:pt>
                <c:pt idx="45">
                  <c:v>2.0539770304209844E-2</c:v>
                </c:pt>
                <c:pt idx="46">
                  <c:v>2.1012116264339235E-2</c:v>
                </c:pt>
                <c:pt idx="47">
                  <c:v>2.1484978099359932E-2</c:v>
                </c:pt>
                <c:pt idx="48">
                  <c:v>2.1958350291100003E-2</c:v>
                </c:pt>
                <c:pt idx="49">
                  <c:v>2.2713945050231252E-2</c:v>
                </c:pt>
                <c:pt idx="50">
                  <c:v>2.3200227368476743E-2</c:v>
                </c:pt>
                <c:pt idx="51">
                  <c:v>2.3687744769026745E-2</c:v>
                </c:pt>
                <c:pt idx="52">
                  <c:v>2.4176497251881288E-2</c:v>
                </c:pt>
                <c:pt idx="53">
                  <c:v>2.4666484817040354E-2</c:v>
                </c:pt>
                <c:pt idx="54">
                  <c:v>2.5157707464503951E-2</c:v>
                </c:pt>
                <c:pt idx="55">
                  <c:v>2.565016519427207E-2</c:v>
                </c:pt>
                <c:pt idx="56">
                  <c:v>2.6143858006344715E-2</c:v>
                </c:pt>
                <c:pt idx="57">
                  <c:v>2.6638785900721888E-2</c:v>
                </c:pt>
                <c:pt idx="58">
                  <c:v>2.713494887740359E-2</c:v>
                </c:pt>
                <c:pt idx="59">
                  <c:v>2.7632346936389815E-2</c:v>
                </c:pt>
                <c:pt idx="60">
                  <c:v>2.813098007768057E-2</c:v>
                </c:pt>
                <c:pt idx="61">
                  <c:v>2.8630848301275845E-2</c:v>
                </c:pt>
                <c:pt idx="62">
                  <c:v>2.9131951607175657E-2</c:v>
                </c:pt>
                <c:pt idx="63">
                  <c:v>2.9634289995379981E-2</c:v>
                </c:pt>
                <c:pt idx="64">
                  <c:v>3.0137863465888842E-2</c:v>
                </c:pt>
                <c:pt idx="65">
                  <c:v>3.0642672018702237E-2</c:v>
                </c:pt>
                <c:pt idx="66">
                  <c:v>3.1148715653820151E-2</c:v>
                </c:pt>
                <c:pt idx="67">
                  <c:v>3.1655994371242585E-2</c:v>
                </c:pt>
                <c:pt idx="68">
                  <c:v>3.2164508170969559E-2</c:v>
                </c:pt>
                <c:pt idx="69">
                  <c:v>3.2674257053001053E-2</c:v>
                </c:pt>
                <c:pt idx="70">
                  <c:v>3.3185241017337067E-2</c:v>
                </c:pt>
                <c:pt idx="71">
                  <c:v>3.369746006397762E-2</c:v>
                </c:pt>
                <c:pt idx="72">
                  <c:v>3.4210914192922694E-2</c:v>
                </c:pt>
                <c:pt idx="73">
                  <c:v>3.4725603404172294E-2</c:v>
                </c:pt>
                <c:pt idx="74">
                  <c:v>3.524152769772642E-2</c:v>
                </c:pt>
                <c:pt idx="75">
                  <c:v>3.5758687073585066E-2</c:v>
                </c:pt>
                <c:pt idx="76">
                  <c:v>3.6277081531748259E-2</c:v>
                </c:pt>
                <c:pt idx="77">
                  <c:v>3.6796711072215965E-2</c:v>
                </c:pt>
                <c:pt idx="78">
                  <c:v>3.7317575694988191E-2</c:v>
                </c:pt>
                <c:pt idx="79">
                  <c:v>3.7839675400064957E-2</c:v>
                </c:pt>
                <c:pt idx="80">
                  <c:v>3.8363010187446256E-2</c:v>
                </c:pt>
                <c:pt idx="81">
                  <c:v>3.8887580057132068E-2</c:v>
                </c:pt>
                <c:pt idx="82">
                  <c:v>3.9413385009122399E-2</c:v>
                </c:pt>
                <c:pt idx="83">
                  <c:v>3.9940425043417271E-2</c:v>
                </c:pt>
                <c:pt idx="84">
                  <c:v>4.046870016001667E-2</c:v>
                </c:pt>
                <c:pt idx="85">
                  <c:v>4.0998210358920595E-2</c:v>
                </c:pt>
                <c:pt idx="86">
                  <c:v>4.1528955640129039E-2</c:v>
                </c:pt>
                <c:pt idx="87">
                  <c:v>4.2060936003642024E-2</c:v>
                </c:pt>
                <c:pt idx="88">
                  <c:v>4.2594151449459508E-2</c:v>
                </c:pt>
                <c:pt idx="89">
                  <c:v>4.3128601977581539E-2</c:v>
                </c:pt>
                <c:pt idx="90">
                  <c:v>4.366428758800811E-2</c:v>
                </c:pt>
                <c:pt idx="91">
                  <c:v>4.4201208280739181E-2</c:v>
                </c:pt>
                <c:pt idx="92">
                  <c:v>4.4739364055774798E-2</c:v>
                </c:pt>
                <c:pt idx="93">
                  <c:v>4.5278754913114921E-2</c:v>
                </c:pt>
                <c:pt idx="94">
                  <c:v>4.5819380852759585E-2</c:v>
                </c:pt>
                <c:pt idx="95">
                  <c:v>4.6361241874708789E-2</c:v>
                </c:pt>
                <c:pt idx="96">
                  <c:v>4.6904337978962492E-2</c:v>
                </c:pt>
                <c:pt idx="97">
                  <c:v>4.7448669165520742E-2</c:v>
                </c:pt>
                <c:pt idx="98">
                  <c:v>4.7994235434383511E-2</c:v>
                </c:pt>
                <c:pt idx="99">
                  <c:v>4.8541036785550801E-2</c:v>
                </c:pt>
                <c:pt idx="100">
                  <c:v>4.9089073219022637E-2</c:v>
                </c:pt>
                <c:pt idx="101">
                  <c:v>4.963834473479898E-2</c:v>
                </c:pt>
                <c:pt idx="102">
                  <c:v>5.0188851332879841E-2</c:v>
                </c:pt>
                <c:pt idx="103">
                  <c:v>5.0740593013265257E-2</c:v>
                </c:pt>
                <c:pt idx="104">
                  <c:v>5.1293569775955186E-2</c:v>
                </c:pt>
                <c:pt idx="105">
                  <c:v>5.1847781620949634E-2</c:v>
                </c:pt>
                <c:pt idx="106">
                  <c:v>5.240322854824863E-2</c:v>
                </c:pt>
                <c:pt idx="107">
                  <c:v>5.2959910557852125E-2</c:v>
                </c:pt>
                <c:pt idx="108">
                  <c:v>5.3517827649760173E-2</c:v>
                </c:pt>
                <c:pt idx="109">
                  <c:v>5.4076979823972741E-2</c:v>
                </c:pt>
                <c:pt idx="110">
                  <c:v>5.4637367080489836E-2</c:v>
                </c:pt>
                <c:pt idx="111">
                  <c:v>5.5198989419311451E-2</c:v>
                </c:pt>
                <c:pt idx="112">
                  <c:v>5.5761846840437584E-2</c:v>
                </c:pt>
                <c:pt idx="113">
                  <c:v>5.6325939343868259E-2</c:v>
                </c:pt>
                <c:pt idx="114">
                  <c:v>5.6891266929603466E-2</c:v>
                </c:pt>
                <c:pt idx="115">
                  <c:v>5.7457829597643187E-2</c:v>
                </c:pt>
                <c:pt idx="116">
                  <c:v>5.8025627347987441E-2</c:v>
                </c:pt>
                <c:pt idx="117">
                  <c:v>5.8594660180636207E-2</c:v>
                </c:pt>
                <c:pt idx="118">
                  <c:v>5.9164928095589514E-2</c:v>
                </c:pt>
                <c:pt idx="119">
                  <c:v>5.9736431092847347E-2</c:v>
                </c:pt>
                <c:pt idx="120">
                  <c:v>6.0309169172409714E-2</c:v>
                </c:pt>
                <c:pt idx="121">
                  <c:v>6.0883142334276601E-2</c:v>
                </c:pt>
                <c:pt idx="122">
                  <c:v>6.1458350578448007E-2</c:v>
                </c:pt>
                <c:pt idx="123">
                  <c:v>6.2034793904923953E-2</c:v>
                </c:pt>
                <c:pt idx="124">
                  <c:v>6.2612472313704412E-2</c:v>
                </c:pt>
                <c:pt idx="125">
                  <c:v>6.3191385804789404E-2</c:v>
                </c:pt>
                <c:pt idx="126">
                  <c:v>6.377153437817891E-2</c:v>
                </c:pt>
                <c:pt idx="127">
                  <c:v>6.4352918033872955E-2</c:v>
                </c:pt>
                <c:pt idx="128">
                  <c:v>6.4935536771871527E-2</c:v>
                </c:pt>
                <c:pt idx="129">
                  <c:v>6.5519390592174626E-2</c:v>
                </c:pt>
                <c:pt idx="130">
                  <c:v>6.6104479494782264E-2</c:v>
                </c:pt>
                <c:pt idx="131">
                  <c:v>6.6690803479694416E-2</c:v>
                </c:pt>
                <c:pt idx="132">
                  <c:v>6.7278362546911094E-2</c:v>
                </c:pt>
                <c:pt idx="133">
                  <c:v>6.7867156696432299E-2</c:v>
                </c:pt>
                <c:pt idx="134">
                  <c:v>6.845718592825803E-2</c:v>
                </c:pt>
                <c:pt idx="135">
                  <c:v>6.9048450242388315E-2</c:v>
                </c:pt>
                <c:pt idx="136">
                  <c:v>6.9640949638823085E-2</c:v>
                </c:pt>
                <c:pt idx="137">
                  <c:v>7.0234684117562382E-2</c:v>
                </c:pt>
                <c:pt idx="138">
                  <c:v>7.0829653678606233E-2</c:v>
                </c:pt>
                <c:pt idx="139">
                  <c:v>7.1425858321954597E-2</c:v>
                </c:pt>
                <c:pt idx="140">
                  <c:v>7.2023298047607473E-2</c:v>
                </c:pt>
                <c:pt idx="141">
                  <c:v>7.2621972855564904E-2</c:v>
                </c:pt>
                <c:pt idx="142">
                  <c:v>7.3221882745826861E-2</c:v>
                </c:pt>
                <c:pt idx="143">
                  <c:v>7.382302771839333E-2</c:v>
                </c:pt>
                <c:pt idx="144">
                  <c:v>7.442540777326434E-2</c:v>
                </c:pt>
                <c:pt idx="145">
                  <c:v>7.5029022910439863E-2</c:v>
                </c:pt>
                <c:pt idx="146">
                  <c:v>7.5633873129919912E-2</c:v>
                </c:pt>
                <c:pt idx="147">
                  <c:v>7.6239958431704502E-2</c:v>
                </c:pt>
                <c:pt idx="148">
                  <c:v>7.6847278815793604E-2</c:v>
                </c:pt>
                <c:pt idx="149">
                  <c:v>7.7455834282187247E-2</c:v>
                </c:pt>
                <c:pt idx="150">
                  <c:v>7.8065624830885388E-2</c:v>
                </c:pt>
              </c:numCache>
            </c:numRef>
          </c:yVal>
          <c:smooth val="1"/>
          <c:extLst>
            <c:ext xmlns:c16="http://schemas.microsoft.com/office/drawing/2014/chart" uri="{C3380CC4-5D6E-409C-BE32-E72D297353CC}">
              <c16:uniqueId val="{00000001-EBB2-49C9-A014-1F538461E4EA}"/>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Eff_vs_IOUT!$AN$7:$AN$157</c:f>
              <c:numCache>
                <c:formatCode>General</c:formatCode>
                <c:ptCount val="151"/>
                <c:pt idx="0">
                  <c:v>4.5814800000000003E-2</c:v>
                </c:pt>
                <c:pt idx="1">
                  <c:v>4.8498133333333339E-2</c:v>
                </c:pt>
                <c:pt idx="2">
                  <c:v>5.1181466666666668E-2</c:v>
                </c:pt>
                <c:pt idx="3">
                  <c:v>5.3864800000000004E-2</c:v>
                </c:pt>
                <c:pt idx="4">
                  <c:v>5.6548133333333334E-2</c:v>
                </c:pt>
                <c:pt idx="5">
                  <c:v>5.923146666666667E-2</c:v>
                </c:pt>
                <c:pt idx="6">
                  <c:v>6.1914800000000006E-2</c:v>
                </c:pt>
                <c:pt idx="7">
                  <c:v>6.4598133333333335E-2</c:v>
                </c:pt>
                <c:pt idx="8">
                  <c:v>6.7281466666666678E-2</c:v>
                </c:pt>
                <c:pt idx="9">
                  <c:v>6.9964800000000008E-2</c:v>
                </c:pt>
                <c:pt idx="10">
                  <c:v>7.2648133333333337E-2</c:v>
                </c:pt>
                <c:pt idx="11">
                  <c:v>7.5331466666666666E-2</c:v>
                </c:pt>
                <c:pt idx="12">
                  <c:v>7.8014800000000009E-2</c:v>
                </c:pt>
                <c:pt idx="13">
                  <c:v>8.0698133333333338E-2</c:v>
                </c:pt>
                <c:pt idx="14">
                  <c:v>8.3381466666666668E-2</c:v>
                </c:pt>
                <c:pt idx="15">
                  <c:v>8.6064800000000011E-2</c:v>
                </c:pt>
                <c:pt idx="16">
                  <c:v>8.874813333333334E-2</c:v>
                </c:pt>
                <c:pt idx="17">
                  <c:v>9.1431466666666669E-2</c:v>
                </c:pt>
                <c:pt idx="18">
                  <c:v>9.4114800000000012E-2</c:v>
                </c:pt>
                <c:pt idx="19">
                  <c:v>9.6798133333333342E-2</c:v>
                </c:pt>
                <c:pt idx="20">
                  <c:v>9.9481466666666671E-2</c:v>
                </c:pt>
                <c:pt idx="21">
                  <c:v>0.10216480000000001</c:v>
                </c:pt>
                <c:pt idx="22">
                  <c:v>0.10484813333333334</c:v>
                </c:pt>
                <c:pt idx="23">
                  <c:v>0.10753146666666669</c:v>
                </c:pt>
                <c:pt idx="24">
                  <c:v>0.11021480000000002</c:v>
                </c:pt>
                <c:pt idx="25">
                  <c:v>0.11289813333333334</c:v>
                </c:pt>
                <c:pt idx="26">
                  <c:v>0.11558146666666667</c:v>
                </c:pt>
                <c:pt idx="27">
                  <c:v>0.1182648</c:v>
                </c:pt>
                <c:pt idx="28">
                  <c:v>0.12094813333333333</c:v>
                </c:pt>
                <c:pt idx="29">
                  <c:v>0.12363146666666668</c:v>
                </c:pt>
                <c:pt idx="30">
                  <c:v>0.1263148</c:v>
                </c:pt>
                <c:pt idx="31">
                  <c:v>0.12899813333333335</c:v>
                </c:pt>
                <c:pt idx="32">
                  <c:v>0.13168146666666669</c:v>
                </c:pt>
                <c:pt idx="33">
                  <c:v>0.13436480000000001</c:v>
                </c:pt>
                <c:pt idx="34">
                  <c:v>0.13704813333333332</c:v>
                </c:pt>
                <c:pt idx="35">
                  <c:v>0.13973146666666666</c:v>
                </c:pt>
                <c:pt idx="36">
                  <c:v>0.14241480000000001</c:v>
                </c:pt>
                <c:pt idx="37">
                  <c:v>0.14509813333333335</c:v>
                </c:pt>
                <c:pt idx="38">
                  <c:v>0.14778146666666669</c:v>
                </c:pt>
                <c:pt idx="39">
                  <c:v>0.15046480000000001</c:v>
                </c:pt>
                <c:pt idx="40">
                  <c:v>0.15314813333333333</c:v>
                </c:pt>
                <c:pt idx="41">
                  <c:v>0.15583146666666667</c:v>
                </c:pt>
                <c:pt idx="42">
                  <c:v>0.15851480000000001</c:v>
                </c:pt>
                <c:pt idx="43">
                  <c:v>0.16119813333333335</c:v>
                </c:pt>
                <c:pt idx="44">
                  <c:v>0.16388146666666667</c:v>
                </c:pt>
                <c:pt idx="45">
                  <c:v>0.16656480000000001</c:v>
                </c:pt>
                <c:pt idx="46">
                  <c:v>0.16924813333333336</c:v>
                </c:pt>
                <c:pt idx="47">
                  <c:v>0.1719314666666667</c:v>
                </c:pt>
                <c:pt idx="48">
                  <c:v>0.17461480000000001</c:v>
                </c:pt>
                <c:pt idx="49">
                  <c:v>0.17729813333333333</c:v>
                </c:pt>
                <c:pt idx="50">
                  <c:v>0.1799814666666667</c:v>
                </c:pt>
                <c:pt idx="51">
                  <c:v>0.18266480000000002</c:v>
                </c:pt>
                <c:pt idx="52">
                  <c:v>0.18534813333333333</c:v>
                </c:pt>
                <c:pt idx="53">
                  <c:v>0.1880314666666667</c:v>
                </c:pt>
                <c:pt idx="54">
                  <c:v>0.19071480000000002</c:v>
                </c:pt>
                <c:pt idx="55">
                  <c:v>0.19339813333333333</c:v>
                </c:pt>
                <c:pt idx="56">
                  <c:v>0.19608146666666665</c:v>
                </c:pt>
                <c:pt idx="57">
                  <c:v>0.19876480000000002</c:v>
                </c:pt>
                <c:pt idx="58">
                  <c:v>0.20144813333333333</c:v>
                </c:pt>
                <c:pt idx="59">
                  <c:v>0.20413146666666671</c:v>
                </c:pt>
                <c:pt idx="60">
                  <c:v>0.20681480000000002</c:v>
                </c:pt>
                <c:pt idx="61">
                  <c:v>0.20949813333333334</c:v>
                </c:pt>
                <c:pt idx="62">
                  <c:v>0.21218146666666671</c:v>
                </c:pt>
                <c:pt idx="63">
                  <c:v>0.21486480000000002</c:v>
                </c:pt>
                <c:pt idx="64">
                  <c:v>0.21754813333333334</c:v>
                </c:pt>
                <c:pt idx="65">
                  <c:v>0.22023146666666671</c:v>
                </c:pt>
                <c:pt idx="66">
                  <c:v>0.22291480000000002</c:v>
                </c:pt>
                <c:pt idx="67">
                  <c:v>0.22559813333333334</c:v>
                </c:pt>
                <c:pt idx="68">
                  <c:v>0.22828146666666665</c:v>
                </c:pt>
                <c:pt idx="69">
                  <c:v>0.23096480000000003</c:v>
                </c:pt>
                <c:pt idx="70">
                  <c:v>0.23364813333333334</c:v>
                </c:pt>
                <c:pt idx="71">
                  <c:v>0.23633146666666671</c:v>
                </c:pt>
                <c:pt idx="72">
                  <c:v>0.23901480000000003</c:v>
                </c:pt>
                <c:pt idx="73">
                  <c:v>0.24169813333333334</c:v>
                </c:pt>
                <c:pt idx="74">
                  <c:v>0.24438146666666671</c:v>
                </c:pt>
                <c:pt idx="75">
                  <c:v>0.24706480000000003</c:v>
                </c:pt>
                <c:pt idx="76">
                  <c:v>0.24974813333333334</c:v>
                </c:pt>
                <c:pt idx="77">
                  <c:v>0.25243146666666672</c:v>
                </c:pt>
                <c:pt idx="78">
                  <c:v>0.25511480000000003</c:v>
                </c:pt>
                <c:pt idx="79">
                  <c:v>0.25779813333333335</c:v>
                </c:pt>
                <c:pt idx="80">
                  <c:v>0.26048146666666666</c:v>
                </c:pt>
                <c:pt idx="81">
                  <c:v>0.26316480000000003</c:v>
                </c:pt>
                <c:pt idx="82">
                  <c:v>0.26584813333333335</c:v>
                </c:pt>
                <c:pt idx="83">
                  <c:v>0.26853146666666666</c:v>
                </c:pt>
                <c:pt idx="84">
                  <c:v>0.27121480000000003</c:v>
                </c:pt>
                <c:pt idx="85">
                  <c:v>0.27389813333333335</c:v>
                </c:pt>
                <c:pt idx="86">
                  <c:v>0.27658146666666672</c:v>
                </c:pt>
                <c:pt idx="87">
                  <c:v>0.27926480000000004</c:v>
                </c:pt>
                <c:pt idx="88">
                  <c:v>0.28194813333333335</c:v>
                </c:pt>
                <c:pt idx="89">
                  <c:v>0.28463146666666667</c:v>
                </c:pt>
                <c:pt idx="90">
                  <c:v>0.28731480000000004</c:v>
                </c:pt>
                <c:pt idx="91">
                  <c:v>0.28999813333333335</c:v>
                </c:pt>
                <c:pt idx="92">
                  <c:v>0.29268146666666672</c:v>
                </c:pt>
                <c:pt idx="93">
                  <c:v>0.29536479999999998</c:v>
                </c:pt>
                <c:pt idx="94">
                  <c:v>0.29804813333333335</c:v>
                </c:pt>
                <c:pt idx="95">
                  <c:v>0.30073146666666667</c:v>
                </c:pt>
                <c:pt idx="96">
                  <c:v>0.30341480000000004</c:v>
                </c:pt>
                <c:pt idx="97">
                  <c:v>0.30609813333333336</c:v>
                </c:pt>
                <c:pt idx="98">
                  <c:v>0.30878146666666667</c:v>
                </c:pt>
                <c:pt idx="99">
                  <c:v>0.31146479999999999</c:v>
                </c:pt>
                <c:pt idx="100">
                  <c:v>0.31414813333333336</c:v>
                </c:pt>
                <c:pt idx="101">
                  <c:v>0.31683146666666667</c:v>
                </c:pt>
                <c:pt idx="102">
                  <c:v>0.31951479999999999</c:v>
                </c:pt>
                <c:pt idx="103">
                  <c:v>0.32219813333333336</c:v>
                </c:pt>
                <c:pt idx="104">
                  <c:v>0.32488146666666667</c:v>
                </c:pt>
                <c:pt idx="105">
                  <c:v>0.32756480000000004</c:v>
                </c:pt>
                <c:pt idx="106">
                  <c:v>0.33024813333333336</c:v>
                </c:pt>
                <c:pt idx="107">
                  <c:v>0.33293146666666668</c:v>
                </c:pt>
                <c:pt idx="108">
                  <c:v>0.33561479999999999</c:v>
                </c:pt>
                <c:pt idx="109">
                  <c:v>0.33829813333333336</c:v>
                </c:pt>
                <c:pt idx="110">
                  <c:v>0.34098146666666668</c:v>
                </c:pt>
                <c:pt idx="111">
                  <c:v>0.34366480000000005</c:v>
                </c:pt>
                <c:pt idx="112">
                  <c:v>0.34634813333333331</c:v>
                </c:pt>
                <c:pt idx="113">
                  <c:v>0.34903146666666668</c:v>
                </c:pt>
                <c:pt idx="114">
                  <c:v>0.35171479999999999</c:v>
                </c:pt>
                <c:pt idx="115">
                  <c:v>0.35439813333333336</c:v>
                </c:pt>
                <c:pt idx="116">
                  <c:v>0.35708146666666668</c:v>
                </c:pt>
                <c:pt idx="117">
                  <c:v>0.3597648</c:v>
                </c:pt>
                <c:pt idx="118">
                  <c:v>0.36244813333333337</c:v>
                </c:pt>
                <c:pt idx="119">
                  <c:v>0.36513146666666668</c:v>
                </c:pt>
                <c:pt idx="120">
                  <c:v>0.36781480000000005</c:v>
                </c:pt>
                <c:pt idx="121">
                  <c:v>0.37049813333333331</c:v>
                </c:pt>
                <c:pt idx="122">
                  <c:v>0.37318146666666668</c:v>
                </c:pt>
                <c:pt idx="123">
                  <c:v>0.3758648</c:v>
                </c:pt>
                <c:pt idx="124">
                  <c:v>0.37854813333333337</c:v>
                </c:pt>
                <c:pt idx="125">
                  <c:v>0.38123146666666669</c:v>
                </c:pt>
                <c:pt idx="126">
                  <c:v>0.3839148</c:v>
                </c:pt>
                <c:pt idx="127">
                  <c:v>0.38659813333333332</c:v>
                </c:pt>
                <c:pt idx="128">
                  <c:v>0.38928146666666669</c:v>
                </c:pt>
                <c:pt idx="129">
                  <c:v>0.39196480000000006</c:v>
                </c:pt>
                <c:pt idx="130">
                  <c:v>0.39464813333333337</c:v>
                </c:pt>
                <c:pt idx="131">
                  <c:v>0.39733146666666669</c:v>
                </c:pt>
                <c:pt idx="132">
                  <c:v>0.4000148</c:v>
                </c:pt>
                <c:pt idx="133">
                  <c:v>0.40269813333333337</c:v>
                </c:pt>
                <c:pt idx="134">
                  <c:v>0.40538146666666669</c:v>
                </c:pt>
                <c:pt idx="135">
                  <c:v>0.40806480000000006</c:v>
                </c:pt>
                <c:pt idx="136">
                  <c:v>0.41074813333333332</c:v>
                </c:pt>
                <c:pt idx="137">
                  <c:v>0.41343146666666669</c:v>
                </c:pt>
                <c:pt idx="138">
                  <c:v>0.41611480000000001</c:v>
                </c:pt>
                <c:pt idx="139">
                  <c:v>0.41879813333333338</c:v>
                </c:pt>
                <c:pt idx="140">
                  <c:v>0.42148146666666664</c:v>
                </c:pt>
                <c:pt idx="141">
                  <c:v>0.42416480000000001</c:v>
                </c:pt>
                <c:pt idx="142">
                  <c:v>0.42684813333333338</c:v>
                </c:pt>
                <c:pt idx="143">
                  <c:v>0.42953146666666669</c:v>
                </c:pt>
                <c:pt idx="144">
                  <c:v>0.43221480000000007</c:v>
                </c:pt>
                <c:pt idx="145">
                  <c:v>0.43489813333333333</c:v>
                </c:pt>
                <c:pt idx="146">
                  <c:v>0.4375814666666667</c:v>
                </c:pt>
                <c:pt idx="147">
                  <c:v>0.44026480000000001</c:v>
                </c:pt>
                <c:pt idx="148">
                  <c:v>0.44294813333333338</c:v>
                </c:pt>
                <c:pt idx="149">
                  <c:v>0.4456314666666667</c:v>
                </c:pt>
                <c:pt idx="150">
                  <c:v>0.44831480000000001</c:v>
                </c:pt>
              </c:numCache>
            </c:numRef>
          </c:yVal>
          <c:smooth val="1"/>
          <c:extLst>
            <c:ext xmlns:c16="http://schemas.microsoft.com/office/drawing/2014/chart" uri="{C3380CC4-5D6E-409C-BE32-E72D297353CC}">
              <c16:uniqueId val="{00000002-EBB2-49C9-A014-1F538461E4EA}"/>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Eff_vs_IOUT!$AO$7:$AO$157</c:f>
              <c:numCache>
                <c:formatCode>General</c:formatCode>
                <c:ptCount val="151"/>
                <c:pt idx="0">
                  <c:v>0</c:v>
                </c:pt>
                <c:pt idx="1">
                  <c:v>3.8081419179491834E-5</c:v>
                </c:pt>
                <c:pt idx="2">
                  <c:v>1.0771051895610451E-4</c:v>
                </c:pt>
                <c:pt idx="3">
                  <c:v>1.9787685852962322E-4</c:v>
                </c:pt>
                <c:pt idx="4">
                  <c:v>3.0465135343593467E-4</c:v>
                </c:pt>
                <c:pt idx="5">
                  <c:v>4.2576320982503984E-4</c:v>
                </c:pt>
                <c:pt idx="6">
                  <c:v>5.5968027402475092E-4</c:v>
                </c:pt>
                <c:pt idx="7">
                  <c:v>7.0527775304938492E-4</c:v>
                </c:pt>
                <c:pt idx="8">
                  <c:v>8.6168415164883589E-4</c:v>
                </c:pt>
                <c:pt idx="9">
                  <c:v>1.0281983178462798E-3</c:v>
                </c:pt>
                <c:pt idx="10">
                  <c:v>1.2042402113881464E-3</c:v>
                </c:pt>
                <c:pt idx="11">
                  <c:v>1.3893195679288001E-3</c:v>
                </c:pt>
                <c:pt idx="12">
                  <c:v>1.5830148682369858E-3</c:v>
                </c:pt>
                <c:pt idx="13">
                  <c:v>1.784958623423242E-3</c:v>
                </c:pt>
                <c:pt idx="14">
                  <c:v>1.9948267272049246E-3</c:v>
                </c:pt>
                <c:pt idx="15">
                  <c:v>2.2123305342317328E-3</c:v>
                </c:pt>
                <c:pt idx="16">
                  <c:v>2.4372108274874774E-3</c:v>
                </c:pt>
                <c:pt idx="17">
                  <c:v>2.6692331320579401E-3</c:v>
                </c:pt>
                <c:pt idx="18">
                  <c:v>2.9081840118148207E-3</c:v>
                </c:pt>
                <c:pt idx="19">
                  <c:v>3.1538680987703116E-3</c:v>
                </c:pt>
                <c:pt idx="20">
                  <c:v>3.4061056786003191E-3</c:v>
                </c:pt>
                <c:pt idx="21">
                  <c:v>3.6647307051886529E-3</c:v>
                </c:pt>
                <c:pt idx="22">
                  <c:v>3.9295891508704757E-3</c:v>
                </c:pt>
                <c:pt idx="23">
                  <c:v>4.2005376227303264E-3</c:v>
                </c:pt>
                <c:pt idx="24">
                  <c:v>4.4774421921980074E-3</c:v>
                </c:pt>
                <c:pt idx="25">
                  <c:v>4.7601773974364787E-3</c:v>
                </c:pt>
                <c:pt idx="26">
                  <c:v>5.0486253870399202E-3</c:v>
                </c:pt>
                <c:pt idx="27">
                  <c:v>5.3426751802998279E-3</c:v>
                </c:pt>
                <c:pt idx="28">
                  <c:v>5.6422220243950803E-3</c:v>
                </c:pt>
                <c:pt idx="29">
                  <c:v>5.9471668327629526E-3</c:v>
                </c:pt>
                <c:pt idx="30">
                  <c:v>6.2574156919252633E-3</c:v>
                </c:pt>
                <c:pt idx="31">
                  <c:v>6.572879426400554E-3</c:v>
                </c:pt>
                <c:pt idx="32">
                  <c:v>6.8934732131906888E-3</c:v>
                </c:pt>
                <c:pt idx="33">
                  <c:v>7.2191162388069623E-3</c:v>
                </c:pt>
                <c:pt idx="34">
                  <c:v>7.5497313929839037E-3</c:v>
                </c:pt>
                <c:pt idx="35">
                  <c:v>7.8852449941836742E-3</c:v>
                </c:pt>
                <c:pt idx="36">
                  <c:v>8.225586542770235E-3</c:v>
                </c:pt>
                <c:pt idx="37">
                  <c:v>8.5706884983669327E-3</c:v>
                </c:pt>
                <c:pt idx="38">
                  <c:v>8.9204860784336468E-3</c:v>
                </c:pt>
                <c:pt idx="39">
                  <c:v>9.2749170755317793E-3</c:v>
                </c:pt>
                <c:pt idx="40">
                  <c:v>9.6339216911051698E-3</c:v>
                </c:pt>
                <c:pt idx="41">
                  <c:v>9.9974423839058156E-3</c:v>
                </c:pt>
                <c:pt idx="42">
                  <c:v>1.0365423731445817E-2</c:v>
                </c:pt>
                <c:pt idx="43">
                  <c:v>1.073781230307079E-2</c:v>
                </c:pt>
                <c:pt idx="44">
                  <c:v>1.1114556543430401E-2</c:v>
                </c:pt>
                <c:pt idx="45">
                  <c:v>1.1495606665276074E-2</c:v>
                </c:pt>
                <c:pt idx="46">
                  <c:v>1.188091455064734E-2</c:v>
                </c:pt>
                <c:pt idx="47">
                  <c:v>1.2270433659621133E-2</c:v>
                </c:pt>
                <c:pt idx="48">
                  <c:v>1.2664118945895886E-2</c:v>
                </c:pt>
                <c:pt idx="49">
                  <c:v>1.5361661925159878E-2</c:v>
                </c:pt>
                <c:pt idx="50">
                  <c:v>1.5860735999233953E-2</c:v>
                </c:pt>
                <c:pt idx="51">
                  <c:v>1.6369892377834764E-2</c:v>
                </c:pt>
                <c:pt idx="52">
                  <c:v>1.6889131060962344E-2</c:v>
                </c:pt>
                <c:pt idx="53">
                  <c:v>1.7418452048616657E-2</c:v>
                </c:pt>
                <c:pt idx="54">
                  <c:v>1.7957855340797739E-2</c:v>
                </c:pt>
                <c:pt idx="55">
                  <c:v>1.8507340937505556E-2</c:v>
                </c:pt>
                <c:pt idx="56">
                  <c:v>1.9066908838740119E-2</c:v>
                </c:pt>
                <c:pt idx="57">
                  <c:v>1.9636559044501428E-2</c:v>
                </c:pt>
                <c:pt idx="58">
                  <c:v>2.02162915547895E-2</c:v>
                </c:pt>
                <c:pt idx="59">
                  <c:v>2.0806106369604324E-2</c:v>
                </c:pt>
                <c:pt idx="60">
                  <c:v>2.1406003488945897E-2</c:v>
                </c:pt>
                <c:pt idx="61">
                  <c:v>2.2015982912814192E-2</c:v>
                </c:pt>
                <c:pt idx="62">
                  <c:v>2.2636044641209257E-2</c:v>
                </c:pt>
                <c:pt idx="63">
                  <c:v>2.3266188674131067E-2</c:v>
                </c:pt>
                <c:pt idx="64">
                  <c:v>2.3906415011579623E-2</c:v>
                </c:pt>
                <c:pt idx="65">
                  <c:v>2.4556723653554945E-2</c:v>
                </c:pt>
                <c:pt idx="66">
                  <c:v>2.5217114600056982E-2</c:v>
                </c:pt>
                <c:pt idx="67">
                  <c:v>2.5887587851085796E-2</c:v>
                </c:pt>
                <c:pt idx="68">
                  <c:v>2.6568143406641358E-2</c:v>
                </c:pt>
                <c:pt idx="69">
                  <c:v>2.7258781266723667E-2</c:v>
                </c:pt>
                <c:pt idx="70">
                  <c:v>2.7959501431332707E-2</c:v>
                </c:pt>
                <c:pt idx="71">
                  <c:v>2.8670303900468513E-2</c:v>
                </c:pt>
                <c:pt idx="72">
                  <c:v>2.9391188674131066E-2</c:v>
                </c:pt>
                <c:pt idx="73">
                  <c:v>3.0122155752320367E-2</c:v>
                </c:pt>
                <c:pt idx="74">
                  <c:v>3.0863205135036421E-2</c:v>
                </c:pt>
                <c:pt idx="75">
                  <c:v>3.1614336822279203E-2</c:v>
                </c:pt>
                <c:pt idx="76">
                  <c:v>3.2375550814048755E-2</c:v>
                </c:pt>
                <c:pt idx="77">
                  <c:v>3.3146847110345067E-2</c:v>
                </c:pt>
                <c:pt idx="78">
                  <c:v>3.3928225711168096E-2</c:v>
                </c:pt>
                <c:pt idx="79">
                  <c:v>3.4719686616517892E-2</c:v>
                </c:pt>
                <c:pt idx="80">
                  <c:v>3.5521229826394433E-2</c:v>
                </c:pt>
                <c:pt idx="81">
                  <c:v>3.6332855340797734E-2</c:v>
                </c:pt>
                <c:pt idx="82">
                  <c:v>3.7154563159727753E-2</c:v>
                </c:pt>
                <c:pt idx="83">
                  <c:v>3.798635328318456E-2</c:v>
                </c:pt>
                <c:pt idx="84">
                  <c:v>3.8828225711168105E-2</c:v>
                </c:pt>
                <c:pt idx="85">
                  <c:v>3.9680180443678388E-2</c:v>
                </c:pt>
                <c:pt idx="86">
                  <c:v>4.0542217480715445E-2</c:v>
                </c:pt>
                <c:pt idx="87">
                  <c:v>4.1414336822279241E-2</c:v>
                </c:pt>
                <c:pt idx="88">
                  <c:v>4.2296538468369747E-2</c:v>
                </c:pt>
                <c:pt idx="89">
                  <c:v>4.318882241898702E-2</c:v>
                </c:pt>
                <c:pt idx="90">
                  <c:v>4.4091188674131088E-2</c:v>
                </c:pt>
                <c:pt idx="91">
                  <c:v>4.5003637233801824E-2</c:v>
                </c:pt>
                <c:pt idx="92">
                  <c:v>4.592616809799939E-2</c:v>
                </c:pt>
                <c:pt idx="93">
                  <c:v>4.6858781266723659E-2</c:v>
                </c:pt>
                <c:pt idx="94">
                  <c:v>4.7801476739974702E-2</c:v>
                </c:pt>
                <c:pt idx="95">
                  <c:v>4.8754254517752477E-2</c:v>
                </c:pt>
                <c:pt idx="96">
                  <c:v>4.9717114600056969E-2</c:v>
                </c:pt>
                <c:pt idx="97">
                  <c:v>5.069005698688827E-2</c:v>
                </c:pt>
                <c:pt idx="98">
                  <c:v>5.1673081678246316E-2</c:v>
                </c:pt>
                <c:pt idx="99">
                  <c:v>5.2666188674131073E-2</c:v>
                </c:pt>
                <c:pt idx="100">
                  <c:v>5.3669377974542604E-2</c:v>
                </c:pt>
                <c:pt idx="101">
                  <c:v>5.4682649579480859E-2</c:v>
                </c:pt>
                <c:pt idx="102">
                  <c:v>5.5706003488945853E-2</c:v>
                </c:pt>
                <c:pt idx="103">
                  <c:v>5.6739439702937634E-2</c:v>
                </c:pt>
                <c:pt idx="104">
                  <c:v>5.7782958221456168E-2</c:v>
                </c:pt>
                <c:pt idx="105">
                  <c:v>5.8836559044501434E-2</c:v>
                </c:pt>
                <c:pt idx="106">
                  <c:v>5.9900242172073445E-2</c:v>
                </c:pt>
                <c:pt idx="107">
                  <c:v>6.0974007604172195E-2</c:v>
                </c:pt>
                <c:pt idx="108">
                  <c:v>6.2057855340797725E-2</c:v>
                </c:pt>
                <c:pt idx="109">
                  <c:v>6.3151785381949987E-2</c:v>
                </c:pt>
                <c:pt idx="110">
                  <c:v>6.4255797727629016E-2</c:v>
                </c:pt>
                <c:pt idx="111">
                  <c:v>6.5369892377834776E-2</c:v>
                </c:pt>
                <c:pt idx="112">
                  <c:v>6.6494069332567254E-2</c:v>
                </c:pt>
                <c:pt idx="113">
                  <c:v>6.762832859182652E-2</c:v>
                </c:pt>
                <c:pt idx="114">
                  <c:v>6.8772670155612545E-2</c:v>
                </c:pt>
                <c:pt idx="115">
                  <c:v>6.9927094023925301E-2</c:v>
                </c:pt>
                <c:pt idx="116">
                  <c:v>7.1091600196764818E-2</c:v>
                </c:pt>
                <c:pt idx="117">
                  <c:v>7.2266188674131052E-2</c:v>
                </c:pt>
                <c:pt idx="118">
                  <c:v>7.3450859456024073E-2</c:v>
                </c:pt>
                <c:pt idx="119">
                  <c:v>7.4645612542443812E-2</c:v>
                </c:pt>
                <c:pt idx="120">
                  <c:v>7.5850447933390339E-2</c:v>
                </c:pt>
                <c:pt idx="121">
                  <c:v>7.7065365628863597E-2</c:v>
                </c:pt>
                <c:pt idx="122">
                  <c:v>7.8290365628863573E-2</c:v>
                </c:pt>
                <c:pt idx="123">
                  <c:v>7.9525447933390322E-2</c:v>
                </c:pt>
                <c:pt idx="124">
                  <c:v>8.0770612542443845E-2</c:v>
                </c:pt>
                <c:pt idx="125">
                  <c:v>8.2025859456024086E-2</c:v>
                </c:pt>
                <c:pt idx="126">
                  <c:v>8.3291188674131045E-2</c:v>
                </c:pt>
                <c:pt idx="127">
                  <c:v>8.4566600196764805E-2</c:v>
                </c:pt>
                <c:pt idx="128">
                  <c:v>8.585209402392531E-2</c:v>
                </c:pt>
                <c:pt idx="129">
                  <c:v>8.7147670155612561E-2</c:v>
                </c:pt>
                <c:pt idx="130">
                  <c:v>8.845332859182653E-2</c:v>
                </c:pt>
                <c:pt idx="131">
                  <c:v>8.97690693325673E-2</c:v>
                </c:pt>
                <c:pt idx="132">
                  <c:v>9.1094892377834746E-2</c:v>
                </c:pt>
                <c:pt idx="133">
                  <c:v>9.2430797727629022E-2</c:v>
                </c:pt>
                <c:pt idx="134">
                  <c:v>9.3776785381950015E-2</c:v>
                </c:pt>
                <c:pt idx="135">
                  <c:v>9.5132855340797781E-2</c:v>
                </c:pt>
                <c:pt idx="136">
                  <c:v>9.649900760417221E-2</c:v>
                </c:pt>
                <c:pt idx="137">
                  <c:v>9.7875242172073454E-2</c:v>
                </c:pt>
                <c:pt idx="138">
                  <c:v>9.926155904450143E-2</c:v>
                </c:pt>
                <c:pt idx="139">
                  <c:v>0.10065795822145621</c:v>
                </c:pt>
                <c:pt idx="140">
                  <c:v>0.10206443970293765</c:v>
                </c:pt>
                <c:pt idx="141">
                  <c:v>0.10348100348894589</c:v>
                </c:pt>
                <c:pt idx="142">
                  <c:v>0.1049076495794809</c:v>
                </c:pt>
                <c:pt idx="143">
                  <c:v>0.10634437797454256</c:v>
                </c:pt>
                <c:pt idx="144">
                  <c:v>0.10779118867413105</c:v>
                </c:pt>
                <c:pt idx="145">
                  <c:v>0.10924808167824629</c:v>
                </c:pt>
                <c:pt idx="146">
                  <c:v>0.11071505698688829</c:v>
                </c:pt>
                <c:pt idx="147">
                  <c:v>0.11219211460005701</c:v>
                </c:pt>
                <c:pt idx="148">
                  <c:v>0.11367925451775251</c:v>
                </c:pt>
                <c:pt idx="149">
                  <c:v>0.11517647673997473</c:v>
                </c:pt>
                <c:pt idx="150">
                  <c:v>0.11668378126672367</c:v>
                </c:pt>
              </c:numCache>
            </c:numRef>
          </c:yVal>
          <c:smooth val="1"/>
          <c:extLst>
            <c:ext xmlns:c16="http://schemas.microsoft.com/office/drawing/2014/chart" uri="{C3380CC4-5D6E-409C-BE32-E72D297353CC}">
              <c16:uniqueId val="{00000003-EBB2-49C9-A014-1F538461E4EA}"/>
            </c:ext>
          </c:extLst>
        </c:ser>
        <c:dLbls>
          <c:showLegendKey val="0"/>
          <c:showVal val="0"/>
          <c:showCatName val="0"/>
          <c:showSerName val="0"/>
          <c:showPercent val="0"/>
          <c:showBubbleSize val="0"/>
        </c:dLbls>
        <c:axId val="157162112"/>
        <c:axId val="157160192"/>
      </c:scatterChart>
      <c:valAx>
        <c:axId val="144893056"/>
        <c:scaling>
          <c:orientation val="minMax"/>
        </c:scaling>
        <c:delete val="0"/>
        <c:axPos val="b"/>
        <c:majorGridlines/>
        <c:numFmt formatCode="General" sourceLinked="1"/>
        <c:majorTickMark val="out"/>
        <c:minorTickMark val="none"/>
        <c:tickLblPos val="nextTo"/>
        <c:crossAx val="144894592"/>
        <c:crosses val="autoZero"/>
        <c:crossBetween val="midCat"/>
      </c:valAx>
      <c:valAx>
        <c:axId val="144894592"/>
        <c:scaling>
          <c:orientation val="minMax"/>
          <c:max val="100"/>
          <c:min val="7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44893056"/>
        <c:crosses val="autoZero"/>
        <c:crossBetween val="midCat"/>
      </c:valAx>
      <c:valAx>
        <c:axId val="157160192"/>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57162112"/>
        <c:crosses val="max"/>
        <c:crossBetween val="midCat"/>
      </c:valAx>
      <c:valAx>
        <c:axId val="157162112"/>
        <c:scaling>
          <c:orientation val="minMax"/>
        </c:scaling>
        <c:delete val="1"/>
        <c:axPos val="b"/>
        <c:title>
          <c:tx>
            <c:rich>
              <a:bodyPr/>
              <a:lstStyle/>
              <a:p>
                <a:pPr>
                  <a:defRPr/>
                </a:pPr>
                <a:r>
                  <a:rPr lang="en-US"/>
                  <a:t>Load</a:t>
                </a:r>
                <a:r>
                  <a:rPr lang="en-US" baseline="0"/>
                  <a:t> Current (A)</a:t>
                </a:r>
                <a:endParaRPr lang="en-US"/>
              </a:p>
            </c:rich>
          </c:tx>
          <c:overlay val="0"/>
        </c:title>
        <c:numFmt formatCode="General" sourceLinked="1"/>
        <c:majorTickMark val="out"/>
        <c:minorTickMark val="none"/>
        <c:tickLblPos val="nextTo"/>
        <c:crossAx val="15716019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Eff_vs_IOUT!$AT$7:$AT$157</c:f>
              <c:numCache>
                <c:formatCode>General</c:formatCode>
                <c:ptCount val="151"/>
                <c:pt idx="0">
                  <c:v>0</c:v>
                </c:pt>
                <c:pt idx="1">
                  <c:v>50.162588279232722</c:v>
                </c:pt>
                <c:pt idx="2">
                  <c:v>65.554988640312246</c:v>
                </c:pt>
                <c:pt idx="3">
                  <c:v>73.002824813134751</c:v>
                </c:pt>
                <c:pt idx="4">
                  <c:v>77.385057757274765</c:v>
                </c:pt>
                <c:pt idx="5">
                  <c:v>80.265573638964838</c:v>
                </c:pt>
                <c:pt idx="6">
                  <c:v>82.299638160346404</c:v>
                </c:pt>
                <c:pt idx="7">
                  <c:v>83.809974922442109</c:v>
                </c:pt>
                <c:pt idx="8">
                  <c:v>84.973913825151541</c:v>
                </c:pt>
                <c:pt idx="9">
                  <c:v>85.896953110412042</c:v>
                </c:pt>
                <c:pt idx="10">
                  <c:v>86.645770146608257</c:v>
                </c:pt>
                <c:pt idx="11">
                  <c:v>87.264563823721488</c:v>
                </c:pt>
                <c:pt idx="12">
                  <c:v>87.783784513164932</c:v>
                </c:pt>
                <c:pt idx="13">
                  <c:v>88.2250899359464</c:v>
                </c:pt>
                <c:pt idx="14">
                  <c:v>88.604302228623155</c:v>
                </c:pt>
                <c:pt idx="15">
                  <c:v>88.933247309676332</c:v>
                </c:pt>
                <c:pt idx="16">
                  <c:v>89.220940105836704</c:v>
                </c:pt>
                <c:pt idx="17">
                  <c:v>89.474371791948556</c:v>
                </c:pt>
                <c:pt idx="18">
                  <c:v>89.699046651346919</c:v>
                </c:pt>
                <c:pt idx="19">
                  <c:v>89.89935675613593</c:v>
                </c:pt>
                <c:pt idx="20">
                  <c:v>90.078848866555774</c:v>
                </c:pt>
                <c:pt idx="21">
                  <c:v>90.240418052820914</c:v>
                </c:pt>
                <c:pt idx="22">
                  <c:v>90.386450474299622</c:v>
                </c:pt>
                <c:pt idx="23">
                  <c:v>90.518930231754439</c:v>
                </c:pt>
                <c:pt idx="24">
                  <c:v>90.639520409874947</c:v>
                </c:pt>
                <c:pt idx="25">
                  <c:v>90.749625298092667</c:v>
                </c:pt>
                <c:pt idx="26">
                  <c:v>90.850438696555685</c:v>
                </c:pt>
                <c:pt idx="27">
                  <c:v>90.942981805124987</c:v>
                </c:pt>
                <c:pt idx="28">
                  <c:v>91.028133223549162</c:v>
                </c:pt>
                <c:pt idx="29">
                  <c:v>91.106652913506679</c:v>
                </c:pt>
                <c:pt idx="30">
                  <c:v>91.179201493302983</c:v>
                </c:pt>
                <c:pt idx="31">
                  <c:v>91.246355891676259</c:v>
                </c:pt>
                <c:pt idx="32">
                  <c:v>91.308622137151048</c:v>
                </c:pt>
                <c:pt idx="33">
                  <c:v>91.366445875828475</c:v>
                </c:pt>
                <c:pt idx="34">
                  <c:v>91.420221074352085</c:v>
                </c:pt>
                <c:pt idx="35">
                  <c:v>91.470297262818818</c:v>
                </c:pt>
                <c:pt idx="36">
                  <c:v>91.516985595342561</c:v>
                </c:pt>
                <c:pt idx="37">
                  <c:v>91.560563947243153</c:v>
                </c:pt>
                <c:pt idx="38">
                  <c:v>91.601281222708536</c:v>
                </c:pt>
                <c:pt idx="39">
                  <c:v>91.639361011848649</c:v>
                </c:pt>
                <c:pt idx="40">
                  <c:v>91.675004708827601</c:v>
                </c:pt>
                <c:pt idx="41">
                  <c:v>91.708394181389664</c:v>
                </c:pt>
                <c:pt idx="42">
                  <c:v>91.739694065213357</c:v>
                </c:pt>
                <c:pt idx="43">
                  <c:v>91.7690537431141</c:v>
                </c:pt>
                <c:pt idx="44">
                  <c:v>91.796609058396541</c:v>
                </c:pt>
                <c:pt idx="45">
                  <c:v>91.822483803042573</c:v>
                </c:pt>
                <c:pt idx="46">
                  <c:v>91.846791014463676</c:v>
                </c:pt>
                <c:pt idx="47">
                  <c:v>91.86963410889804</c:v>
                </c:pt>
                <c:pt idx="48">
                  <c:v>91.891107874926448</c:v>
                </c:pt>
                <c:pt idx="49">
                  <c:v>91.583502203512282</c:v>
                </c:pt>
                <c:pt idx="50">
                  <c:v>91.596284922211424</c:v>
                </c:pt>
                <c:pt idx="51">
                  <c:v>91.607539455328791</c:v>
                </c:pt>
                <c:pt idx="52">
                  <c:v>91.617353062704709</c:v>
                </c:pt>
                <c:pt idx="53">
                  <c:v>91.62580654937689</c:v>
                </c:pt>
                <c:pt idx="54">
                  <c:v>91.632974851498332</c:v>
                </c:pt>
                <c:pt idx="55">
                  <c:v>91.638927559571002</c:v>
                </c:pt>
                <c:pt idx="56">
                  <c:v>91.643729386682452</c:v>
                </c:pt>
                <c:pt idx="57">
                  <c:v>91.647440588373215</c:v>
                </c:pt>
                <c:pt idx="58">
                  <c:v>91.650117339866014</c:v>
                </c:pt>
                <c:pt idx="59">
                  <c:v>91.651812075623894</c:v>
                </c:pt>
                <c:pt idx="60">
                  <c:v>91.652573795554744</c:v>
                </c:pt>
                <c:pt idx="61">
                  <c:v>91.652448341622659</c:v>
                </c:pt>
                <c:pt idx="62">
                  <c:v>91.651478648149947</c:v>
                </c:pt>
                <c:pt idx="63">
                  <c:v>91.649704968683793</c:v>
                </c:pt>
                <c:pt idx="64">
                  <c:v>91.647165081948131</c:v>
                </c:pt>
                <c:pt idx="65">
                  <c:v>91.643894479095948</c:v>
                </c:pt>
                <c:pt idx="66">
                  <c:v>91.639926534213586</c:v>
                </c:pt>
                <c:pt idx="67">
                  <c:v>91.635292659798907</c:v>
                </c:pt>
                <c:pt idx="68">
                  <c:v>91.630022448735758</c:v>
                </c:pt>
                <c:pt idx="69">
                  <c:v>91.6241438041137</c:v>
                </c:pt>
                <c:pt idx="70">
                  <c:v>91.61768305808971</c:v>
                </c:pt>
                <c:pt idx="71">
                  <c:v>91.610665080856393</c:v>
                </c:pt>
                <c:pt idx="72">
                  <c:v>91.603113380663771</c:v>
                </c:pt>
                <c:pt idx="73">
                  <c:v>91.595050195740498</c:v>
                </c:pt>
                <c:pt idx="74">
                  <c:v>91.586496578869443</c:v>
                </c:pt>
                <c:pt idx="75">
                  <c:v>91.577472475293447</c:v>
                </c:pt>
                <c:pt idx="76">
                  <c:v>91.567996794557203</c:v>
                </c:pt>
                <c:pt idx="77">
                  <c:v>91.558087476828547</c:v>
                </c:pt>
                <c:pt idx="78">
                  <c:v>91.547761554188028</c:v>
                </c:pt>
                <c:pt idx="79">
                  <c:v>91.537035207326582</c:v>
                </c:pt>
                <c:pt idx="80">
                  <c:v>91.525923818047573</c:v>
                </c:pt>
                <c:pt idx="81">
                  <c:v>91.514442017931202</c:v>
                </c:pt>
                <c:pt idx="82">
                  <c:v>91.502603733484449</c:v>
                </c:pt>
                <c:pt idx="83">
                  <c:v>91.490422228069207</c:v>
                </c:pt>
                <c:pt idx="84">
                  <c:v>91.477910140873647</c:v>
                </c:pt>
                <c:pt idx="85">
                  <c:v>91.465079523167418</c:v>
                </c:pt>
                <c:pt idx="86">
                  <c:v>91.451941872058626</c:v>
                </c:pt>
                <c:pt idx="87">
                  <c:v>91.438508161951603</c:v>
                </c:pt>
                <c:pt idx="88">
                  <c:v>91.424788873885703</c:v>
                </c:pt>
                <c:pt idx="89">
                  <c:v>91.410794022920143</c:v>
                </c:pt>
                <c:pt idx="90">
                  <c:v>91.396533183714794</c:v>
                </c:pt>
                <c:pt idx="91">
                  <c:v>91.382015514444163</c:v>
                </c:pt>
                <c:pt idx="92">
                  <c:v>91.367249779169953</c:v>
                </c:pt>
                <c:pt idx="93">
                  <c:v>91.352244368786899</c:v>
                </c:pt>
                <c:pt idx="94">
                  <c:v>91.337007320646663</c:v>
                </c:pt>
                <c:pt idx="95">
                  <c:v>91.321546336956516</c:v>
                </c:pt>
                <c:pt idx="96">
                  <c:v>91.305868802040806</c:v>
                </c:pt>
                <c:pt idx="97">
                  <c:v>91.289981798546521</c:v>
                </c:pt>
                <c:pt idx="98">
                  <c:v>91.273892122667561</c:v>
                </c:pt>
                <c:pt idx="99">
                  <c:v>91.257606298456125</c:v>
                </c:pt>
                <c:pt idx="100">
                  <c:v>91.241130591284971</c:v>
                </c:pt>
                <c:pt idx="101">
                  <c:v>91.224471020518081</c:v>
                </c:pt>
                <c:pt idx="102">
                  <c:v>91.207633371443919</c:v>
                </c:pt>
                <c:pt idx="103">
                  <c:v>91.190623206520868</c:v>
                </c:pt>
                <c:pt idx="104">
                  <c:v>91.173445875980548</c:v>
                </c:pt>
                <c:pt idx="105">
                  <c:v>91.156106527831284</c:v>
                </c:pt>
                <c:pt idx="106">
                  <c:v>91.138610117301226</c:v>
                </c:pt>
                <c:pt idx="107">
                  <c:v>91.120961415757193</c:v>
                </c:pt>
                <c:pt idx="108">
                  <c:v>91.103165019132931</c:v>
                </c:pt>
                <c:pt idx="109">
                  <c:v>91.085225355898018</c:v>
                </c:pt>
                <c:pt idx="110">
                  <c:v>91.067146694596303</c:v>
                </c:pt>
                <c:pt idx="111">
                  <c:v>91.048933150980787</c:v>
                </c:pt>
                <c:pt idx="112">
                  <c:v>91.030588694770046</c:v>
                </c:pt>
                <c:pt idx="113">
                  <c:v>91.0121171560492</c:v>
                </c:pt>
                <c:pt idx="114">
                  <c:v>90.993522231337181</c:v>
                </c:pt>
                <c:pt idx="115">
                  <c:v>90.974807489340407</c:v>
                </c:pt>
                <c:pt idx="116">
                  <c:v>90.955976376411613</c:v>
                </c:pt>
                <c:pt idx="117">
                  <c:v>90.937032221731343</c:v>
                </c:pt>
                <c:pt idx="118">
                  <c:v>90.917978242228259</c:v>
                </c:pt>
                <c:pt idx="119">
                  <c:v>90.898817547253742</c:v>
                </c:pt>
                <c:pt idx="120">
                  <c:v>90.879553143024751</c:v>
                </c:pt>
                <c:pt idx="121">
                  <c:v>90.860187936848348</c:v>
                </c:pt>
                <c:pt idx="122">
                  <c:v>90.840724741140349</c:v>
                </c:pt>
                <c:pt idx="123">
                  <c:v>90.821166277249588</c:v>
                </c:pt>
                <c:pt idx="124">
                  <c:v>90.801515179098715</c:v>
                </c:pt>
                <c:pt idx="125">
                  <c:v>90.781773996651836</c:v>
                </c:pt>
                <c:pt idx="126">
                  <c:v>90.761945199218346</c:v>
                </c:pt>
                <c:pt idx="127">
                  <c:v>90.742031178602019</c:v>
                </c:pt>
                <c:pt idx="128">
                  <c:v>90.722034252103697</c:v>
                </c:pt>
                <c:pt idx="129">
                  <c:v>90.701956665385623</c:v>
                </c:pt>
                <c:pt idx="130">
                  <c:v>90.681800595204365</c:v>
                </c:pt>
                <c:pt idx="131">
                  <c:v>90.661568152019967</c:v>
                </c:pt>
                <c:pt idx="132">
                  <c:v>90.641261382487116</c:v>
                </c:pt>
                <c:pt idx="133">
                  <c:v>90.620882271835143</c:v>
                </c:pt>
                <c:pt idx="134">
                  <c:v>90.600432746142062</c:v>
                </c:pt>
                <c:pt idx="135">
                  <c:v>90.579914674508444</c:v>
                </c:pt>
                <c:pt idx="136">
                  <c:v>90.559329871136214</c:v>
                </c:pt>
                <c:pt idx="137">
                  <c:v>90.538680097316941</c:v>
                </c:pt>
                <c:pt idx="138">
                  <c:v>90.517967063334638</c:v>
                </c:pt>
                <c:pt idx="139">
                  <c:v>90.497192430286617</c:v>
                </c:pt>
                <c:pt idx="140">
                  <c:v>90.476357811827427</c:v>
                </c:pt>
                <c:pt idx="141">
                  <c:v>90.45546477583872</c:v>
                </c:pt>
                <c:pt idx="142">
                  <c:v>90.434514846029344</c:v>
                </c:pt>
                <c:pt idx="143">
                  <c:v>90.413509503468688</c:v>
                </c:pt>
                <c:pt idx="144">
                  <c:v>90.392450188056657</c:v>
                </c:pt>
                <c:pt idx="145">
                  <c:v>90.371338299933257</c:v>
                </c:pt>
                <c:pt idx="146">
                  <c:v>90.350175200830691</c:v>
                </c:pt>
                <c:pt idx="147">
                  <c:v>90.328962215370623</c:v>
                </c:pt>
                <c:pt idx="148">
                  <c:v>90.307700632309377</c:v>
                </c:pt>
                <c:pt idx="149">
                  <c:v>90.286391705733067</c:v>
                </c:pt>
                <c:pt idx="150">
                  <c:v>90.265036656205581</c:v>
                </c:pt>
              </c:numCache>
            </c:numRef>
          </c:yVal>
          <c:smooth val="0"/>
          <c:extLst>
            <c:ext xmlns:c16="http://schemas.microsoft.com/office/drawing/2014/chart" uri="{C3380CC4-5D6E-409C-BE32-E72D297353CC}">
              <c16:uniqueId val="{00000000-8AEF-4CD2-9E91-5056CF00EB36}"/>
            </c:ext>
          </c:extLst>
        </c:ser>
        <c:dLbls>
          <c:showLegendKey val="0"/>
          <c:showVal val="0"/>
          <c:showCatName val="0"/>
          <c:showSerName val="0"/>
          <c:showPercent val="0"/>
          <c:showBubbleSize val="0"/>
        </c:dLbls>
        <c:axId val="145036800"/>
        <c:axId val="145038336"/>
      </c:scatterChart>
      <c:scatterChart>
        <c:scatterStyle val="smoothMarker"/>
        <c:varyColors val="0"/>
        <c:ser>
          <c:idx val="1"/>
          <c:order val="1"/>
          <c:tx>
            <c:v>MOSFET</c:v>
          </c:tx>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Eff_vs_IOUT!$AI$7:$AI$157</c:f>
              <c:numCache>
                <c:formatCode>General</c:formatCode>
                <c:ptCount val="151"/>
                <c:pt idx="0">
                  <c:v>0</c:v>
                </c:pt>
                <c:pt idx="1">
                  <c:v>4.2981071802089928E-4</c:v>
                </c:pt>
                <c:pt idx="2">
                  <c:v>8.6348602691494586E-4</c:v>
                </c:pt>
                <c:pt idx="3">
                  <c:v>1.2996771476841136E-3</c:v>
                </c:pt>
                <c:pt idx="4">
                  <c:v>1.7379027674815481E-3</c:v>
                </c:pt>
                <c:pt idx="5">
                  <c:v>2.1778847140606259E-3</c:v>
                </c:pt>
                <c:pt idx="6">
                  <c:v>2.6194352985965015E-3</c:v>
                </c:pt>
                <c:pt idx="7">
                  <c:v>3.0624167339484308E-3</c:v>
                </c:pt>
                <c:pt idx="8">
                  <c:v>3.5067222619482746E-3</c:v>
                </c:pt>
                <c:pt idx="9">
                  <c:v>3.9522659914788738E-3</c:v>
                </c:pt>
                <c:pt idx="10">
                  <c:v>4.3989768676091648E-3</c:v>
                </c:pt>
                <c:pt idx="11">
                  <c:v>4.8467948329568048E-3</c:v>
                </c:pt>
                <c:pt idx="12">
                  <c:v>5.2956682514159695E-3</c:v>
                </c:pt>
                <c:pt idx="13">
                  <c:v>5.7455521055976974E-3</c:v>
                </c:pt>
                <c:pt idx="14">
                  <c:v>6.1964066924823655E-3</c:v>
                </c:pt>
                <c:pt idx="15">
                  <c:v>6.648196653014562E-3</c:v>
                </c:pt>
                <c:pt idx="16">
                  <c:v>7.1008902331098009E-3</c:v>
                </c:pt>
                <c:pt idx="17">
                  <c:v>7.5544587095910951E-3</c:v>
                </c:pt>
                <c:pt idx="18">
                  <c:v>8.008875936532725E-3</c:v>
                </c:pt>
                <c:pt idx="19">
                  <c:v>8.464117981356184E-3</c:v>
                </c:pt>
                <c:pt idx="20">
                  <c:v>8.9201628290567735E-3</c:v>
                </c:pt>
                <c:pt idx="21">
                  <c:v>9.3769901389852538E-3</c:v>
                </c:pt>
                <c:pt idx="22">
                  <c:v>9.834581042752687E-3</c:v>
                </c:pt>
                <c:pt idx="23">
                  <c:v>1.0292917974726933E-2</c:v>
                </c:pt>
                <c:pt idx="24">
                  <c:v>1.0751984528658134E-2</c:v>
                </c:pt>
                <c:pt idx="25">
                  <c:v>1.121176533547126E-2</c:v>
                </c:pt>
                <c:pt idx="26">
                  <c:v>1.167224595836909E-2</c:v>
                </c:pt>
                <c:pt idx="27">
                  <c:v>1.2133412802214841E-2</c:v>
                </c:pt>
                <c:pt idx="28">
                  <c:v>1.2595253034787922E-2</c:v>
                </c:pt>
                <c:pt idx="29">
                  <c:v>1.30577545179844E-2</c:v>
                </c:pt>
                <c:pt idx="30">
                  <c:v>1.3520905747403193E-2</c:v>
                </c:pt>
                <c:pt idx="31">
                  <c:v>1.3984695799047828E-2</c:v>
                </c:pt>
                <c:pt idx="32">
                  <c:v>1.4449114282101029E-2</c:v>
                </c:pt>
                <c:pt idx="33">
                  <c:v>1.4914151296910438E-2</c:v>
                </c:pt>
                <c:pt idx="34">
                  <c:v>1.5379797397468524E-2</c:v>
                </c:pt>
                <c:pt idx="35">
                  <c:v>1.5846043557786904E-2</c:v>
                </c:pt>
                <c:pt idx="36">
                  <c:v>1.6312881141660174E-2</c:v>
                </c:pt>
                <c:pt idx="37">
                  <c:v>1.678030187539218E-2</c:v>
                </c:pt>
                <c:pt idx="38">
                  <c:v>1.7248297823121764E-2</c:v>
                </c:pt>
                <c:pt idx="39">
                  <c:v>1.7716861364437692E-2</c:v>
                </c:pt>
                <c:pt idx="40">
                  <c:v>1.8185985174016851E-2</c:v>
                </c:pt>
                <c:pt idx="41">
                  <c:v>1.8655662203056336E-2</c:v>
                </c:pt>
                <c:pt idx="42">
                  <c:v>1.91258856623014E-2</c:v>
                </c:pt>
                <c:pt idx="43">
                  <c:v>1.959664900649687E-2</c:v>
                </c:pt>
                <c:pt idx="44">
                  <c:v>2.0067945920112334E-2</c:v>
                </c:pt>
                <c:pt idx="45">
                  <c:v>2.0539770304209844E-2</c:v>
                </c:pt>
                <c:pt idx="46">
                  <c:v>2.1012116264339235E-2</c:v>
                </c:pt>
                <c:pt idx="47">
                  <c:v>2.1484978099359932E-2</c:v>
                </c:pt>
                <c:pt idx="48">
                  <c:v>2.1958350291100003E-2</c:v>
                </c:pt>
                <c:pt idx="49">
                  <c:v>2.2713945050231252E-2</c:v>
                </c:pt>
                <c:pt idx="50">
                  <c:v>2.3200227368476743E-2</c:v>
                </c:pt>
                <c:pt idx="51">
                  <c:v>2.3687744769026745E-2</c:v>
                </c:pt>
                <c:pt idx="52">
                  <c:v>2.4176497251881288E-2</c:v>
                </c:pt>
                <c:pt idx="53">
                  <c:v>2.4666484817040354E-2</c:v>
                </c:pt>
                <c:pt idx="54">
                  <c:v>2.5157707464503951E-2</c:v>
                </c:pt>
                <c:pt idx="55">
                  <c:v>2.565016519427207E-2</c:v>
                </c:pt>
                <c:pt idx="56">
                  <c:v>2.6143858006344715E-2</c:v>
                </c:pt>
                <c:pt idx="57">
                  <c:v>2.6638785900721888E-2</c:v>
                </c:pt>
                <c:pt idx="58">
                  <c:v>2.713494887740359E-2</c:v>
                </c:pt>
                <c:pt idx="59">
                  <c:v>2.7632346936389815E-2</c:v>
                </c:pt>
                <c:pt idx="60">
                  <c:v>2.813098007768057E-2</c:v>
                </c:pt>
                <c:pt idx="61">
                  <c:v>2.8630848301275845E-2</c:v>
                </c:pt>
                <c:pt idx="62">
                  <c:v>2.9131951607175657E-2</c:v>
                </c:pt>
                <c:pt idx="63">
                  <c:v>2.9634289995379981E-2</c:v>
                </c:pt>
                <c:pt idx="64">
                  <c:v>3.0137863465888842E-2</c:v>
                </c:pt>
                <c:pt idx="65">
                  <c:v>3.0642672018702237E-2</c:v>
                </c:pt>
                <c:pt idx="66">
                  <c:v>3.1148715653820151E-2</c:v>
                </c:pt>
                <c:pt idx="67">
                  <c:v>3.1655994371242585E-2</c:v>
                </c:pt>
                <c:pt idx="68">
                  <c:v>3.2164508170969559E-2</c:v>
                </c:pt>
                <c:pt idx="69">
                  <c:v>3.2674257053001053E-2</c:v>
                </c:pt>
                <c:pt idx="70">
                  <c:v>3.3185241017337067E-2</c:v>
                </c:pt>
                <c:pt idx="71">
                  <c:v>3.369746006397762E-2</c:v>
                </c:pt>
                <c:pt idx="72">
                  <c:v>3.4210914192922694E-2</c:v>
                </c:pt>
                <c:pt idx="73">
                  <c:v>3.4725603404172294E-2</c:v>
                </c:pt>
                <c:pt idx="74">
                  <c:v>3.524152769772642E-2</c:v>
                </c:pt>
                <c:pt idx="75">
                  <c:v>3.5758687073585066E-2</c:v>
                </c:pt>
                <c:pt idx="76">
                  <c:v>3.6277081531748259E-2</c:v>
                </c:pt>
                <c:pt idx="77">
                  <c:v>3.6796711072215965E-2</c:v>
                </c:pt>
                <c:pt idx="78">
                  <c:v>3.7317575694988191E-2</c:v>
                </c:pt>
                <c:pt idx="79">
                  <c:v>3.7839675400064957E-2</c:v>
                </c:pt>
                <c:pt idx="80">
                  <c:v>3.8363010187446256E-2</c:v>
                </c:pt>
                <c:pt idx="81">
                  <c:v>3.8887580057132068E-2</c:v>
                </c:pt>
                <c:pt idx="82">
                  <c:v>3.9413385009122399E-2</c:v>
                </c:pt>
                <c:pt idx="83">
                  <c:v>3.9940425043417271E-2</c:v>
                </c:pt>
                <c:pt idx="84">
                  <c:v>4.046870016001667E-2</c:v>
                </c:pt>
                <c:pt idx="85">
                  <c:v>4.0998210358920595E-2</c:v>
                </c:pt>
                <c:pt idx="86">
                  <c:v>4.1528955640129039E-2</c:v>
                </c:pt>
                <c:pt idx="87">
                  <c:v>4.2060936003642024E-2</c:v>
                </c:pt>
                <c:pt idx="88">
                  <c:v>4.2594151449459508E-2</c:v>
                </c:pt>
                <c:pt idx="89">
                  <c:v>4.3128601977581539E-2</c:v>
                </c:pt>
                <c:pt idx="90">
                  <c:v>4.366428758800811E-2</c:v>
                </c:pt>
                <c:pt idx="91">
                  <c:v>4.4201208280739181E-2</c:v>
                </c:pt>
                <c:pt idx="92">
                  <c:v>4.4739364055774798E-2</c:v>
                </c:pt>
                <c:pt idx="93">
                  <c:v>4.5278754913114921E-2</c:v>
                </c:pt>
                <c:pt idx="94">
                  <c:v>4.5819380852759585E-2</c:v>
                </c:pt>
                <c:pt idx="95">
                  <c:v>4.6361241874708789E-2</c:v>
                </c:pt>
                <c:pt idx="96">
                  <c:v>4.6904337978962492E-2</c:v>
                </c:pt>
                <c:pt idx="97">
                  <c:v>4.7448669165520742E-2</c:v>
                </c:pt>
                <c:pt idx="98">
                  <c:v>4.7994235434383511E-2</c:v>
                </c:pt>
                <c:pt idx="99">
                  <c:v>4.8541036785550801E-2</c:v>
                </c:pt>
                <c:pt idx="100">
                  <c:v>4.9089073219022637E-2</c:v>
                </c:pt>
                <c:pt idx="101">
                  <c:v>4.963834473479898E-2</c:v>
                </c:pt>
                <c:pt idx="102">
                  <c:v>5.0188851332879841E-2</c:v>
                </c:pt>
                <c:pt idx="103">
                  <c:v>5.0740593013265257E-2</c:v>
                </c:pt>
                <c:pt idx="104">
                  <c:v>5.1293569775955186E-2</c:v>
                </c:pt>
                <c:pt idx="105">
                  <c:v>5.1847781620949634E-2</c:v>
                </c:pt>
                <c:pt idx="106">
                  <c:v>5.240322854824863E-2</c:v>
                </c:pt>
                <c:pt idx="107">
                  <c:v>5.2959910557852125E-2</c:v>
                </c:pt>
                <c:pt idx="108">
                  <c:v>5.3517827649760173E-2</c:v>
                </c:pt>
                <c:pt idx="109">
                  <c:v>5.4076979823972741E-2</c:v>
                </c:pt>
                <c:pt idx="110">
                  <c:v>5.4637367080489836E-2</c:v>
                </c:pt>
                <c:pt idx="111">
                  <c:v>5.5198989419311451E-2</c:v>
                </c:pt>
                <c:pt idx="112">
                  <c:v>5.5761846840437584E-2</c:v>
                </c:pt>
                <c:pt idx="113">
                  <c:v>5.6325939343868259E-2</c:v>
                </c:pt>
                <c:pt idx="114">
                  <c:v>5.6891266929603466E-2</c:v>
                </c:pt>
                <c:pt idx="115">
                  <c:v>5.7457829597643187E-2</c:v>
                </c:pt>
                <c:pt idx="116">
                  <c:v>5.8025627347987441E-2</c:v>
                </c:pt>
                <c:pt idx="117">
                  <c:v>5.8594660180636207E-2</c:v>
                </c:pt>
                <c:pt idx="118">
                  <c:v>5.9164928095589514E-2</c:v>
                </c:pt>
                <c:pt idx="119">
                  <c:v>5.9736431092847347E-2</c:v>
                </c:pt>
                <c:pt idx="120">
                  <c:v>6.0309169172409714E-2</c:v>
                </c:pt>
                <c:pt idx="121">
                  <c:v>6.0883142334276601E-2</c:v>
                </c:pt>
                <c:pt idx="122">
                  <c:v>6.1458350578448007E-2</c:v>
                </c:pt>
                <c:pt idx="123">
                  <c:v>6.2034793904923953E-2</c:v>
                </c:pt>
                <c:pt idx="124">
                  <c:v>6.2612472313704412E-2</c:v>
                </c:pt>
                <c:pt idx="125">
                  <c:v>6.3191385804789404E-2</c:v>
                </c:pt>
                <c:pt idx="126">
                  <c:v>6.377153437817891E-2</c:v>
                </c:pt>
                <c:pt idx="127">
                  <c:v>6.4352918033872955E-2</c:v>
                </c:pt>
                <c:pt idx="128">
                  <c:v>6.4935536771871527E-2</c:v>
                </c:pt>
                <c:pt idx="129">
                  <c:v>6.5519390592174626E-2</c:v>
                </c:pt>
                <c:pt idx="130">
                  <c:v>6.6104479494782264E-2</c:v>
                </c:pt>
                <c:pt idx="131">
                  <c:v>6.6690803479694416E-2</c:v>
                </c:pt>
                <c:pt idx="132">
                  <c:v>6.7278362546911094E-2</c:v>
                </c:pt>
                <c:pt idx="133">
                  <c:v>6.7867156696432299E-2</c:v>
                </c:pt>
                <c:pt idx="134">
                  <c:v>6.845718592825803E-2</c:v>
                </c:pt>
                <c:pt idx="135">
                  <c:v>6.9048450242388315E-2</c:v>
                </c:pt>
                <c:pt idx="136">
                  <c:v>6.9640949638823085E-2</c:v>
                </c:pt>
                <c:pt idx="137">
                  <c:v>7.0234684117562382E-2</c:v>
                </c:pt>
                <c:pt idx="138">
                  <c:v>7.0829653678606233E-2</c:v>
                </c:pt>
                <c:pt idx="139">
                  <c:v>7.1425858321954597E-2</c:v>
                </c:pt>
                <c:pt idx="140">
                  <c:v>7.2023298047607473E-2</c:v>
                </c:pt>
                <c:pt idx="141">
                  <c:v>7.2621972855564904E-2</c:v>
                </c:pt>
                <c:pt idx="142">
                  <c:v>7.3221882745826861E-2</c:v>
                </c:pt>
                <c:pt idx="143">
                  <c:v>7.382302771839333E-2</c:v>
                </c:pt>
                <c:pt idx="144">
                  <c:v>7.442540777326434E-2</c:v>
                </c:pt>
                <c:pt idx="145">
                  <c:v>7.5029022910439863E-2</c:v>
                </c:pt>
                <c:pt idx="146">
                  <c:v>7.5633873129919912E-2</c:v>
                </c:pt>
                <c:pt idx="147">
                  <c:v>7.6239958431704502E-2</c:v>
                </c:pt>
                <c:pt idx="148">
                  <c:v>7.6847278815793604E-2</c:v>
                </c:pt>
                <c:pt idx="149">
                  <c:v>7.7455834282187247E-2</c:v>
                </c:pt>
                <c:pt idx="150">
                  <c:v>7.8065624830885388E-2</c:v>
                </c:pt>
              </c:numCache>
            </c:numRef>
          </c:yVal>
          <c:smooth val="1"/>
          <c:extLst>
            <c:ext xmlns:c16="http://schemas.microsoft.com/office/drawing/2014/chart" uri="{C3380CC4-5D6E-409C-BE32-E72D297353CC}">
              <c16:uniqueId val="{00000001-8AEF-4CD2-9E91-5056CF00EB36}"/>
            </c:ext>
          </c:extLst>
        </c:ser>
        <c:ser>
          <c:idx val="2"/>
          <c:order val="2"/>
          <c:tx>
            <c:v>Diode</c:v>
          </c:tx>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Eff_vs_IOUT!$AN$7:$AN$157</c:f>
              <c:numCache>
                <c:formatCode>General</c:formatCode>
                <c:ptCount val="151"/>
                <c:pt idx="0">
                  <c:v>4.5814800000000003E-2</c:v>
                </c:pt>
                <c:pt idx="1">
                  <c:v>4.8498133333333339E-2</c:v>
                </c:pt>
                <c:pt idx="2">
                  <c:v>5.1181466666666668E-2</c:v>
                </c:pt>
                <c:pt idx="3">
                  <c:v>5.3864800000000004E-2</c:v>
                </c:pt>
                <c:pt idx="4">
                  <c:v>5.6548133333333334E-2</c:v>
                </c:pt>
                <c:pt idx="5">
                  <c:v>5.923146666666667E-2</c:v>
                </c:pt>
                <c:pt idx="6">
                  <c:v>6.1914800000000006E-2</c:v>
                </c:pt>
                <c:pt idx="7">
                  <c:v>6.4598133333333335E-2</c:v>
                </c:pt>
                <c:pt idx="8">
                  <c:v>6.7281466666666678E-2</c:v>
                </c:pt>
                <c:pt idx="9">
                  <c:v>6.9964800000000008E-2</c:v>
                </c:pt>
                <c:pt idx="10">
                  <c:v>7.2648133333333337E-2</c:v>
                </c:pt>
                <c:pt idx="11">
                  <c:v>7.5331466666666666E-2</c:v>
                </c:pt>
                <c:pt idx="12">
                  <c:v>7.8014800000000009E-2</c:v>
                </c:pt>
                <c:pt idx="13">
                  <c:v>8.0698133333333338E-2</c:v>
                </c:pt>
                <c:pt idx="14">
                  <c:v>8.3381466666666668E-2</c:v>
                </c:pt>
                <c:pt idx="15">
                  <c:v>8.6064800000000011E-2</c:v>
                </c:pt>
                <c:pt idx="16">
                  <c:v>8.874813333333334E-2</c:v>
                </c:pt>
                <c:pt idx="17">
                  <c:v>9.1431466666666669E-2</c:v>
                </c:pt>
                <c:pt idx="18">
                  <c:v>9.4114800000000012E-2</c:v>
                </c:pt>
                <c:pt idx="19">
                  <c:v>9.6798133333333342E-2</c:v>
                </c:pt>
                <c:pt idx="20">
                  <c:v>9.9481466666666671E-2</c:v>
                </c:pt>
                <c:pt idx="21">
                  <c:v>0.10216480000000001</c:v>
                </c:pt>
                <c:pt idx="22">
                  <c:v>0.10484813333333334</c:v>
                </c:pt>
                <c:pt idx="23">
                  <c:v>0.10753146666666669</c:v>
                </c:pt>
                <c:pt idx="24">
                  <c:v>0.11021480000000002</c:v>
                </c:pt>
                <c:pt idx="25">
                  <c:v>0.11289813333333334</c:v>
                </c:pt>
                <c:pt idx="26">
                  <c:v>0.11558146666666667</c:v>
                </c:pt>
                <c:pt idx="27">
                  <c:v>0.1182648</c:v>
                </c:pt>
                <c:pt idx="28">
                  <c:v>0.12094813333333333</c:v>
                </c:pt>
                <c:pt idx="29">
                  <c:v>0.12363146666666668</c:v>
                </c:pt>
                <c:pt idx="30">
                  <c:v>0.1263148</c:v>
                </c:pt>
                <c:pt idx="31">
                  <c:v>0.12899813333333335</c:v>
                </c:pt>
                <c:pt idx="32">
                  <c:v>0.13168146666666669</c:v>
                </c:pt>
                <c:pt idx="33">
                  <c:v>0.13436480000000001</c:v>
                </c:pt>
                <c:pt idx="34">
                  <c:v>0.13704813333333332</c:v>
                </c:pt>
                <c:pt idx="35">
                  <c:v>0.13973146666666666</c:v>
                </c:pt>
                <c:pt idx="36">
                  <c:v>0.14241480000000001</c:v>
                </c:pt>
                <c:pt idx="37">
                  <c:v>0.14509813333333335</c:v>
                </c:pt>
                <c:pt idx="38">
                  <c:v>0.14778146666666669</c:v>
                </c:pt>
                <c:pt idx="39">
                  <c:v>0.15046480000000001</c:v>
                </c:pt>
                <c:pt idx="40">
                  <c:v>0.15314813333333333</c:v>
                </c:pt>
                <c:pt idx="41">
                  <c:v>0.15583146666666667</c:v>
                </c:pt>
                <c:pt idx="42">
                  <c:v>0.15851480000000001</c:v>
                </c:pt>
                <c:pt idx="43">
                  <c:v>0.16119813333333335</c:v>
                </c:pt>
                <c:pt idx="44">
                  <c:v>0.16388146666666667</c:v>
                </c:pt>
                <c:pt idx="45">
                  <c:v>0.16656480000000001</c:v>
                </c:pt>
                <c:pt idx="46">
                  <c:v>0.16924813333333336</c:v>
                </c:pt>
                <c:pt idx="47">
                  <c:v>0.1719314666666667</c:v>
                </c:pt>
                <c:pt idx="48">
                  <c:v>0.17461480000000001</c:v>
                </c:pt>
                <c:pt idx="49">
                  <c:v>0.17729813333333333</c:v>
                </c:pt>
                <c:pt idx="50">
                  <c:v>0.1799814666666667</c:v>
                </c:pt>
                <c:pt idx="51">
                  <c:v>0.18266480000000002</c:v>
                </c:pt>
                <c:pt idx="52">
                  <c:v>0.18534813333333333</c:v>
                </c:pt>
                <c:pt idx="53">
                  <c:v>0.1880314666666667</c:v>
                </c:pt>
                <c:pt idx="54">
                  <c:v>0.19071480000000002</c:v>
                </c:pt>
                <c:pt idx="55">
                  <c:v>0.19339813333333333</c:v>
                </c:pt>
                <c:pt idx="56">
                  <c:v>0.19608146666666665</c:v>
                </c:pt>
                <c:pt idx="57">
                  <c:v>0.19876480000000002</c:v>
                </c:pt>
                <c:pt idx="58">
                  <c:v>0.20144813333333333</c:v>
                </c:pt>
                <c:pt idx="59">
                  <c:v>0.20413146666666671</c:v>
                </c:pt>
                <c:pt idx="60">
                  <c:v>0.20681480000000002</c:v>
                </c:pt>
                <c:pt idx="61">
                  <c:v>0.20949813333333334</c:v>
                </c:pt>
                <c:pt idx="62">
                  <c:v>0.21218146666666671</c:v>
                </c:pt>
                <c:pt idx="63">
                  <c:v>0.21486480000000002</c:v>
                </c:pt>
                <c:pt idx="64">
                  <c:v>0.21754813333333334</c:v>
                </c:pt>
                <c:pt idx="65">
                  <c:v>0.22023146666666671</c:v>
                </c:pt>
                <c:pt idx="66">
                  <c:v>0.22291480000000002</c:v>
                </c:pt>
                <c:pt idx="67">
                  <c:v>0.22559813333333334</c:v>
                </c:pt>
                <c:pt idx="68">
                  <c:v>0.22828146666666665</c:v>
                </c:pt>
                <c:pt idx="69">
                  <c:v>0.23096480000000003</c:v>
                </c:pt>
                <c:pt idx="70">
                  <c:v>0.23364813333333334</c:v>
                </c:pt>
                <c:pt idx="71">
                  <c:v>0.23633146666666671</c:v>
                </c:pt>
                <c:pt idx="72">
                  <c:v>0.23901480000000003</c:v>
                </c:pt>
                <c:pt idx="73">
                  <c:v>0.24169813333333334</c:v>
                </c:pt>
                <c:pt idx="74">
                  <c:v>0.24438146666666671</c:v>
                </c:pt>
                <c:pt idx="75">
                  <c:v>0.24706480000000003</c:v>
                </c:pt>
                <c:pt idx="76">
                  <c:v>0.24974813333333334</c:v>
                </c:pt>
                <c:pt idx="77">
                  <c:v>0.25243146666666672</c:v>
                </c:pt>
                <c:pt idx="78">
                  <c:v>0.25511480000000003</c:v>
                </c:pt>
                <c:pt idx="79">
                  <c:v>0.25779813333333335</c:v>
                </c:pt>
                <c:pt idx="80">
                  <c:v>0.26048146666666666</c:v>
                </c:pt>
                <c:pt idx="81">
                  <c:v>0.26316480000000003</c:v>
                </c:pt>
                <c:pt idx="82">
                  <c:v>0.26584813333333335</c:v>
                </c:pt>
                <c:pt idx="83">
                  <c:v>0.26853146666666666</c:v>
                </c:pt>
                <c:pt idx="84">
                  <c:v>0.27121480000000003</c:v>
                </c:pt>
                <c:pt idx="85">
                  <c:v>0.27389813333333335</c:v>
                </c:pt>
                <c:pt idx="86">
                  <c:v>0.27658146666666672</c:v>
                </c:pt>
                <c:pt idx="87">
                  <c:v>0.27926480000000004</c:v>
                </c:pt>
                <c:pt idx="88">
                  <c:v>0.28194813333333335</c:v>
                </c:pt>
                <c:pt idx="89">
                  <c:v>0.28463146666666667</c:v>
                </c:pt>
                <c:pt idx="90">
                  <c:v>0.28731480000000004</c:v>
                </c:pt>
                <c:pt idx="91">
                  <c:v>0.28999813333333335</c:v>
                </c:pt>
                <c:pt idx="92">
                  <c:v>0.29268146666666672</c:v>
                </c:pt>
                <c:pt idx="93">
                  <c:v>0.29536479999999998</c:v>
                </c:pt>
                <c:pt idx="94">
                  <c:v>0.29804813333333335</c:v>
                </c:pt>
                <c:pt idx="95">
                  <c:v>0.30073146666666667</c:v>
                </c:pt>
                <c:pt idx="96">
                  <c:v>0.30341480000000004</c:v>
                </c:pt>
                <c:pt idx="97">
                  <c:v>0.30609813333333336</c:v>
                </c:pt>
                <c:pt idx="98">
                  <c:v>0.30878146666666667</c:v>
                </c:pt>
                <c:pt idx="99">
                  <c:v>0.31146479999999999</c:v>
                </c:pt>
                <c:pt idx="100">
                  <c:v>0.31414813333333336</c:v>
                </c:pt>
                <c:pt idx="101">
                  <c:v>0.31683146666666667</c:v>
                </c:pt>
                <c:pt idx="102">
                  <c:v>0.31951479999999999</c:v>
                </c:pt>
                <c:pt idx="103">
                  <c:v>0.32219813333333336</c:v>
                </c:pt>
                <c:pt idx="104">
                  <c:v>0.32488146666666667</c:v>
                </c:pt>
                <c:pt idx="105">
                  <c:v>0.32756480000000004</c:v>
                </c:pt>
                <c:pt idx="106">
                  <c:v>0.33024813333333336</c:v>
                </c:pt>
                <c:pt idx="107">
                  <c:v>0.33293146666666668</c:v>
                </c:pt>
                <c:pt idx="108">
                  <c:v>0.33561479999999999</c:v>
                </c:pt>
                <c:pt idx="109">
                  <c:v>0.33829813333333336</c:v>
                </c:pt>
                <c:pt idx="110">
                  <c:v>0.34098146666666668</c:v>
                </c:pt>
                <c:pt idx="111">
                  <c:v>0.34366480000000005</c:v>
                </c:pt>
                <c:pt idx="112">
                  <c:v>0.34634813333333331</c:v>
                </c:pt>
                <c:pt idx="113">
                  <c:v>0.34903146666666668</c:v>
                </c:pt>
                <c:pt idx="114">
                  <c:v>0.35171479999999999</c:v>
                </c:pt>
                <c:pt idx="115">
                  <c:v>0.35439813333333336</c:v>
                </c:pt>
                <c:pt idx="116">
                  <c:v>0.35708146666666668</c:v>
                </c:pt>
                <c:pt idx="117">
                  <c:v>0.3597648</c:v>
                </c:pt>
                <c:pt idx="118">
                  <c:v>0.36244813333333337</c:v>
                </c:pt>
                <c:pt idx="119">
                  <c:v>0.36513146666666668</c:v>
                </c:pt>
                <c:pt idx="120">
                  <c:v>0.36781480000000005</c:v>
                </c:pt>
                <c:pt idx="121">
                  <c:v>0.37049813333333331</c:v>
                </c:pt>
                <c:pt idx="122">
                  <c:v>0.37318146666666668</c:v>
                </c:pt>
                <c:pt idx="123">
                  <c:v>0.3758648</c:v>
                </c:pt>
                <c:pt idx="124">
                  <c:v>0.37854813333333337</c:v>
                </c:pt>
                <c:pt idx="125">
                  <c:v>0.38123146666666669</c:v>
                </c:pt>
                <c:pt idx="126">
                  <c:v>0.3839148</c:v>
                </c:pt>
                <c:pt idx="127">
                  <c:v>0.38659813333333332</c:v>
                </c:pt>
                <c:pt idx="128">
                  <c:v>0.38928146666666669</c:v>
                </c:pt>
                <c:pt idx="129">
                  <c:v>0.39196480000000006</c:v>
                </c:pt>
                <c:pt idx="130">
                  <c:v>0.39464813333333337</c:v>
                </c:pt>
                <c:pt idx="131">
                  <c:v>0.39733146666666669</c:v>
                </c:pt>
                <c:pt idx="132">
                  <c:v>0.4000148</c:v>
                </c:pt>
                <c:pt idx="133">
                  <c:v>0.40269813333333337</c:v>
                </c:pt>
                <c:pt idx="134">
                  <c:v>0.40538146666666669</c:v>
                </c:pt>
                <c:pt idx="135">
                  <c:v>0.40806480000000006</c:v>
                </c:pt>
                <c:pt idx="136">
                  <c:v>0.41074813333333332</c:v>
                </c:pt>
                <c:pt idx="137">
                  <c:v>0.41343146666666669</c:v>
                </c:pt>
                <c:pt idx="138">
                  <c:v>0.41611480000000001</c:v>
                </c:pt>
                <c:pt idx="139">
                  <c:v>0.41879813333333338</c:v>
                </c:pt>
                <c:pt idx="140">
                  <c:v>0.42148146666666664</c:v>
                </c:pt>
                <c:pt idx="141">
                  <c:v>0.42416480000000001</c:v>
                </c:pt>
                <c:pt idx="142">
                  <c:v>0.42684813333333338</c:v>
                </c:pt>
                <c:pt idx="143">
                  <c:v>0.42953146666666669</c:v>
                </c:pt>
                <c:pt idx="144">
                  <c:v>0.43221480000000007</c:v>
                </c:pt>
                <c:pt idx="145">
                  <c:v>0.43489813333333333</c:v>
                </c:pt>
                <c:pt idx="146">
                  <c:v>0.4375814666666667</c:v>
                </c:pt>
                <c:pt idx="147">
                  <c:v>0.44026480000000001</c:v>
                </c:pt>
                <c:pt idx="148">
                  <c:v>0.44294813333333338</c:v>
                </c:pt>
                <c:pt idx="149">
                  <c:v>0.4456314666666667</c:v>
                </c:pt>
                <c:pt idx="150">
                  <c:v>0.44831480000000001</c:v>
                </c:pt>
              </c:numCache>
            </c:numRef>
          </c:yVal>
          <c:smooth val="1"/>
          <c:extLst>
            <c:ext xmlns:c16="http://schemas.microsoft.com/office/drawing/2014/chart" uri="{C3380CC4-5D6E-409C-BE32-E72D297353CC}">
              <c16:uniqueId val="{00000002-8AEF-4CD2-9E91-5056CF00EB36}"/>
            </c:ext>
          </c:extLst>
        </c:ser>
        <c:ser>
          <c:idx val="3"/>
          <c:order val="3"/>
          <c:tx>
            <c:v>RCS</c:v>
          </c:tx>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Eff_vs_IOUT!$AO$7:$AO$157</c:f>
              <c:numCache>
                <c:formatCode>General</c:formatCode>
                <c:ptCount val="151"/>
                <c:pt idx="0">
                  <c:v>0</c:v>
                </c:pt>
                <c:pt idx="1">
                  <c:v>3.8081419179491834E-5</c:v>
                </c:pt>
                <c:pt idx="2">
                  <c:v>1.0771051895610451E-4</c:v>
                </c:pt>
                <c:pt idx="3">
                  <c:v>1.9787685852962322E-4</c:v>
                </c:pt>
                <c:pt idx="4">
                  <c:v>3.0465135343593467E-4</c:v>
                </c:pt>
                <c:pt idx="5">
                  <c:v>4.2576320982503984E-4</c:v>
                </c:pt>
                <c:pt idx="6">
                  <c:v>5.5968027402475092E-4</c:v>
                </c:pt>
                <c:pt idx="7">
                  <c:v>7.0527775304938492E-4</c:v>
                </c:pt>
                <c:pt idx="8">
                  <c:v>8.6168415164883589E-4</c:v>
                </c:pt>
                <c:pt idx="9">
                  <c:v>1.0281983178462798E-3</c:v>
                </c:pt>
                <c:pt idx="10">
                  <c:v>1.2042402113881464E-3</c:v>
                </c:pt>
                <c:pt idx="11">
                  <c:v>1.3893195679288001E-3</c:v>
                </c:pt>
                <c:pt idx="12">
                  <c:v>1.5830148682369858E-3</c:v>
                </c:pt>
                <c:pt idx="13">
                  <c:v>1.784958623423242E-3</c:v>
                </c:pt>
                <c:pt idx="14">
                  <c:v>1.9948267272049246E-3</c:v>
                </c:pt>
                <c:pt idx="15">
                  <c:v>2.2123305342317328E-3</c:v>
                </c:pt>
                <c:pt idx="16">
                  <c:v>2.4372108274874774E-3</c:v>
                </c:pt>
                <c:pt idx="17">
                  <c:v>2.6692331320579401E-3</c:v>
                </c:pt>
                <c:pt idx="18">
                  <c:v>2.9081840118148207E-3</c:v>
                </c:pt>
                <c:pt idx="19">
                  <c:v>3.1538680987703116E-3</c:v>
                </c:pt>
                <c:pt idx="20">
                  <c:v>3.4061056786003191E-3</c:v>
                </c:pt>
                <c:pt idx="21">
                  <c:v>3.6647307051886529E-3</c:v>
                </c:pt>
                <c:pt idx="22">
                  <c:v>3.9295891508704757E-3</c:v>
                </c:pt>
                <c:pt idx="23">
                  <c:v>4.2005376227303264E-3</c:v>
                </c:pt>
                <c:pt idx="24">
                  <c:v>4.4774421921980074E-3</c:v>
                </c:pt>
                <c:pt idx="25">
                  <c:v>4.7601773974364787E-3</c:v>
                </c:pt>
                <c:pt idx="26">
                  <c:v>5.0486253870399202E-3</c:v>
                </c:pt>
                <c:pt idx="27">
                  <c:v>5.3426751802998279E-3</c:v>
                </c:pt>
                <c:pt idx="28">
                  <c:v>5.6422220243950803E-3</c:v>
                </c:pt>
                <c:pt idx="29">
                  <c:v>5.9471668327629526E-3</c:v>
                </c:pt>
                <c:pt idx="30">
                  <c:v>6.2574156919252633E-3</c:v>
                </c:pt>
                <c:pt idx="31">
                  <c:v>6.572879426400554E-3</c:v>
                </c:pt>
                <c:pt idx="32">
                  <c:v>6.8934732131906888E-3</c:v>
                </c:pt>
                <c:pt idx="33">
                  <c:v>7.2191162388069623E-3</c:v>
                </c:pt>
                <c:pt idx="34">
                  <c:v>7.5497313929839037E-3</c:v>
                </c:pt>
                <c:pt idx="35">
                  <c:v>7.8852449941836742E-3</c:v>
                </c:pt>
                <c:pt idx="36">
                  <c:v>8.225586542770235E-3</c:v>
                </c:pt>
                <c:pt idx="37">
                  <c:v>8.5706884983669327E-3</c:v>
                </c:pt>
                <c:pt idx="38">
                  <c:v>8.9204860784336468E-3</c:v>
                </c:pt>
                <c:pt idx="39">
                  <c:v>9.2749170755317793E-3</c:v>
                </c:pt>
                <c:pt idx="40">
                  <c:v>9.6339216911051698E-3</c:v>
                </c:pt>
                <c:pt idx="41">
                  <c:v>9.9974423839058156E-3</c:v>
                </c:pt>
                <c:pt idx="42">
                  <c:v>1.0365423731445817E-2</c:v>
                </c:pt>
                <c:pt idx="43">
                  <c:v>1.073781230307079E-2</c:v>
                </c:pt>
                <c:pt idx="44">
                  <c:v>1.1114556543430401E-2</c:v>
                </c:pt>
                <c:pt idx="45">
                  <c:v>1.1495606665276074E-2</c:v>
                </c:pt>
                <c:pt idx="46">
                  <c:v>1.188091455064734E-2</c:v>
                </c:pt>
                <c:pt idx="47">
                  <c:v>1.2270433659621133E-2</c:v>
                </c:pt>
                <c:pt idx="48">
                  <c:v>1.2664118945895886E-2</c:v>
                </c:pt>
                <c:pt idx="49">
                  <c:v>1.5361661925159878E-2</c:v>
                </c:pt>
                <c:pt idx="50">
                  <c:v>1.5860735999233953E-2</c:v>
                </c:pt>
                <c:pt idx="51">
                  <c:v>1.6369892377834764E-2</c:v>
                </c:pt>
                <c:pt idx="52">
                  <c:v>1.6889131060962344E-2</c:v>
                </c:pt>
                <c:pt idx="53">
                  <c:v>1.7418452048616657E-2</c:v>
                </c:pt>
                <c:pt idx="54">
                  <c:v>1.7957855340797739E-2</c:v>
                </c:pt>
                <c:pt idx="55">
                  <c:v>1.8507340937505556E-2</c:v>
                </c:pt>
                <c:pt idx="56">
                  <c:v>1.9066908838740119E-2</c:v>
                </c:pt>
                <c:pt idx="57">
                  <c:v>1.9636559044501428E-2</c:v>
                </c:pt>
                <c:pt idx="58">
                  <c:v>2.02162915547895E-2</c:v>
                </c:pt>
                <c:pt idx="59">
                  <c:v>2.0806106369604324E-2</c:v>
                </c:pt>
                <c:pt idx="60">
                  <c:v>2.1406003488945897E-2</c:v>
                </c:pt>
                <c:pt idx="61">
                  <c:v>2.2015982912814192E-2</c:v>
                </c:pt>
                <c:pt idx="62">
                  <c:v>2.2636044641209257E-2</c:v>
                </c:pt>
                <c:pt idx="63">
                  <c:v>2.3266188674131067E-2</c:v>
                </c:pt>
                <c:pt idx="64">
                  <c:v>2.3906415011579623E-2</c:v>
                </c:pt>
                <c:pt idx="65">
                  <c:v>2.4556723653554945E-2</c:v>
                </c:pt>
                <c:pt idx="66">
                  <c:v>2.5217114600056982E-2</c:v>
                </c:pt>
                <c:pt idx="67">
                  <c:v>2.5887587851085796E-2</c:v>
                </c:pt>
                <c:pt idx="68">
                  <c:v>2.6568143406641358E-2</c:v>
                </c:pt>
                <c:pt idx="69">
                  <c:v>2.7258781266723667E-2</c:v>
                </c:pt>
                <c:pt idx="70">
                  <c:v>2.7959501431332707E-2</c:v>
                </c:pt>
                <c:pt idx="71">
                  <c:v>2.8670303900468513E-2</c:v>
                </c:pt>
                <c:pt idx="72">
                  <c:v>2.9391188674131066E-2</c:v>
                </c:pt>
                <c:pt idx="73">
                  <c:v>3.0122155752320367E-2</c:v>
                </c:pt>
                <c:pt idx="74">
                  <c:v>3.0863205135036421E-2</c:v>
                </c:pt>
                <c:pt idx="75">
                  <c:v>3.1614336822279203E-2</c:v>
                </c:pt>
                <c:pt idx="76">
                  <c:v>3.2375550814048755E-2</c:v>
                </c:pt>
                <c:pt idx="77">
                  <c:v>3.3146847110345067E-2</c:v>
                </c:pt>
                <c:pt idx="78">
                  <c:v>3.3928225711168096E-2</c:v>
                </c:pt>
                <c:pt idx="79">
                  <c:v>3.4719686616517892E-2</c:v>
                </c:pt>
                <c:pt idx="80">
                  <c:v>3.5521229826394433E-2</c:v>
                </c:pt>
                <c:pt idx="81">
                  <c:v>3.6332855340797734E-2</c:v>
                </c:pt>
                <c:pt idx="82">
                  <c:v>3.7154563159727753E-2</c:v>
                </c:pt>
                <c:pt idx="83">
                  <c:v>3.798635328318456E-2</c:v>
                </c:pt>
                <c:pt idx="84">
                  <c:v>3.8828225711168105E-2</c:v>
                </c:pt>
                <c:pt idx="85">
                  <c:v>3.9680180443678388E-2</c:v>
                </c:pt>
                <c:pt idx="86">
                  <c:v>4.0542217480715445E-2</c:v>
                </c:pt>
                <c:pt idx="87">
                  <c:v>4.1414336822279241E-2</c:v>
                </c:pt>
                <c:pt idx="88">
                  <c:v>4.2296538468369747E-2</c:v>
                </c:pt>
                <c:pt idx="89">
                  <c:v>4.318882241898702E-2</c:v>
                </c:pt>
                <c:pt idx="90">
                  <c:v>4.4091188674131088E-2</c:v>
                </c:pt>
                <c:pt idx="91">
                  <c:v>4.5003637233801824E-2</c:v>
                </c:pt>
                <c:pt idx="92">
                  <c:v>4.592616809799939E-2</c:v>
                </c:pt>
                <c:pt idx="93">
                  <c:v>4.6858781266723659E-2</c:v>
                </c:pt>
                <c:pt idx="94">
                  <c:v>4.7801476739974702E-2</c:v>
                </c:pt>
                <c:pt idx="95">
                  <c:v>4.8754254517752477E-2</c:v>
                </c:pt>
                <c:pt idx="96">
                  <c:v>4.9717114600056969E-2</c:v>
                </c:pt>
                <c:pt idx="97">
                  <c:v>5.069005698688827E-2</c:v>
                </c:pt>
                <c:pt idx="98">
                  <c:v>5.1673081678246316E-2</c:v>
                </c:pt>
                <c:pt idx="99">
                  <c:v>5.2666188674131073E-2</c:v>
                </c:pt>
                <c:pt idx="100">
                  <c:v>5.3669377974542604E-2</c:v>
                </c:pt>
                <c:pt idx="101">
                  <c:v>5.4682649579480859E-2</c:v>
                </c:pt>
                <c:pt idx="102">
                  <c:v>5.5706003488945853E-2</c:v>
                </c:pt>
                <c:pt idx="103">
                  <c:v>5.6739439702937634E-2</c:v>
                </c:pt>
                <c:pt idx="104">
                  <c:v>5.7782958221456168E-2</c:v>
                </c:pt>
                <c:pt idx="105">
                  <c:v>5.8836559044501434E-2</c:v>
                </c:pt>
                <c:pt idx="106">
                  <c:v>5.9900242172073445E-2</c:v>
                </c:pt>
                <c:pt idx="107">
                  <c:v>6.0974007604172195E-2</c:v>
                </c:pt>
                <c:pt idx="108">
                  <c:v>6.2057855340797725E-2</c:v>
                </c:pt>
                <c:pt idx="109">
                  <c:v>6.3151785381949987E-2</c:v>
                </c:pt>
                <c:pt idx="110">
                  <c:v>6.4255797727629016E-2</c:v>
                </c:pt>
                <c:pt idx="111">
                  <c:v>6.5369892377834776E-2</c:v>
                </c:pt>
                <c:pt idx="112">
                  <c:v>6.6494069332567254E-2</c:v>
                </c:pt>
                <c:pt idx="113">
                  <c:v>6.762832859182652E-2</c:v>
                </c:pt>
                <c:pt idx="114">
                  <c:v>6.8772670155612545E-2</c:v>
                </c:pt>
                <c:pt idx="115">
                  <c:v>6.9927094023925301E-2</c:v>
                </c:pt>
                <c:pt idx="116">
                  <c:v>7.1091600196764818E-2</c:v>
                </c:pt>
                <c:pt idx="117">
                  <c:v>7.2266188674131052E-2</c:v>
                </c:pt>
                <c:pt idx="118">
                  <c:v>7.3450859456024073E-2</c:v>
                </c:pt>
                <c:pt idx="119">
                  <c:v>7.4645612542443812E-2</c:v>
                </c:pt>
                <c:pt idx="120">
                  <c:v>7.5850447933390339E-2</c:v>
                </c:pt>
                <c:pt idx="121">
                  <c:v>7.7065365628863597E-2</c:v>
                </c:pt>
                <c:pt idx="122">
                  <c:v>7.8290365628863573E-2</c:v>
                </c:pt>
                <c:pt idx="123">
                  <c:v>7.9525447933390322E-2</c:v>
                </c:pt>
                <c:pt idx="124">
                  <c:v>8.0770612542443845E-2</c:v>
                </c:pt>
                <c:pt idx="125">
                  <c:v>8.2025859456024086E-2</c:v>
                </c:pt>
                <c:pt idx="126">
                  <c:v>8.3291188674131045E-2</c:v>
                </c:pt>
                <c:pt idx="127">
                  <c:v>8.4566600196764805E-2</c:v>
                </c:pt>
                <c:pt idx="128">
                  <c:v>8.585209402392531E-2</c:v>
                </c:pt>
                <c:pt idx="129">
                  <c:v>8.7147670155612561E-2</c:v>
                </c:pt>
                <c:pt idx="130">
                  <c:v>8.845332859182653E-2</c:v>
                </c:pt>
                <c:pt idx="131">
                  <c:v>8.97690693325673E-2</c:v>
                </c:pt>
                <c:pt idx="132">
                  <c:v>9.1094892377834746E-2</c:v>
                </c:pt>
                <c:pt idx="133">
                  <c:v>9.2430797727629022E-2</c:v>
                </c:pt>
                <c:pt idx="134">
                  <c:v>9.3776785381950015E-2</c:v>
                </c:pt>
                <c:pt idx="135">
                  <c:v>9.5132855340797781E-2</c:v>
                </c:pt>
                <c:pt idx="136">
                  <c:v>9.649900760417221E-2</c:v>
                </c:pt>
                <c:pt idx="137">
                  <c:v>9.7875242172073454E-2</c:v>
                </c:pt>
                <c:pt idx="138">
                  <c:v>9.926155904450143E-2</c:v>
                </c:pt>
                <c:pt idx="139">
                  <c:v>0.10065795822145621</c:v>
                </c:pt>
                <c:pt idx="140">
                  <c:v>0.10206443970293765</c:v>
                </c:pt>
                <c:pt idx="141">
                  <c:v>0.10348100348894589</c:v>
                </c:pt>
                <c:pt idx="142">
                  <c:v>0.1049076495794809</c:v>
                </c:pt>
                <c:pt idx="143">
                  <c:v>0.10634437797454256</c:v>
                </c:pt>
                <c:pt idx="144">
                  <c:v>0.10779118867413105</c:v>
                </c:pt>
                <c:pt idx="145">
                  <c:v>0.10924808167824629</c:v>
                </c:pt>
                <c:pt idx="146">
                  <c:v>0.11071505698688829</c:v>
                </c:pt>
                <c:pt idx="147">
                  <c:v>0.11219211460005701</c:v>
                </c:pt>
                <c:pt idx="148">
                  <c:v>0.11367925451775251</c:v>
                </c:pt>
                <c:pt idx="149">
                  <c:v>0.11517647673997473</c:v>
                </c:pt>
                <c:pt idx="150">
                  <c:v>0.11668378126672367</c:v>
                </c:pt>
              </c:numCache>
            </c:numRef>
          </c:yVal>
          <c:smooth val="1"/>
          <c:extLst>
            <c:ext xmlns:c16="http://schemas.microsoft.com/office/drawing/2014/chart" uri="{C3380CC4-5D6E-409C-BE32-E72D297353CC}">
              <c16:uniqueId val="{00000003-8AEF-4CD2-9E91-5056CF00EB36}"/>
            </c:ext>
          </c:extLst>
        </c:ser>
        <c:dLbls>
          <c:showLegendKey val="0"/>
          <c:showVal val="0"/>
          <c:showCatName val="0"/>
          <c:showSerName val="0"/>
          <c:showPercent val="0"/>
          <c:showBubbleSize val="0"/>
        </c:dLbls>
        <c:axId val="145058432"/>
        <c:axId val="145056896"/>
      </c:scatterChart>
      <c:valAx>
        <c:axId val="145036800"/>
        <c:scaling>
          <c:orientation val="minMax"/>
        </c:scaling>
        <c:delete val="0"/>
        <c:axPos val="b"/>
        <c:majorGridlines/>
        <c:numFmt formatCode="General" sourceLinked="1"/>
        <c:majorTickMark val="out"/>
        <c:minorTickMark val="none"/>
        <c:tickLblPos val="nextTo"/>
        <c:crossAx val="145038336"/>
        <c:crosses val="autoZero"/>
        <c:crossBetween val="midCat"/>
      </c:valAx>
      <c:valAx>
        <c:axId val="145038336"/>
        <c:scaling>
          <c:orientation val="minMax"/>
          <c:max val="10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145036800"/>
        <c:crosses val="autoZero"/>
        <c:crossBetween val="midCat"/>
      </c:valAx>
      <c:valAx>
        <c:axId val="145056896"/>
        <c:scaling>
          <c:orientation val="minMax"/>
        </c:scaling>
        <c:delete val="0"/>
        <c:axPos val="r"/>
        <c:numFmt formatCode="General" sourceLinked="1"/>
        <c:majorTickMark val="out"/>
        <c:minorTickMark val="none"/>
        <c:tickLblPos val="nextTo"/>
        <c:crossAx val="145058432"/>
        <c:crosses val="max"/>
        <c:crossBetween val="midCat"/>
      </c:valAx>
      <c:valAx>
        <c:axId val="145058432"/>
        <c:scaling>
          <c:orientation val="minMax"/>
        </c:scaling>
        <c:delete val="1"/>
        <c:axPos val="b"/>
        <c:numFmt formatCode="General" sourceLinked="1"/>
        <c:majorTickMark val="out"/>
        <c:minorTickMark val="none"/>
        <c:tickLblPos val="nextTo"/>
        <c:crossAx val="145056896"/>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26.32446194582527</c:v>
                </c:pt>
                <c:pt idx="1">
                  <c:v>26.324417777300866</c:v>
                </c:pt>
                <c:pt idx="2">
                  <c:v>26.324371527659956</c:v>
                </c:pt>
                <c:pt idx="3">
                  <c:v>26.324323098869161</c:v>
                </c:pt>
                <c:pt idx="4">
                  <c:v>26.324272388279269</c:v>
                </c:pt>
                <c:pt idx="5">
                  <c:v>26.324219288408344</c:v>
                </c:pt>
                <c:pt idx="6">
                  <c:v>26.324163686714286</c:v>
                </c:pt>
                <c:pt idx="7">
                  <c:v>26.324105465356993</c:v>
                </c:pt>
                <c:pt idx="8">
                  <c:v>26.324044500949213</c:v>
                </c:pt>
                <c:pt idx="9">
                  <c:v>26.323980664295728</c:v>
                </c:pt>
                <c:pt idx="10">
                  <c:v>26.323913820120382</c:v>
                </c:pt>
                <c:pt idx="11">
                  <c:v>26.323843826780152</c:v>
                </c:pt>
                <c:pt idx="12">
                  <c:v>26.323770535965938</c:v>
                </c:pt>
                <c:pt idx="13">
                  <c:v>26.323693792389228</c:v>
                </c:pt>
                <c:pt idx="14">
                  <c:v>26.323613433454419</c:v>
                </c:pt>
                <c:pt idx="15">
                  <c:v>26.323529288915321</c:v>
                </c:pt>
                <c:pt idx="16">
                  <c:v>26.323441180515672</c:v>
                </c:pt>
                <c:pt idx="17">
                  <c:v>26.323348921613299</c:v>
                </c:pt>
                <c:pt idx="18">
                  <c:v>26.323252316785851</c:v>
                </c:pt>
                <c:pt idx="19">
                  <c:v>26.323151161419172</c:v>
                </c:pt>
                <c:pt idx="20">
                  <c:v>26.323045241275111</c:v>
                </c:pt>
                <c:pt idx="21">
                  <c:v>26.322934332040475</c:v>
                </c:pt>
                <c:pt idx="22">
                  <c:v>26.322818198854044</c:v>
                </c:pt>
                <c:pt idx="23">
                  <c:v>26.322696595811617</c:v>
                </c:pt>
                <c:pt idx="24">
                  <c:v>26.322569265448031</c:v>
                </c:pt>
                <c:pt idx="25">
                  <c:v>26.322435938195309</c:v>
                </c:pt>
                <c:pt idx="26">
                  <c:v>26.32229633181489</c:v>
                </c:pt>
                <c:pt idx="27">
                  <c:v>26.322150150804053</c:v>
                </c:pt>
                <c:pt idx="28">
                  <c:v>26.321997085774385</c:v>
                </c:pt>
                <c:pt idx="29">
                  <c:v>26.321836812800914</c:v>
                </c:pt>
                <c:pt idx="30">
                  <c:v>26.321668992741756</c:v>
                </c:pt>
                <c:pt idx="31">
                  <c:v>26.321493270525686</c:v>
                </c:pt>
                <c:pt idx="32">
                  <c:v>26.321309274406044</c:v>
                </c:pt>
                <c:pt idx="33">
                  <c:v>26.32111661518136</c:v>
                </c:pt>
                <c:pt idx="34">
                  <c:v>26.320914885378034</c:v>
                </c:pt>
                <c:pt idx="35">
                  <c:v>26.320703658396919</c:v>
                </c:pt>
                <c:pt idx="36">
                  <c:v>26.320482487618733</c:v>
                </c:pt>
                <c:pt idx="37">
                  <c:v>26.320250905469123</c:v>
                </c:pt>
                <c:pt idx="38">
                  <c:v>26.320008422439841</c:v>
                </c:pt>
                <c:pt idx="39">
                  <c:v>26.319754526065203</c:v>
                </c:pt>
                <c:pt idx="40">
                  <c:v>26.319488679850377</c:v>
                </c:pt>
                <c:pt idx="41">
                  <c:v>26.31921032215141</c:v>
                </c:pt>
                <c:pt idx="42">
                  <c:v>26.318918865002168</c:v>
                </c:pt>
                <c:pt idx="43">
                  <c:v>26.318613692889127</c:v>
                </c:pt>
                <c:pt idx="44">
                  <c:v>26.318294161467328</c:v>
                </c:pt>
                <c:pt idx="45">
                  <c:v>26.317959596219946</c:v>
                </c:pt>
                <c:pt idx="46">
                  <c:v>26.317609291053735</c:v>
                </c:pt>
                <c:pt idx="47">
                  <c:v>26.317242506832734</c:v>
                </c:pt>
                <c:pt idx="48">
                  <c:v>26.31685846984244</c:v>
                </c:pt>
                <c:pt idx="49">
                  <c:v>26.316456370185179</c:v>
                </c:pt>
                <c:pt idx="50">
                  <c:v>26.316035360101925</c:v>
                </c:pt>
                <c:pt idx="51">
                  <c:v>26.315594552217128</c:v>
                </c:pt>
                <c:pt idx="52">
                  <c:v>26.315133017704511</c:v>
                </c:pt>
                <c:pt idx="53">
                  <c:v>26.314649784368701</c:v>
                </c:pt>
                <c:pt idx="54">
                  <c:v>26.314143834640156</c:v>
                </c:pt>
                <c:pt idx="55">
                  <c:v>26.313614103479829</c:v>
                </c:pt>
                <c:pt idx="56">
                  <c:v>26.313059476187949</c:v>
                </c:pt>
                <c:pt idx="57">
                  <c:v>26.312478786115289</c:v>
                </c:pt>
                <c:pt idx="58">
                  <c:v>26.311870812270769</c:v>
                </c:pt>
                <c:pt idx="59">
                  <c:v>26.311234276821509</c:v>
                </c:pt>
                <c:pt idx="60">
                  <c:v>26.310567842481785</c:v>
                </c:pt>
                <c:pt idx="61">
                  <c:v>26.309870109783908</c:v>
                </c:pt>
                <c:pt idx="62">
                  <c:v>26.309139614229089</c:v>
                </c:pt>
                <c:pt idx="63">
                  <c:v>26.308374823310771</c:v>
                </c:pt>
                <c:pt idx="64">
                  <c:v>26.307574133405993</c:v>
                </c:pt>
                <c:pt idx="65">
                  <c:v>26.306735866530403</c:v>
                </c:pt>
                <c:pt idx="66">
                  <c:v>26.305858266948899</c:v>
                </c:pt>
                <c:pt idx="67">
                  <c:v>26.304939497639431</c:v>
                </c:pt>
                <c:pt idx="68">
                  <c:v>26.30397763660072</c:v>
                </c:pt>
                <c:pt idx="69">
                  <c:v>26.302970672999606</c:v>
                </c:pt>
                <c:pt idx="70">
                  <c:v>26.30191650315188</c:v>
                </c:pt>
                <c:pt idx="71">
                  <c:v>26.300812926328554</c:v>
                </c:pt>
                <c:pt idx="72">
                  <c:v>26.299657640382495</c:v>
                </c:pt>
                <c:pt idx="73">
                  <c:v>26.298448237187632</c:v>
                </c:pt>
                <c:pt idx="74">
                  <c:v>26.297182197884226</c:v>
                </c:pt>
                <c:pt idx="75">
                  <c:v>26.295856887921563</c:v>
                </c:pt>
                <c:pt idx="76">
                  <c:v>26.294469551893531</c:v>
                </c:pt>
                <c:pt idx="77">
                  <c:v>26.29301730815628</c:v>
                </c:pt>
                <c:pt idx="78">
                  <c:v>26.291497143222763</c:v>
                </c:pt>
                <c:pt idx="79">
                  <c:v>26.289905905925121</c:v>
                </c:pt>
                <c:pt idx="80">
                  <c:v>26.288240301336661</c:v>
                </c:pt>
                <c:pt idx="81">
                  <c:v>26.286496884447317</c:v>
                </c:pt>
                <c:pt idx="82">
                  <c:v>26.284672053581698</c:v>
                </c:pt>
                <c:pt idx="83">
                  <c:v>26.282762043554179</c:v>
                </c:pt>
                <c:pt idx="84">
                  <c:v>26.280762918550764</c:v>
                </c:pt>
                <c:pt idx="85">
                  <c:v>26.278670564730749</c:v>
                </c:pt>
                <c:pt idx="86">
                  <c:v>26.276480682539759</c:v>
                </c:pt>
                <c:pt idx="87">
                  <c:v>26.274188778725556</c:v>
                </c:pt>
                <c:pt idx="88">
                  <c:v>26.271790158048994</c:v>
                </c:pt>
                <c:pt idx="89">
                  <c:v>26.269279914681821</c:v>
                </c:pt>
                <c:pt idx="90">
                  <c:v>26.266652923284767</c:v>
                </c:pt>
                <c:pt idx="91">
                  <c:v>26.263903829756096</c:v>
                </c:pt>
                <c:pt idx="92">
                  <c:v>26.261027041646912</c:v>
                </c:pt>
                <c:pt idx="93">
                  <c:v>26.25801671823243</c:v>
                </c:pt>
                <c:pt idx="94">
                  <c:v>26.254866760236581</c:v>
                </c:pt>
                <c:pt idx="95">
                  <c:v>26.251570799201968</c:v>
                </c:pt>
                <c:pt idx="96">
                  <c:v>26.248122186500552</c:v>
                </c:pt>
                <c:pt idx="97">
                  <c:v>26.244513981980969</c:v>
                </c:pt>
                <c:pt idx="98">
                  <c:v>26.24073894224821</c:v>
                </c:pt>
                <c:pt idx="99">
                  <c:v>26.236789508574322</c:v>
                </c:pt>
                <c:pt idx="100">
                  <c:v>26.232657794436875</c:v>
                </c:pt>
                <c:pt idx="101">
                  <c:v>26.228335572685907</c:v>
                </c:pt>
                <c:pt idx="102">
                  <c:v>26.223814262340781</c:v>
                </c:pt>
                <c:pt idx="103">
                  <c:v>26.219084915018147</c:v>
                </c:pt>
                <c:pt idx="104">
                  <c:v>26.21413820099599</c:v>
                </c:pt>
                <c:pt idx="105">
                  <c:v>26.208964394921104</c:v>
                </c:pt>
                <c:pt idx="106">
                  <c:v>26.203553361165429</c:v>
                </c:pt>
                <c:pt idx="107">
                  <c:v>26.19789453884465</c:v>
                </c:pt>
                <c:pt idx="108">
                  <c:v>26.191976926510211</c:v>
                </c:pt>
                <c:pt idx="109">
                  <c:v>26.185789066531655</c:v>
                </c:pt>
                <c:pt idx="110">
                  <c:v>26.179319029187205</c:v>
                </c:pt>
                <c:pt idx="111">
                  <c:v>26.172554396485552</c:v>
                </c:pt>
                <c:pt idx="112">
                  <c:v>26.165482245744055</c:v>
                </c:pt>
                <c:pt idx="113">
                  <c:v>26.158089132952789</c:v>
                </c:pt>
                <c:pt idx="114">
                  <c:v>26.150361075958436</c:v>
                </c:pt>
                <c:pt idx="115">
                  <c:v>26.142283537506007</c:v>
                </c:pt>
                <c:pt idx="116">
                  <c:v>26.13384140818162</c:v>
                </c:pt>
                <c:pt idx="117">
                  <c:v>26.125018989303207</c:v>
                </c:pt>
                <c:pt idx="118">
                  <c:v>26.115799975815275</c:v>
                </c:pt>
                <c:pt idx="119">
                  <c:v>26.106167439243858</c:v>
                </c:pt>
                <c:pt idx="120">
                  <c:v>26.096103810779624</c:v>
                </c:pt>
                <c:pt idx="121">
                  <c:v>26.08559086456011</c:v>
                </c:pt>
                <c:pt idx="122">
                  <c:v>26.074609701229914</c:v>
                </c:pt>
                <c:pt idx="123">
                  <c:v>26.063140731864788</c:v>
                </c:pt>
                <c:pt idx="124">
                  <c:v>26.051163662353481</c:v>
                </c:pt>
                <c:pt idx="125">
                  <c:v>26.038657478337278</c:v>
                </c:pt>
                <c:pt idx="126">
                  <c:v>26.025600430817612</c:v>
                </c:pt>
                <c:pt idx="127">
                  <c:v>26.011970022548393</c:v>
                </c:pt>
                <c:pt idx="128">
                  <c:v>25.997742995337148</c:v>
                </c:pt>
                <c:pt idx="129">
                  <c:v>25.982895318391556</c:v>
                </c:pt>
                <c:pt idx="130">
                  <c:v>25.967402177851767</c:v>
                </c:pt>
                <c:pt idx="131">
                  <c:v>25.951237967658955</c:v>
                </c:pt>
                <c:pt idx="132">
                  <c:v>25.934376281921313</c:v>
                </c:pt>
                <c:pt idx="133">
                  <c:v>25.916789908941851</c:v>
                </c:pt>
                <c:pt idx="134">
                  <c:v>25.898450827085266</c:v>
                </c:pt>
                <c:pt idx="135">
                  <c:v>25.879330202663414</c:v>
                </c:pt>
                <c:pt idx="136">
                  <c:v>25.859398390031117</c:v>
                </c:pt>
                <c:pt idx="137">
                  <c:v>25.838624934083469</c:v>
                </c:pt>
                <c:pt idx="138">
                  <c:v>25.816978575356874</c:v>
                </c:pt>
                <c:pt idx="139">
                  <c:v>25.79442725793556</c:v>
                </c:pt>
                <c:pt idx="140">
                  <c:v>25.770938140370472</c:v>
                </c:pt>
                <c:pt idx="141">
                  <c:v>25.746477609816839</c:v>
                </c:pt>
                <c:pt idx="142">
                  <c:v>25.721011299597578</c:v>
                </c:pt>
                <c:pt idx="143">
                  <c:v>25.694504110395108</c:v>
                </c:pt>
                <c:pt idx="144">
                  <c:v>25.666920235273352</c:v>
                </c:pt>
                <c:pt idx="145">
                  <c:v>25.638223188719401</c:v>
                </c:pt>
                <c:pt idx="146">
                  <c:v>25.608375839889653</c:v>
                </c:pt>
                <c:pt idx="147">
                  <c:v>25.577340450231077</c:v>
                </c:pt>
                <c:pt idx="148">
                  <c:v>25.545078715631824</c:v>
                </c:pt>
                <c:pt idx="149">
                  <c:v>25.511551813240093</c:v>
                </c:pt>
                <c:pt idx="150">
                  <c:v>25.476720453066328</c:v>
                </c:pt>
                <c:pt idx="151">
                  <c:v>25.440544934459773</c:v>
                </c:pt>
                <c:pt idx="152">
                  <c:v>25.402985207522622</c:v>
                </c:pt>
                <c:pt idx="153">
                  <c:v>25.364000939493291</c:v>
                </c:pt>
                <c:pt idx="154">
                  <c:v>25.323551586094474</c:v>
                </c:pt>
                <c:pt idx="155">
                  <c:v>25.281596467804135</c:v>
                </c:pt>
                <c:pt idx="156">
                  <c:v>25.238094850966277</c:v>
                </c:pt>
                <c:pt idx="157">
                  <c:v>25.193006033612832</c:v>
                </c:pt>
                <c:pt idx="158">
                  <c:v>25.146289435822396</c:v>
                </c:pt>
                <c:pt idx="159">
                  <c:v>25.097904694390337</c:v>
                </c:pt>
                <c:pt idx="160">
                  <c:v>25.047811761536337</c:v>
                </c:pt>
                <c:pt idx="161">
                  <c:v>24.995971007319699</c:v>
                </c:pt>
                <c:pt idx="162">
                  <c:v>24.942343325383241</c:v>
                </c:pt>
                <c:pt idx="163">
                  <c:v>24.886890241591111</c:v>
                </c:pt>
                <c:pt idx="164">
                  <c:v>24.829574025074479</c:v>
                </c:pt>
                <c:pt idx="165">
                  <c:v>24.770357801149743</c:v>
                </c:pt>
                <c:pt idx="166">
                  <c:v>24.709205665524014</c:v>
                </c:pt>
                <c:pt idx="167">
                  <c:v>24.646082799159579</c:v>
                </c:pt>
                <c:pt idx="168">
                  <c:v>24.580955583127807</c:v>
                </c:pt>
                <c:pt idx="169">
                  <c:v>24.513791712748841</c:v>
                </c:pt>
                <c:pt idx="170">
                  <c:v>24.444560310284189</c:v>
                </c:pt>
                <c:pt idx="171">
                  <c:v>24.373232035425684</c:v>
                </c:pt>
                <c:pt idx="172">
                  <c:v>24.29977919281378</c:v>
                </c:pt>
                <c:pt idx="173">
                  <c:v>24.224175835806644</c:v>
                </c:pt>
                <c:pt idx="174">
                  <c:v>24.146397865729909</c:v>
                </c:pt>
                <c:pt idx="175">
                  <c:v>24.066423125844949</c:v>
                </c:pt>
                <c:pt idx="176">
                  <c:v>23.984231489296953</c:v>
                </c:pt>
                <c:pt idx="177">
                  <c:v>23.899804940335045</c:v>
                </c:pt>
                <c:pt idx="178">
                  <c:v>23.813127648137034</c:v>
                </c:pt>
                <c:pt idx="179">
                  <c:v>23.724186032622065</c:v>
                </c:pt>
                <c:pt idx="180">
                  <c:v>23.632968821691552</c:v>
                </c:pt>
                <c:pt idx="181">
                  <c:v>23.53946709940822</c:v>
                </c:pt>
                <c:pt idx="182">
                  <c:v>23.443674344693424</c:v>
                </c:pt>
                <c:pt idx="183">
                  <c:v>23.345586460206885</c:v>
                </c:pt>
                <c:pt idx="184">
                  <c:v>23.245201791155552</c:v>
                </c:pt>
                <c:pt idx="185">
                  <c:v>23.142521133869085</c:v>
                </c:pt>
                <c:pt idx="186">
                  <c:v>23.037547734070447</c:v>
                </c:pt>
                <c:pt idx="187">
                  <c:v>22.930287274863431</c:v>
                </c:pt>
                <c:pt idx="188">
                  <c:v>22.820747854550874</c:v>
                </c:pt>
                <c:pt idx="189">
                  <c:v>22.708939954488791</c:v>
                </c:pt>
                <c:pt idx="190">
                  <c:v>22.59487639726953</c:v>
                </c:pt>
                <c:pt idx="191">
                  <c:v>22.478572295608267</c:v>
                </c:pt>
                <c:pt idx="192">
                  <c:v>22.360044992388765</c:v>
                </c:pt>
                <c:pt idx="193">
                  <c:v>22.239313992390485</c:v>
                </c:pt>
                <c:pt idx="194">
                  <c:v>22.116400886286833</c:v>
                </c:pt>
                <c:pt idx="195">
                  <c:v>21.991329267556061</c:v>
                </c:pt>
                <c:pt idx="196">
                  <c:v>21.864124642993218</c:v>
                </c:pt>
                <c:pt idx="197">
                  <c:v>21.73481433755077</c:v>
                </c:pt>
                <c:pt idx="198">
                  <c:v>21.603427394256695</c:v>
                </c:pt>
                <c:pt idx="199">
                  <c:v>21.469994469982399</c:v>
                </c:pt>
                <c:pt idx="200">
                  <c:v>21.334547727837631</c:v>
                </c:pt>
                <c:pt idx="201">
                  <c:v>21.197120726968002</c:v>
                </c:pt>
                <c:pt idx="202">
                  <c:v>21.057748310523337</c:v>
                </c:pt>
                <c:pt idx="203">
                  <c:v>20.91646649254551</c:v>
                </c:pt>
                <c:pt idx="204">
                  <c:v>20.773312344499331</c:v>
                </c:pt>
                <c:pt idx="205">
                  <c:v>20.628323882139942</c:v>
                </c:pt>
                <c:pt idx="206">
                  <c:v>20.481539953370358</c:v>
                </c:pt>
                <c:pt idx="207">
                  <c:v>20.33300012770345</c:v>
                </c:pt>
                <c:pt idx="208">
                  <c:v>20.182744587894259</c:v>
                </c:pt>
                <c:pt idx="209">
                  <c:v>20.03081402426012</c:v>
                </c:pt>
                <c:pt idx="210">
                  <c:v>19.877249532156664</c:v>
                </c:pt>
                <c:pt idx="211">
                  <c:v>19.722092513021597</c:v>
                </c:pt>
                <c:pt idx="212">
                  <c:v>19.565384579349427</c:v>
                </c:pt>
                <c:pt idx="213">
                  <c:v>19.407167463904639</c:v>
                </c:pt>
                <c:pt idx="214">
                  <c:v>19.247482933429929</c:v>
                </c:pt>
                <c:pt idx="215">
                  <c:v>19.086372707056711</c:v>
                </c:pt>
                <c:pt idx="216">
                  <c:v>18.923878379575651</c:v>
                </c:pt>
                <c:pt idx="217">
                  <c:v>18.760041349679998</c:v>
                </c:pt>
                <c:pt idx="218">
                  <c:v>18.594902753250597</c:v>
                </c:pt>
                <c:pt idx="219">
                  <c:v>18.428503401713343</c:v>
                </c:pt>
                <c:pt idx="220">
                  <c:v>18.260883725460438</c:v>
                </c:pt>
                <c:pt idx="221">
                  <c:v>18.09208372229541</c:v>
                </c:pt>
                <c:pt idx="222">
                  <c:v>17.922142910831894</c:v>
                </c:pt>
                <c:pt idx="223">
                  <c:v>17.751100288748514</c:v>
                </c:pt>
                <c:pt idx="224">
                  <c:v>17.578994295779733</c:v>
                </c:pt>
                <c:pt idx="225">
                  <c:v>17.405862781303195</c:v>
                </c:pt>
                <c:pt idx="226">
                  <c:v>17.23174297636637</c:v>
                </c:pt>
                <c:pt idx="227">
                  <c:v>17.056671469983101</c:v>
                </c:pt>
                <c:pt idx="228">
                  <c:v>16.880684189518288</c:v>
                </c:pt>
                <c:pt idx="229">
                  <c:v>16.703816384972001</c:v>
                </c:pt>
                <c:pt idx="230">
                  <c:v>16.526102616968398</c:v>
                </c:pt>
                <c:pt idx="231">
                  <c:v>16.347576748250859</c:v>
                </c:pt>
                <c:pt idx="232">
                  <c:v>16.168271938484857</c:v>
                </c:pt>
                <c:pt idx="233">
                  <c:v>15.988220642167407</c:v>
                </c:pt>
                <c:pt idx="234">
                  <c:v>15.807454609448152</c:v>
                </c:pt>
                <c:pt idx="235">
                  <c:v>15.626004889666998</c:v>
                </c:pt>
                <c:pt idx="236">
                  <c:v>15.443901837419299</c:v>
                </c:pt>
                <c:pt idx="237">
                  <c:v>15.261175120965824</c:v>
                </c:pt>
                <c:pt idx="238">
                  <c:v>15.077853732809359</c:v>
                </c:pt>
                <c:pt idx="239">
                  <c:v>14.893966002269023</c:v>
                </c:pt>
                <c:pt idx="240">
                  <c:v>14.709539609889859</c:v>
                </c:pt>
                <c:pt idx="241">
                  <c:v>14.524601603533085</c:v>
                </c:pt>
                <c:pt idx="242">
                  <c:v>14.339178416002216</c:v>
                </c:pt>
                <c:pt idx="243">
                  <c:v>14.153295884067649</c:v>
                </c:pt>
                <c:pt idx="244">
                  <c:v>13.966979268760751</c:v>
                </c:pt>
                <c:pt idx="245">
                  <c:v>13.780253276818481</c:v>
                </c:pt>
                <c:pt idx="246">
                  <c:v>13.593142083166798</c:v>
                </c:pt>
                <c:pt idx="247">
                  <c:v>13.405669354340093</c:v>
                </c:pt>
                <c:pt idx="248">
                  <c:v>13.217858272742236</c:v>
                </c:pt>
                <c:pt idx="249">
                  <c:v>13.029731561662645</c:v>
                </c:pt>
                <c:pt idx="250">
                  <c:v>12.841311510967991</c:v>
                </c:pt>
                <c:pt idx="251">
                  <c:v>12.652620003398631</c:v>
                </c:pt>
                <c:pt idx="252">
                  <c:v>12.463678541404912</c:v>
                </c:pt>
                <c:pt idx="253">
                  <c:v>12.274508274465346</c:v>
                </c:pt>
                <c:pt idx="254">
                  <c:v>12.085130026835461</c:v>
                </c:pt>
                <c:pt idx="255">
                  <c:v>11.895564325681473</c:v>
                </c:pt>
                <c:pt idx="256">
                  <c:v>11.705831429558813</c:v>
                </c:pt>
                <c:pt idx="257">
                  <c:v>11.515951357200468</c:v>
                </c:pt>
                <c:pt idx="258">
                  <c:v>11.325943916584285</c:v>
                </c:pt>
                <c:pt idx="259">
                  <c:v>11.135828734254591</c:v>
                </c:pt>
                <c:pt idx="260">
                  <c:v>10.945625284874572</c:v>
                </c:pt>
                <c:pt idx="261">
                  <c:v>10.755352920991907</c:v>
                </c:pt>
                <c:pt idx="262">
                  <c:v>10.565030903001858</c:v>
                </c:pt>
                <c:pt idx="263">
                  <c:v>10.374678429295162</c:v>
                </c:pt>
                <c:pt idx="264">
                  <c:v>10.184314666579846</c:v>
                </c:pt>
                <c:pt idx="265">
                  <c:v>9.9939587803701659</c:v>
                </c:pt>
                <c:pt idx="266">
                  <c:v>9.8036299656337516</c:v>
                </c:pt>
                <c:pt idx="267">
                  <c:v>9.6133474775928125</c:v>
                </c:pt>
                <c:pt idx="268">
                  <c:v>9.4231306626740636</c:v>
                </c:pt>
                <c:pt idx="269">
                  <c:v>9.232998989603038</c:v>
                </c:pt>
                <c:pt idx="270">
                  <c:v>9.0429720806385347</c:v>
                </c:pt>
                <c:pt idx="271">
                  <c:v>8.8530697429424912</c:v>
                </c:pt>
                <c:pt idx="272">
                  <c:v>8.6633120000802002</c:v>
                </c:pt>
                <c:pt idx="273">
                  <c:v>8.4737191236443898</c:v>
                </c:pt>
                <c:pt idx="274">
                  <c:v>8.2843116649956041</c:v>
                </c:pt>
                <c:pt idx="275">
                  <c:v>8.0951104871087427</c:v>
                </c:pt>
                <c:pt idx="276">
                  <c:v>7.9061367965151694</c:v>
                </c:pt>
                <c:pt idx="277">
                  <c:v>7.7174121753249922</c:v>
                </c:pt>
                <c:pt idx="278">
                  <c:v>7.5289586133128736</c:v>
                </c:pt>
                <c:pt idx="279">
                  <c:v>7.3407985400470288</c:v>
                </c:pt>
                <c:pt idx="280">
                  <c:v>7.1529548570366881</c:v>
                </c:pt>
                <c:pt idx="281">
                  <c:v>6.9654509698707656</c:v>
                </c:pt>
                <c:pt idx="282">
                  <c:v>6.7783108203135498</c:v>
                </c:pt>
                <c:pt idx="283">
                  <c:v>6.5915589183220753</c:v>
                </c:pt>
                <c:pt idx="284">
                  <c:v>6.4052203739409252</c:v>
                </c:pt>
                <c:pt idx="285">
                  <c:v>6.2193209290269245</c:v>
                </c:pt>
                <c:pt idx="286">
                  <c:v>6.0338869887511359</c:v>
                </c:pt>
                <c:pt idx="287">
                  <c:v>5.8489456528162362</c:v>
                </c:pt>
                <c:pt idx="288">
                  <c:v>5.6645247463245845</c:v>
                </c:pt>
                <c:pt idx="289">
                  <c:v>5.4806528502243683</c:v>
                </c:pt>
                <c:pt idx="290">
                  <c:v>5.2973593312525722</c:v>
                </c:pt>
                <c:pt idx="291">
                  <c:v>5.1146743712907288</c:v>
                </c:pt>
                <c:pt idx="292">
                  <c:v>4.932628996036966</c:v>
                </c:pt>
                <c:pt idx="293">
                  <c:v>4.7512551028970886</c:v>
                </c:pt>
                <c:pt idx="294">
                  <c:v>4.5705854879842462</c:v>
                </c:pt>
                <c:pt idx="295">
                  <c:v>4.390653872114644</c:v>
                </c:pt>
                <c:pt idx="296">
                  <c:v>4.2114949256776777</c:v>
                </c:pt>
                <c:pt idx="297">
                  <c:v>4.0331442922525031</c:v>
                </c:pt>
                <c:pt idx="298">
                  <c:v>3.8556386108401042</c:v>
                </c:pt>
                <c:pt idx="299">
                  <c:v>3.6790155365695871</c:v>
                </c:pt>
                <c:pt idx="300">
                  <c:v>3.5033137597398971</c:v>
                </c:pt>
                <c:pt idx="301">
                  <c:v>3.328573023047285</c:v>
                </c:pt>
                <c:pt idx="302">
                  <c:v>3.1548341368532284</c:v>
                </c:pt>
                <c:pt idx="303">
                  <c:v>2.9821389923417456</c:v>
                </c:pt>
                <c:pt idx="304">
                  <c:v>2.8105305724183003</c:v>
                </c:pt>
                <c:pt idx="305">
                  <c:v>2.6400529602039526</c:v>
                </c:pt>
                <c:pt idx="306">
                  <c:v>2.4707513449814797</c:v>
                </c:pt>
                <c:pt idx="307">
                  <c:v>2.302672025459656</c:v>
                </c:pt>
                <c:pt idx="308">
                  <c:v>2.1358624102274342</c:v>
                </c:pt>
                <c:pt idx="309">
                  <c:v>1.9703710152836942</c:v>
                </c:pt>
                <c:pt idx="310">
                  <c:v>1.8062474585416637</c:v>
                </c:pt>
                <c:pt idx="311">
                  <c:v>1.643542451225855</c:v>
                </c:pt>
                <c:pt idx="312">
                  <c:v>1.4823077860981446</c:v>
                </c:pt>
                <c:pt idx="313">
                  <c:v>1.322596322478498</c:v>
                </c:pt>
                <c:pt idx="314">
                  <c:v>1.1644619680492705</c:v>
                </c:pt>
                <c:pt idx="315">
                  <c:v>1.0079596574683838</c:v>
                </c:pt>
                <c:pt idx="316">
                  <c:v>0.85314532785135</c:v>
                </c:pt>
                <c:pt idx="317">
                  <c:v>0.70007589122344016</c:v>
                </c:pt>
                <c:pt idx="318">
                  <c:v>0.54880920408620071</c:v>
                </c:pt>
                <c:pt idx="319">
                  <c:v>0.39940403429533894</c:v>
                </c:pt>
                <c:pt idx="320">
                  <c:v>0.25192002549548731</c:v>
                </c:pt>
                <c:pt idx="321">
                  <c:v>0.10641765941766404</c:v>
                </c:pt>
                <c:pt idx="322">
                  <c:v>-3.704178359535798E-2</c:v>
                </c:pt>
                <c:pt idx="323">
                  <c:v>-0.17839626540684422</c:v>
                </c:pt>
                <c:pt idx="324">
                  <c:v>-0.31758303174975466</c:v>
                </c:pt>
                <c:pt idx="325">
                  <c:v>-0.45453865416908829</c:v>
                </c:pt>
                <c:pt idx="326">
                  <c:v>-0.58919907160359142</c:v>
                </c:pt>
                <c:pt idx="327">
                  <c:v>-0.72149963089465308</c:v>
                </c:pt>
                <c:pt idx="328">
                  <c:v>-0.85137512543128202</c:v>
                </c:pt>
                <c:pt idx="329">
                  <c:v>-0.97875983106856812</c:v>
                </c:pt>
                <c:pt idx="330">
                  <c:v>-1.103587538376908</c:v>
                </c:pt>
                <c:pt idx="331">
                  <c:v>-1.2257915802069947</c:v>
                </c:pt>
                <c:pt idx="332">
                  <c:v>-1.3453048534783709</c:v>
                </c:pt>
                <c:pt idx="333">
                  <c:v>-1.4620598340293276</c:v>
                </c:pt>
                <c:pt idx="334">
                  <c:v>-1.5759885832925504</c:v>
                </c:pt>
                <c:pt idx="335">
                  <c:v>-1.6870227454945486</c:v>
                </c:pt>
                <c:pt idx="336">
                  <c:v>-1.7950935340094933</c:v>
                </c:pt>
                <c:pt idx="337">
                  <c:v>-1.9001317054364693</c:v>
                </c:pt>
                <c:pt idx="338">
                  <c:v>-2.0020675199065581</c:v>
                </c:pt>
                <c:pt idx="339">
                  <c:v>-2.1008306860677757</c:v>
                </c:pt>
                <c:pt idx="340">
                  <c:v>-2.1963502891382598</c:v>
                </c:pt>
                <c:pt idx="341">
                  <c:v>-2.2885547003602502</c:v>
                </c:pt>
                <c:pt idx="342">
                  <c:v>-2.3773714661276797</c:v>
                </c:pt>
                <c:pt idx="343">
                  <c:v>-2.4627271749992969</c:v>
                </c:pt>
                <c:pt idx="344">
                  <c:v>-2.5445473007417974</c:v>
                </c:pt>
                <c:pt idx="345">
                  <c:v>-2.6227560194728623</c:v>
                </c:pt>
                <c:pt idx="346">
                  <c:v>-2.6972759988891291</c:v>
                </c:pt>
                <c:pt idx="347">
                  <c:v>-2.7680281574639802</c:v>
                </c:pt>
                <c:pt idx="348">
                  <c:v>-2.8349313913845418</c:v>
                </c:pt>
                <c:pt idx="349">
                  <c:v>-2.8979022668549503</c:v>
                </c:pt>
                <c:pt idx="350">
                  <c:v>-2.9568546752276115</c:v>
                </c:pt>
                <c:pt idx="351">
                  <c:v>-3.0116994482211217</c:v>
                </c:pt>
                <c:pt idx="352">
                  <c:v>-3.0623439302443662</c:v>
                </c:pt>
                <c:pt idx="353">
                  <c:v>-3.1086915045560248</c:v>
                </c:pt>
                <c:pt idx="354">
                  <c:v>-3.150641069646948</c:v>
                </c:pt>
                <c:pt idx="355">
                  <c:v>-3.1880864618237892</c:v>
                </c:pt>
                <c:pt idx="356">
                  <c:v>-3.2209158194906862</c:v>
                </c:pt>
                <c:pt idx="357">
                  <c:v>-3.2490108840568608</c:v>
                </c:pt>
                <c:pt idx="358">
                  <c:v>-3.272246231731009</c:v>
                </c:pt>
                <c:pt idx="359">
                  <c:v>-3.29048842968208</c:v>
                </c:pt>
                <c:pt idx="360">
                  <c:v>-3.3035951091367686</c:v>
                </c:pt>
                <c:pt idx="361">
                  <c:v>-3.3114139469234463</c:v>
                </c:pt>
                <c:pt idx="362">
                  <c:v>-3.3137815457464437</c:v>
                </c:pt>
                <c:pt idx="363">
                  <c:v>-3.3105222020522147</c:v>
                </c:pt>
                <c:pt idx="364">
                  <c:v>-3.3014465487131037</c:v>
                </c:pt>
                <c:pt idx="365">
                  <c:v>-3.2863500578699245</c:v>
                </c:pt>
                <c:pt idx="366">
                  <c:v>-3.2650113871155466</c:v>
                </c:pt>
                <c:pt idx="367">
                  <c:v>-3.2371905497394149</c:v>
                </c:pt>
                <c:pt idx="368">
                  <c:v>-3.2026268869535839</c:v>
                </c:pt>
                <c:pt idx="369">
                  <c:v>-3.1610368168701219</c:v>
                </c:pt>
                <c:pt idx="370">
                  <c:v>-3.112111331474738</c:v>
                </c:pt>
                <c:pt idx="371">
                  <c:v>-3.0555132089667341</c:v>
                </c:pt>
                <c:pt idx="372">
                  <c:v>-2.9908739046432267</c:v>
                </c:pt>
                <c:pt idx="373">
                  <c:v>-2.9177900791210511</c:v>
                </c:pt>
                <c:pt idx="374">
                  <c:v>-2.8358197183209932</c:v>
                </c:pt>
                <c:pt idx="375">
                  <c:v>-2.7444777956687054</c:v>
                </c:pt>
                <c:pt idx="376">
                  <c:v>-2.6432314240572286</c:v>
                </c:pt>
                <c:pt idx="377">
                  <c:v>-2.5314944443373428</c:v>
                </c:pt>
                <c:pt idx="378">
                  <c:v>-2.408621400239622</c:v>
                </c:pt>
                <c:pt idx="379">
                  <c:v>-2.273900859532926</c:v>
                </c:pt>
                <c:pt idx="380">
                  <c:v>-2.1265480625073079</c:v>
                </c:pt>
                <c:pt idx="381">
                  <c:v>-1.9656969189355511</c:v>
                </c:pt>
                <c:pt idx="382">
                  <c:v>-1.7903914454274241</c:v>
                </c:pt>
                <c:pt idx="383">
                  <c:v>-1.5995768557640919</c:v>
                </c:pt>
                <c:pt idx="384">
                  <c:v>-1.3920907184697882</c:v>
                </c:pt>
                <c:pt idx="385">
                  <c:v>-1.1666549291214203</c:v>
                </c:pt>
                <c:pt idx="386">
                  <c:v>-0.92186979231987654</c:v>
                </c:pt>
                <c:pt idx="387">
                  <c:v>-0.65621240548145099</c:v>
                </c:pt>
                <c:pt idx="388">
                  <c:v>-0.36804300705398224</c:v>
                </c:pt>
                <c:pt idx="389">
                  <c:v>-5.5625363905599301E-2</c:v>
                </c:pt>
                <c:pt idx="390">
                  <c:v>0.28282876759489078</c:v>
                </c:pt>
                <c:pt idx="391">
                  <c:v>0.64907457898880794</c:v>
                </c:pt>
                <c:pt idx="392">
                  <c:v>1.0446814259730302</c:v>
                </c:pt>
                <c:pt idx="393">
                  <c:v>1.4707681571357456</c:v>
                </c:pt>
                <c:pt idx="394">
                  <c:v>1.9275557405723962</c:v>
                </c:pt>
                <c:pt idx="395">
                  <c:v>2.4136271853427775</c:v>
                </c:pt>
                <c:pt idx="396">
                  <c:v>2.9247345814030186</c:v>
                </c:pt>
                <c:pt idx="397">
                  <c:v>3.451951263985217</c:v>
                </c:pt>
                <c:pt idx="398">
                  <c:v>3.9790041269633014</c:v>
                </c:pt>
                <c:pt idx="399">
                  <c:v>4.478920547884778</c:v>
                </c:pt>
                <c:pt idx="400">
                  <c:v>4.9110231808477556</c:v>
                </c:pt>
                <c:pt idx="401">
                  <c:v>5.2210363183793627</c:v>
                </c:pt>
                <c:pt idx="402">
                  <c:v>5.3486453891195591</c:v>
                </c:pt>
                <c:pt idx="403">
                  <c:v>5.244703542434193</c:v>
                </c:pt>
                <c:pt idx="404">
                  <c:v>4.8914461782297458</c:v>
                </c:pt>
                <c:pt idx="405">
                  <c:v>4.3110660919917532</c:v>
                </c:pt>
                <c:pt idx="406">
                  <c:v>3.5550791053234838</c:v>
                </c:pt>
                <c:pt idx="407">
                  <c:v>2.6837637294408729</c:v>
                </c:pt>
                <c:pt idx="408">
                  <c:v>1.7499614881610623</c:v>
                </c:pt>
                <c:pt idx="409">
                  <c:v>0.79260518830945026</c:v>
                </c:pt>
                <c:pt idx="410">
                  <c:v>-0.16281364631978312</c:v>
                </c:pt>
                <c:pt idx="411">
                  <c:v>-1.1010956963182619</c:v>
                </c:pt>
                <c:pt idx="412">
                  <c:v>-2.0140324819979196</c:v>
                </c:pt>
                <c:pt idx="413">
                  <c:v>-2.8978374628521548</c:v>
                </c:pt>
                <c:pt idx="414">
                  <c:v>-3.751385581299493</c:v>
                </c:pt>
                <c:pt idx="415">
                  <c:v>-4.5750833160808044</c:v>
                </c:pt>
                <c:pt idx="416">
                  <c:v>-5.3701701697480022</c:v>
                </c:pt>
                <c:pt idx="417">
                  <c:v>-6.1382975171695806</c:v>
                </c:pt>
                <c:pt idx="418">
                  <c:v>-6.8812800863643986</c:v>
                </c:pt>
                <c:pt idx="419">
                  <c:v>-7.600952985649915</c:v>
                </c:pt>
                <c:pt idx="420">
                  <c:v>-8.2990925387802719</c:v>
                </c:pt>
                <c:pt idx="421">
                  <c:v>-8.9773753297594325</c:v>
                </c:pt>
                <c:pt idx="422">
                  <c:v>-9.6373598655547319</c:v>
                </c:pt>
                <c:pt idx="423">
                  <c:v>-10.280481393647305</c:v>
                </c:pt>
                <c:pt idx="424">
                  <c:v>-10.90805414772182</c:v>
                </c:pt>
                <c:pt idx="425">
                  <c:v>-11.521277570933343</c:v>
                </c:pt>
                <c:pt idx="426">
                  <c:v>-12.121244453902468</c:v>
                </c:pt>
                <c:pt idx="427">
                  <c:v>-12.708949771410845</c:v>
                </c:pt>
                <c:pt idx="428">
                  <c:v>-13.285299518392264</c:v>
                </c:pt>
                <c:pt idx="429">
                  <c:v>-13.851119160165942</c:v>
                </c:pt>
                <c:pt idx="430">
                  <c:v>-14.407161501923071</c:v>
                </c:pt>
                <c:pt idx="431">
                  <c:v>-14.954113896030117</c:v>
                </c:pt>
                <c:pt idx="432">
                  <c:v>-15.492604772089255</c:v>
                </c:pt>
                <c:pt idx="433">
                  <c:v>-16.023209512111261</c:v>
                </c:pt>
                <c:pt idx="434">
                  <c:v>-16.546455712828667</c:v>
                </c:pt>
                <c:pt idx="435">
                  <c:v>-17.062827886148142</c:v>
                </c:pt>
                <c:pt idx="436">
                  <c:v>-17.572771651348059</c:v>
                </c:pt>
                <c:pt idx="437">
                  <c:v>-18.076697471575024</c:v>
                </c:pt>
                <c:pt idx="438">
                  <c:v>-18.574983984172697</c:v>
                </c:pt>
                <c:pt idx="439">
                  <c:v>-19.067980970380948</c:v>
                </c:pt>
                <c:pt idx="440">
                  <c:v>-19.55601200561037</c:v>
                </c:pt>
                <c:pt idx="441">
                  <c:v>-20.039376827178966</c:v>
                </c:pt>
                <c:pt idx="442">
                  <c:v>-20.518353452280365</c:v>
                </c:pt>
                <c:pt idx="443">
                  <c:v>-20.993200075164197</c:v>
                </c:pt>
                <c:pt idx="444">
                  <c:v>-21.464156769065482</c:v>
                </c:pt>
                <c:pt idx="445">
                  <c:v>-21.931447015341806</c:v>
                </c:pt>
                <c:pt idx="446">
                  <c:v>-22.395279079544469</c:v>
                </c:pt>
                <c:pt idx="447">
                  <c:v>-22.855847251744073</c:v>
                </c:pt>
                <c:pt idx="448">
                  <c:v>-23.313332966312942</c:v>
                </c:pt>
                <c:pt idx="449">
                  <c:v>-23.767905814517142</c:v>
                </c:pt>
                <c:pt idx="450">
                  <c:v>-24.219724461650721</c:v>
                </c:pt>
                <c:pt idx="451">
                  <c:v>-24.668937479031058</c:v>
                </c:pt>
                <c:pt idx="452">
                  <c:v>-25.115684099941269</c:v>
                </c:pt>
                <c:pt idx="453">
                  <c:v>-25.560094907527198</c:v>
                </c:pt>
                <c:pt idx="454">
                  <c:v>-26.0022924617166</c:v>
                </c:pt>
                <c:pt idx="455">
                  <c:v>-26.442391871407537</c:v>
                </c:pt>
                <c:pt idx="456">
                  <c:v>-26.880501317450797</c:v>
                </c:pt>
                <c:pt idx="457">
                  <c:v>-27.31672253132869</c:v>
                </c:pt>
                <c:pt idx="458">
                  <c:v>-27.751151233874825</c:v>
                </c:pt>
                <c:pt idx="459">
                  <c:v>-28.183877537900656</c:v>
                </c:pt>
                <c:pt idx="460">
                  <c:v>-28.61498631816746</c:v>
                </c:pt>
                <c:pt idx="461">
                  <c:v>-29.044557551771106</c:v>
                </c:pt>
                <c:pt idx="462">
                  <c:v>-29.472666631676617</c:v>
                </c:pt>
                <c:pt idx="463">
                  <c:v>-29.899384655849481</c:v>
                </c:pt>
                <c:pt idx="464">
                  <c:v>-30.324778694175549</c:v>
                </c:pt>
                <c:pt idx="465">
                  <c:v>-30.748912035133337</c:v>
                </c:pt>
                <c:pt idx="466">
                  <c:v>-31.17184441398436</c:v>
                </c:pt>
                <c:pt idx="467">
                  <c:v>-31.59363222406483</c:v>
                </c:pt>
                <c:pt idx="468">
                  <c:v>-32.014328712609611</c:v>
                </c:pt>
                <c:pt idx="469">
                  <c:v>-32.433984162393401</c:v>
                </c:pt>
                <c:pt idx="470">
                  <c:v>-32.85264606035156</c:v>
                </c:pt>
                <c:pt idx="471">
                  <c:v>-33.270359254233064</c:v>
                </c:pt>
                <c:pt idx="472">
                  <c:v>-33.68716609823192</c:v>
                </c:pt>
                <c:pt idx="473">
                  <c:v>-34.103106588462019</c:v>
                </c:pt>
                <c:pt idx="474">
                  <c:v>-34.518218489054824</c:v>
                </c:pt>
                <c:pt idx="475">
                  <c:v>-34.932537449589752</c:v>
                </c:pt>
                <c:pt idx="476">
                  <c:v>-35.346097114502136</c:v>
                </c:pt>
                <c:pt idx="477">
                  <c:v>-35.758929225056356</c:v>
                </c:pt>
                <c:pt idx="478">
                  <c:v>-36.171063714419091</c:v>
                </c:pt>
                <c:pt idx="479">
                  <c:v>-36.582528796320247</c:v>
                </c:pt>
                <c:pt idx="480">
                  <c:v>-36.993351047748419</c:v>
                </c:pt>
                <c:pt idx="481">
                  <c:v>-37.403555486085985</c:v>
                </c:pt>
                <c:pt idx="482">
                  <c:v>-37.813165641059548</c:v>
                </c:pt>
                <c:pt idx="483">
                  <c:v>-38.222203621843164</c:v>
                </c:pt>
                <c:pt idx="484">
                  <c:v>-38.630690179630911</c:v>
                </c:pt>
                <c:pt idx="485">
                  <c:v>-39.038644765962218</c:v>
                </c:pt>
                <c:pt idx="486">
                  <c:v>-39.446085587065532</c:v>
                </c:pt>
                <c:pt idx="487">
                  <c:v>-39.85302965446219</c:v>
                </c:pt>
                <c:pt idx="488">
                  <c:v>-40.259492832050753</c:v>
                </c:pt>
                <c:pt idx="489">
                  <c:v>-40.665489879879921</c:v>
                </c:pt>
                <c:pt idx="490">
                  <c:v>-41.071034494796464</c:v>
                </c:pt>
                <c:pt idx="491">
                  <c:v>-41.476139348142695</c:v>
                </c:pt>
                <c:pt idx="492">
                  <c:v>-41.880816120664512</c:v>
                </c:pt>
                <c:pt idx="493">
                  <c:v>-42.285075534777413</c:v>
                </c:pt>
                <c:pt idx="494">
                  <c:v>-42.688927384328494</c:v>
                </c:pt>
                <c:pt idx="495">
                  <c:v>-43.092380561980349</c:v>
                </c:pt>
                <c:pt idx="496">
                  <c:v>-43.495443084335733</c:v>
                </c:pt>
                <c:pt idx="497">
                  <c:v>-43.898122114910862</c:v>
                </c:pt>
                <c:pt idx="498">
                  <c:v>-44.300423985059147</c:v>
                </c:pt>
                <c:pt idx="499">
                  <c:v>-44.702354212940207</c:v>
                </c:pt>
                <c:pt idx="500">
                  <c:v>-45.103917520622005</c:v>
                </c:pt>
                <c:pt idx="501">
                  <c:v>-45.50511784939733</c:v>
                </c:pt>
                <c:pt idx="502">
                  <c:v>-45.90595837339356</c:v>
                </c:pt>
                <c:pt idx="503">
                  <c:v>-46.306441511547085</c:v>
                </c:pt>
                <c:pt idx="504">
                  <c:v>-46.706568938010719</c:v>
                </c:pt>
                <c:pt idx="505">
                  <c:v>-47.106341591059035</c:v>
                </c:pt>
                <c:pt idx="506">
                  <c:v>-47.505759680554149</c:v>
                </c:pt>
                <c:pt idx="507">
                  <c:v>-47.904822694028653</c:v>
                </c:pt>
                <c:pt idx="508">
                  <c:v>-48.303529401445289</c:v>
                </c:pt>
                <c:pt idx="509">
                  <c:v>-48.701877858685449</c:v>
                </c:pt>
                <c:pt idx="510">
                  <c:v>-49.099865409821213</c:v>
                </c:pt>
                <c:pt idx="511">
                  <c:v>-49.497488688222944</c:v>
                </c:pt>
                <c:pt idx="512">
                  <c:v>-49.894743616554777</c:v>
                </c:pt>
                <c:pt idx="513">
                  <c:v>-50.29162540570853</c:v>
                </c:pt>
                <c:pt idx="514">
                  <c:v>-50.688128552727811</c:v>
                </c:pt>
                <c:pt idx="515">
                  <c:v>-51.084246837775382</c:v>
                </c:pt>
                <c:pt idx="516">
                  <c:v>-51.47997332019672</c:v>
                </c:pt>
                <c:pt idx="517">
                  <c:v>-51.87530033373374</c:v>
                </c:pt>
                <c:pt idx="518">
                  <c:v>-52.27021948094638</c:v>
                </c:pt>
                <c:pt idx="519">
                  <c:v>-52.664721626899045</c:v>
                </c:pt>
                <c:pt idx="520">
                  <c:v>-53.058796892175451</c:v>
                </c:pt>
                <c:pt idx="521">
                  <c:v>-53.452434645284072</c:v>
                </c:pt>
                <c:pt idx="522">
                  <c:v>-53.845623494523124</c:v>
                </c:pt>
                <c:pt idx="523">
                  <c:v>-54.23835127937646</c:v>
                </c:pt>
                <c:pt idx="524">
                  <c:v>-54.630605061516988</c:v>
                </c:pt>
                <c:pt idx="525">
                  <c:v>-55.022371115497592</c:v>
                </c:pt>
                <c:pt idx="526">
                  <c:v>-55.41363491921463</c:v>
                </c:pt>
                <c:pt idx="527">
                  <c:v>-55.804381144238306</c:v>
                </c:pt>
                <c:pt idx="528">
                  <c:v>-56.194593646103066</c:v>
                </c:pt>
                <c:pt idx="529">
                  <c:v>-56.584255454666312</c:v>
                </c:pt>
                <c:pt idx="530">
                  <c:v>-56.973348764640662</c:v>
                </c:pt>
                <c:pt idx="531">
                  <c:v>-57.361854926421209</c:v>
                </c:pt>
                <c:pt idx="532">
                  <c:v>-57.749754437328832</c:v>
                </c:pt>
                <c:pt idx="533">
                  <c:v>-58.137026933404911</c:v>
                </c:pt>
                <c:pt idx="534">
                  <c:v>-58.523651181893051</c:v>
                </c:pt>
                <c:pt idx="535">
                  <c:v>-58.90960507455808</c:v>
                </c:pt>
                <c:pt idx="536">
                  <c:v>-59.294865621996394</c:v>
                </c:pt>
                <c:pt idx="537">
                  <c:v>-59.679408949100434</c:v>
                </c:pt>
                <c:pt idx="538">
                  <c:v>-60.063210291848954</c:v>
                </c:pt>
                <c:pt idx="539">
                  <c:v>-60.446243995599531</c:v>
                </c:pt>
                <c:pt idx="540">
                  <c:v>-60.828483515070303</c:v>
                </c:pt>
                <c:pt idx="541">
                  <c:v>-61.20990141620257</c:v>
                </c:pt>
              </c:numCache>
            </c:numRef>
          </c:yVal>
          <c:smooth val="1"/>
          <c:extLst>
            <c:ext xmlns:c16="http://schemas.microsoft.com/office/drawing/2014/chart" uri="{C3380CC4-5D6E-409C-BE32-E72D297353CC}">
              <c16:uniqueId val="{00000000-B561-4C80-890B-643E0BF90D63}"/>
            </c:ext>
          </c:extLst>
        </c:ser>
        <c:dLbls>
          <c:showLegendKey val="0"/>
          <c:showVal val="0"/>
          <c:showCatName val="0"/>
          <c:showSerName val="0"/>
          <c:showPercent val="0"/>
          <c:showBubbleSize val="0"/>
        </c:dLbls>
        <c:axId val="162497664"/>
        <c:axId val="162499584"/>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-0.8597867834624161</c:v>
                </c:pt>
                <c:pt idx="1">
                  <c:v>-0.87981086769432371</c:v>
                </c:pt>
                <c:pt idx="2">
                  <c:v>-0.90030116377689473</c:v>
                </c:pt>
                <c:pt idx="3">
                  <c:v>-0.92126851623720651</c:v>
                </c:pt>
                <c:pt idx="4">
                  <c:v>-0.94272402113575982</c:v>
                </c:pt>
                <c:pt idx="5">
                  <c:v>-0.96467903184916393</c:v>
                </c:pt>
                <c:pt idx="6">
                  <c:v>-0.98714516498199256</c:v>
                </c:pt>
                <c:pt idx="7">
                  <c:v>-1.0101343064105321</c:v>
                </c:pt>
                <c:pt idx="8">
                  <c:v>-1.0336586174611262</c:v>
                </c:pt>
                <c:pt idx="9">
                  <c:v>-1.0577305412256464</c:v>
                </c:pt>
                <c:pt idx="10">
                  <c:v>-1.082362809016898</c:v>
                </c:pt>
                <c:pt idx="11">
                  <c:v>-1.1075684469667748</c:v>
                </c:pt>
                <c:pt idx="12">
                  <c:v>-1.1333607827697332</c:v>
                </c:pt>
                <c:pt idx="13">
                  <c:v>-1.1597534525746829</c:v>
                </c:pt>
                <c:pt idx="14">
                  <c:v>-1.1867604080277931</c:v>
                </c:pt>
                <c:pt idx="15">
                  <c:v>-1.2143959234694106</c:v>
                </c:pt>
                <c:pt idx="16">
                  <c:v>-1.2426746032875258</c:v>
                </c:pt>
                <c:pt idx="17">
                  <c:v>-1.2716113894310905</c:v>
                </c:pt>
                <c:pt idx="18">
                  <c:v>-1.3012215690858406</c:v>
                </c:pt>
                <c:pt idx="19">
                  <c:v>-1.3315207825156075</c:v>
                </c:pt>
                <c:pt idx="20">
                  <c:v>-1.3625250310718422</c:v>
                </c:pt>
                <c:pt idx="21">
                  <c:v>-1.394250685374643</c:v>
                </c:pt>
                <c:pt idx="22">
                  <c:v>-1.4267144936677483</c:v>
                </c:pt>
                <c:pt idx="23">
                  <c:v>-1.4599335903507744</c:v>
                </c:pt>
                <c:pt idx="24">
                  <c:v>-1.4939255046911297</c:v>
                </c:pt>
                <c:pt idx="25">
                  <c:v>-1.5287081697190916</c:v>
                </c:pt>
                <c:pt idx="26">
                  <c:v>-1.5642999313080794</c:v>
                </c:pt>
                <c:pt idx="27">
                  <c:v>-1.6007195574437085</c:v>
                </c:pt>
                <c:pt idx="28">
                  <c:v>-1.6379862476837925</c:v>
                </c:pt>
                <c:pt idx="29">
                  <c:v>-1.6761196428122427</c:v>
                </c:pt>
                <c:pt idx="30">
                  <c:v>-1.7151398346894853</c:v>
                </c:pt>
                <c:pt idx="31">
                  <c:v>-1.7550673763019606</c:v>
                </c:pt>
                <c:pt idx="32">
                  <c:v>-1.7959232920130139</c:v>
                </c:pt>
                <c:pt idx="33">
                  <c:v>-1.8377290880179651</c:v>
                </c:pt>
                <c:pt idx="34">
                  <c:v>-1.8805067630050583</c:v>
                </c:pt>
                <c:pt idx="35">
                  <c:v>-1.9242788190251414</c:v>
                </c:pt>
                <c:pt idx="36">
                  <c:v>-1.9690682725713511</c:v>
                </c:pt>
                <c:pt idx="37">
                  <c:v>-2.0148986658714367</c:v>
                </c:pt>
                <c:pt idx="38">
                  <c:v>-2.0617940783937296</c:v>
                </c:pt>
                <c:pt idx="39">
                  <c:v>-2.1097791385688685</c:v>
                </c:pt>
                <c:pt idx="40">
                  <c:v>-2.1588790357280359</c:v>
                </c:pt>
                <c:pt idx="41">
                  <c:v>-2.2091195322593866</c:v>
                </c:pt>
                <c:pt idx="42">
                  <c:v>-2.2605269759828803</c:v>
                </c:pt>
                <c:pt idx="43">
                  <c:v>-2.3131283127446087</c:v>
                </c:pt>
                <c:pt idx="44">
                  <c:v>-2.3669510992303673</c:v>
                </c:pt>
                <c:pt idx="45">
                  <c:v>-2.4220235159989882</c:v>
                </c:pt>
                <c:pt idx="46">
                  <c:v>-2.4783743807341949</c:v>
                </c:pt>
                <c:pt idx="47">
                  <c:v>-2.5360331617150398</c:v>
                </c:pt>
                <c:pt idx="48">
                  <c:v>-2.5950299915026931</c:v>
                </c:pt>
                <c:pt idx="49">
                  <c:v>-2.6553956808427759</c:v>
                </c:pt>
                <c:pt idx="50">
                  <c:v>-2.7171617327801574</c:v>
                </c:pt>
                <c:pt idx="51">
                  <c:v>-2.7803603569839805</c:v>
                </c:pt>
                <c:pt idx="52">
                  <c:v>-2.845024484278988</c:v>
                </c:pt>
                <c:pt idx="53">
                  <c:v>-2.9111877813798852</c:v>
                </c:pt>
                <c:pt idx="54">
                  <c:v>-2.9788846658227661</c:v>
                </c:pt>
                <c:pt idx="55">
                  <c:v>-3.0481503210893965</c:v>
                </c:pt>
                <c:pt idx="56">
                  <c:v>-3.1190207119166451</c:v>
                </c:pt>
                <c:pt idx="57">
                  <c:v>-3.1915325997850972</c:v>
                </c:pt>
                <c:pt idx="58">
                  <c:v>-3.2657235585779025</c:v>
                </c:pt>
                <c:pt idx="59">
                  <c:v>-3.3416319904003453</c:v>
                </c:pt>
                <c:pt idx="60">
                  <c:v>-3.4192971415508708</c:v>
                </c:pt>
                <c:pt idx="61">
                  <c:v>-3.4987591186307556</c:v>
                </c:pt>
                <c:pt idx="62">
                  <c:v>-3.5800589047804889</c:v>
                </c:pt>
                <c:pt idx="63">
                  <c:v>-3.6632383760284557</c:v>
                </c:pt>
                <c:pt idx="64">
                  <c:v>-3.7483403177357086</c:v>
                </c:pt>
                <c:pt idx="65">
                  <c:v>-3.8354084411205398</c:v>
                </c:pt>
                <c:pt idx="66">
                  <c:v>-3.9244873998426444</c:v>
                </c:pt>
                <c:pt idx="67">
                  <c:v>-4.0156228066274595</c:v>
                </c:pt>
                <c:pt idx="68">
                  <c:v>-4.1088612499066484</c:v>
                </c:pt>
                <c:pt idx="69">
                  <c:v>-4.2042503104504796</c:v>
                </c:pt>
                <c:pt idx="70">
                  <c:v>-4.3018385779654489</c:v>
                </c:pt>
                <c:pt idx="71">
                  <c:v>-4.4016756676265443</c:v>
                </c:pt>
                <c:pt idx="72">
                  <c:v>-4.5038122365133244</c:v>
                </c:pt>
                <c:pt idx="73">
                  <c:v>-4.6082999999142755</c:v>
                </c:pt>
                <c:pt idx="74">
                  <c:v>-4.7151917474625087</c:v>
                </c:pt>
                <c:pt idx="75">
                  <c:v>-4.8245413590611328</c:v>
                </c:pt>
                <c:pt idx="76">
                  <c:v>-4.9364038205554124</c:v>
                </c:pt>
                <c:pt idx="77">
                  <c:v>-5.0508352391036269</c:v>
                </c:pt>
                <c:pt idx="78">
                  <c:v>-5.1678928581954535</c:v>
                </c:pt>
                <c:pt idx="79">
                  <c:v>-5.2876350722627983</c:v>
                </c:pt>
                <c:pt idx="80">
                  <c:v>-5.410121440823918</c:v>
                </c:pt>
                <c:pt idx="81">
                  <c:v>-5.535412702096993</c:v>
                </c:pt>
                <c:pt idx="82">
                  <c:v>-5.6635707860147759</c:v>
                </c:pt>
                <c:pt idx="83">
                  <c:v>-5.7946588265664998</c:v>
                </c:pt>
                <c:pt idx="84">
                  <c:v>-5.9287411733891409</c:v>
                </c:pt>
                <c:pt idx="85">
                  <c:v>-6.0658834025230615</c:v>
                </c:pt>
                <c:pt idx="86">
                  <c:v>-6.206152326242627</c:v>
                </c:pt>
                <c:pt idx="87">
                  <c:v>-6.3496160018650194</c:v>
                </c:pt>
                <c:pt idx="88">
                  <c:v>-6.4963437394349102</c:v>
                </c:pt>
                <c:pt idx="89">
                  <c:v>-6.6464061081750412</c:v>
                </c:pt>
                <c:pt idx="90">
                  <c:v>-6.7998749415865616</c:v>
                </c:pt>
                <c:pt idx="91">
                  <c:v>-6.9568233410746085</c:v>
                </c:pt>
                <c:pt idx="92">
                  <c:v>-7.1173256779668161</c:v>
                </c:pt>
                <c:pt idx="93">
                  <c:v>-7.2814575937850021</c:v>
                </c:pt>
                <c:pt idx="94">
                  <c:v>-7.4492959986204506</c:v>
                </c:pt>
                <c:pt idx="95">
                  <c:v>-7.6209190674563985</c:v>
                </c:pt>
                <c:pt idx="96">
                  <c:v>-7.7964062342684812</c:v>
                </c:pt>
                <c:pt idx="97">
                  <c:v>-7.9758381837293557</c:v>
                </c:pt>
                <c:pt idx="98">
                  <c:v>-8.1592968403279276</c:v>
                </c:pt>
                <c:pt idx="99">
                  <c:v>-8.3468653547095677</c:v>
                </c:pt>
                <c:pt idx="100">
                  <c:v>-8.5386280870266251</c:v>
                </c:pt>
                <c:pt idx="101">
                  <c:v>-8.7346705870842012</c:v>
                </c:pt>
                <c:pt idx="102">
                  <c:v>-8.9350795710502258</c:v>
                </c:pt>
                <c:pt idx="103">
                  <c:v>-9.1399428944903516</c:v>
                </c:pt>
                <c:pt idx="104">
                  <c:v>-9.3493495214744851</c:v>
                </c:pt>
                <c:pt idx="105">
                  <c:v>-9.563389489494508</c:v>
                </c:pt>
                <c:pt idx="106">
                  <c:v>-9.7821538699155983</c:v>
                </c:pt>
                <c:pt idx="107">
                  <c:v>-10.005734723677428</c:v>
                </c:pt>
                <c:pt idx="108">
                  <c:v>-10.234225051945018</c:v>
                </c:pt>
                <c:pt idx="109">
                  <c:v>-10.467718741404793</c:v>
                </c:pt>
                <c:pt idx="110">
                  <c:v>-10.706310503882511</c:v>
                </c:pt>
                <c:pt idx="111">
                  <c:v>-10.950095809955627</c:v>
                </c:pt>
                <c:pt idx="112">
                  <c:v>-11.199170816221544</c:v>
                </c:pt>
                <c:pt idx="113">
                  <c:v>-11.453632285870764</c:v>
                </c:pt>
                <c:pt idx="114">
                  <c:v>-11.713577502213498</c:v>
                </c:pt>
                <c:pt idx="115">
                  <c:v>-11.979104174791464</c:v>
                </c:pt>
                <c:pt idx="116">
                  <c:v>-12.250310337711191</c:v>
                </c:pt>
                <c:pt idx="117">
                  <c:v>-12.527294239823025</c:v>
                </c:pt>
                <c:pt idx="118">
                  <c:v>-12.810154226374177</c:v>
                </c:pt>
                <c:pt idx="119">
                  <c:v>-13.098988611759273</c:v>
                </c:pt>
                <c:pt idx="120">
                  <c:v>-13.393895542997361</c:v>
                </c:pt>
                <c:pt idx="121">
                  <c:v>-13.694972853569167</c:v>
                </c:pt>
                <c:pt idx="122">
                  <c:v>-14.002317907254424</c:v>
                </c:pt>
                <c:pt idx="123">
                  <c:v>-14.316027431623748</c:v>
                </c:pt>
                <c:pt idx="124">
                  <c:v>-14.636197340851629</c:v>
                </c:pt>
                <c:pt idx="125">
                  <c:v>-14.962922547540478</c:v>
                </c:pt>
                <c:pt idx="126">
                  <c:v>-15.296296763267407</c:v>
                </c:pt>
                <c:pt idx="127">
                  <c:v>-15.636412287592604</c:v>
                </c:pt>
                <c:pt idx="128">
                  <c:v>-15.983359785308579</c:v>
                </c:pt>
                <c:pt idx="129">
                  <c:v>-16.33722805174644</c:v>
                </c:pt>
                <c:pt idx="130">
                  <c:v>-16.698103765999598</c:v>
                </c:pt>
                <c:pt idx="131">
                  <c:v>-17.06607123198653</c:v>
                </c:pt>
                <c:pt idx="132">
                  <c:v>-17.441212107327193</c:v>
                </c:pt>
                <c:pt idx="133">
                  <c:v>-17.823605120079783</c:v>
                </c:pt>
                <c:pt idx="134">
                  <c:v>-18.213325773463794</c:v>
                </c:pt>
                <c:pt idx="135">
                  <c:v>-18.610446038770103</c:v>
                </c:pt>
                <c:pt idx="136">
                  <c:v>-19.015034036764703</c:v>
                </c:pt>
                <c:pt idx="137">
                  <c:v>-19.427153707981063</c:v>
                </c:pt>
                <c:pt idx="138">
                  <c:v>-19.84686447241598</c:v>
                </c:pt>
                <c:pt idx="139">
                  <c:v>-20.274220879258774</c:v>
                </c:pt>
                <c:pt idx="140">
                  <c:v>-20.709272247406325</c:v>
                </c:pt>
                <c:pt idx="141">
                  <c:v>-21.152062297661427</c:v>
                </c:pt>
                <c:pt idx="142">
                  <c:v>-21.602628777645219</c:v>
                </c:pt>
                <c:pt idx="143">
                  <c:v>-22.061003080608018</c:v>
                </c:pt>
                <c:pt idx="144">
                  <c:v>-22.527209859482863</c:v>
                </c:pt>
                <c:pt idx="145">
                  <c:v>-23.001266637678668</c:v>
                </c:pt>
                <c:pt idx="146">
                  <c:v>-23.483183418282607</c:v>
                </c:pt>
                <c:pt idx="147">
                  <c:v>-23.972962293504448</c:v>
                </c:pt>
                <c:pt idx="148">
                  <c:v>-24.470597056367883</c:v>
                </c:pt>
                <c:pt idx="149">
                  <c:v>-24.976072816812902</c:v>
                </c:pt>
                <c:pt idx="150">
                  <c:v>-25.489365624547599</c:v>
                </c:pt>
                <c:pt idx="151">
                  <c:v>-26.010442101134306</c:v>
                </c:pt>
                <c:pt idx="152">
                  <c:v>-26.539259083949784</c:v>
                </c:pt>
                <c:pt idx="153">
                  <c:v>-27.075763284797446</c:v>
                </c:pt>
                <c:pt idx="154">
                  <c:v>-27.619890966061821</c:v>
                </c:pt>
                <c:pt idx="155">
                  <c:v>-28.171567637416075</c:v>
                </c:pt>
                <c:pt idx="156">
                  <c:v>-28.730707776157914</c:v>
                </c:pt>
                <c:pt idx="157">
                  <c:v>-29.297214574326695</c:v>
                </c:pt>
                <c:pt idx="158">
                  <c:v>-29.870979715769145</c:v>
                </c:pt>
                <c:pt idx="159">
                  <c:v>-30.451883186329244</c:v>
                </c:pt>
                <c:pt idx="160">
                  <c:v>-31.039793120307177</c:v>
                </c:pt>
                <c:pt idx="161">
                  <c:v>-31.634565686248852</c:v>
                </c:pt>
                <c:pt idx="162">
                  <c:v>-32.236045015029561</c:v>
                </c:pt>
                <c:pt idx="163">
                  <c:v>-32.844063173041071</c:v>
                </c:pt>
                <c:pt idx="164">
                  <c:v>-33.458440183088051</c:v>
                </c:pt>
                <c:pt idx="165">
                  <c:v>-34.078984095380001</c:v>
                </c:pt>
                <c:pt idx="166">
                  <c:v>-34.705491110707648</c:v>
                </c:pt>
                <c:pt idx="167">
                  <c:v>-35.337745757578809</c:v>
                </c:pt>
                <c:pt idx="168">
                  <c:v>-35.975521124725582</c:v>
                </c:pt>
                <c:pt idx="169">
                  <c:v>-36.618579149981436</c:v>
                </c:pt>
                <c:pt idx="170">
                  <c:v>-37.266670966106155</c:v>
                </c:pt>
                <c:pt idx="171">
                  <c:v>-37.919537303647196</c:v>
                </c:pt>
                <c:pt idx="172">
                  <c:v>-38.576908950449756</c:v>
                </c:pt>
                <c:pt idx="173">
                  <c:v>-39.23850726690047</c:v>
                </c:pt>
                <c:pt idx="174">
                  <c:v>-39.904044755467034</c:v>
                </c:pt>
                <c:pt idx="175">
                  <c:v>-40.573225682566886</c:v>
                </c:pt>
                <c:pt idx="176">
                  <c:v>-41.245746750252927</c:v>
                </c:pt>
                <c:pt idx="177">
                  <c:v>-41.921297814702555</c:v>
                </c:pt>
                <c:pt idx="178">
                  <c:v>-42.599562647976946</c:v>
                </c:pt>
                <c:pt idx="179">
                  <c:v>-43.280219739051859</c:v>
                </c:pt>
                <c:pt idx="180">
                  <c:v>-43.962943129680617</c:v>
                </c:pt>
                <c:pt idx="181">
                  <c:v>-44.647403280253627</c:v>
                </c:pt>
                <c:pt idx="182">
                  <c:v>-45.333267960462535</c:v>
                </c:pt>
                <c:pt idx="183">
                  <c:v>-46.020203159314448</c:v>
                </c:pt>
                <c:pt idx="184">
                  <c:v>-46.707874008773182</c:v>
                </c:pt>
                <c:pt idx="185">
                  <c:v>-47.39594571518964</c:v>
                </c:pt>
                <c:pt idx="186">
                  <c:v>-48.08408449255549</c:v>
                </c:pt>
                <c:pt idx="187">
                  <c:v>-48.771958491612821</c:v>
                </c:pt>
                <c:pt idx="188">
                  <c:v>-49.459238718898511</c:v>
                </c:pt>
                <c:pt idx="189">
                  <c:v>-50.145599939927251</c:v>
                </c:pt>
                <c:pt idx="190">
                  <c:v>-50.8307215609031</c:v>
                </c:pt>
                <c:pt idx="191">
                  <c:v>-51.514288483609505</c:v>
                </c:pt>
                <c:pt idx="192">
                  <c:v>-52.195991928436158</c:v>
                </c:pt>
                <c:pt idx="193">
                  <c:v>-52.875530220880982</c:v>
                </c:pt>
                <c:pt idx="194">
                  <c:v>-53.552609537267728</c:v>
                </c:pt>
                <c:pt idx="195">
                  <c:v>-54.226944605888995</c:v>
                </c:pt>
                <c:pt idx="196">
                  <c:v>-54.898259360261534</c:v>
                </c:pt>
                <c:pt idx="197">
                  <c:v>-55.566287541702422</c:v>
                </c:pt>
                <c:pt idx="198">
                  <c:v>-56.230773248949419</c:v>
                </c:pt>
                <c:pt idx="199">
                  <c:v>-56.891471433093571</c:v>
                </c:pt>
                <c:pt idx="200">
                  <c:v>-57.548148336615199</c:v>
                </c:pt>
                <c:pt idx="201">
                  <c:v>-58.200581875840783</c:v>
                </c:pt>
                <c:pt idx="202">
                  <c:v>-58.848561966644787</c:v>
                </c:pt>
                <c:pt idx="203">
                  <c:v>-59.491890793705622</c:v>
                </c:pt>
                <c:pt idx="204">
                  <c:v>-60.130383024072934</c:v>
                </c:pt>
                <c:pt idx="205">
                  <c:v>-60.763865966240644</c:v>
                </c:pt>
                <c:pt idx="206">
                  <c:v>-61.392179676289253</c:v>
                </c:pt>
                <c:pt idx="207">
                  <c:v>-62.015177013022168</c:v>
                </c:pt>
                <c:pt idx="208">
                  <c:v>-62.632723644311461</c:v>
                </c:pt>
                <c:pt idx="209">
                  <c:v>-63.244698007144926</c:v>
                </c:pt>
                <c:pt idx="210">
                  <c:v>-63.850991224063932</c:v>
                </c:pt>
                <c:pt idx="211">
                  <c:v>-64.451506978879394</c:v>
                </c:pt>
                <c:pt idx="212">
                  <c:v>-65.046161354664676</c:v>
                </c:pt>
                <c:pt idx="213">
                  <c:v>-65.634882637129905</c:v>
                </c:pt>
                <c:pt idx="214">
                  <c:v>-66.2176110865326</c:v>
                </c:pt>
                <c:pt idx="215">
                  <c:v>-66.794298681293043</c:v>
                </c:pt>
                <c:pt idx="216">
                  <c:v>-67.364908836477397</c:v>
                </c:pt>
                <c:pt idx="217">
                  <c:v>-67.929416100256873</c:v>
                </c:pt>
                <c:pt idx="218">
                  <c:v>-68.487805831392308</c:v>
                </c:pt>
                <c:pt idx="219">
                  <c:v>-69.040073860687315</c:v>
                </c:pt>
                <c:pt idx="220">
                  <c:v>-69.586226139250925</c:v>
                </c:pt>
                <c:pt idx="221">
                  <c:v>-70.126278376273959</c:v>
                </c:pt>
                <c:pt idx="222">
                  <c:v>-70.660255668879671</c:v>
                </c:pt>
                <c:pt idx="223">
                  <c:v>-71.188192126462525</c:v>
                </c:pt>
                <c:pt idx="224">
                  <c:v>-71.710130491757042</c:v>
                </c:pt>
                <c:pt idx="225">
                  <c:v>-72.226121760721156</c:v>
                </c:pt>
                <c:pt idx="226">
                  <c:v>-72.736224803147635</c:v>
                </c:pt>
                <c:pt idx="227">
                  <c:v>-73.240505985741592</c:v>
                </c:pt>
                <c:pt idx="228">
                  <c:v>-73.739038799241854</c:v>
                </c:pt>
                <c:pt idx="229">
                  <c:v>-74.231903490997837</c:v>
                </c:pt>
                <c:pt idx="230">
                  <c:v>-74.719186704244819</c:v>
                </c:pt>
                <c:pt idx="231">
                  <c:v>-75.200981125175034</c:v>
                </c:pt>
                <c:pt idx="232">
                  <c:v>-75.677385138748832</c:v>
                </c:pt>
                <c:pt idx="233">
                  <c:v>-76.148502494047747</c:v>
                </c:pt>
                <c:pt idx="234">
                  <c:v>-76.614441979837665</c:v>
                </c:pt>
                <c:pt idx="235">
                  <c:v>-77.075317110887866</c:v>
                </c:pt>
                <c:pt idx="236">
                  <c:v>-77.531245825468559</c:v>
                </c:pt>
                <c:pt idx="237">
                  <c:v>-77.982350194346523</c:v>
                </c:pt>
                <c:pt idx="238">
                  <c:v>-78.428756141491874</c:v>
                </c:pt>
                <c:pt idx="239">
                  <c:v>-78.870593176624027</c:v>
                </c:pt>
                <c:pt idx="240">
                  <c:v>-79.307994139630452</c:v>
                </c:pt>
                <c:pt idx="241">
                  <c:v>-79.74109495682913</c:v>
                </c:pt>
                <c:pt idx="242">
                  <c:v>-80.170034408962948</c:v>
                </c:pt>
                <c:pt idx="243">
                  <c:v>-80.594953910762015</c:v>
                </c:pt>
                <c:pt idx="244">
                  <c:v>-81.0159973018513</c:v>
                </c:pt>
                <c:pt idx="245">
                  <c:v>-81.433310648732814</c:v>
                </c:pt>
                <c:pt idx="246">
                  <c:v>-81.847042057528625</c:v>
                </c:pt>
                <c:pt idx="247">
                  <c:v>-82.257341497134391</c:v>
                </c:pt>
                <c:pt idx="248">
                  <c:v>-82.664360632398768</c:v>
                </c:pt>
                <c:pt idx="249">
                  <c:v>-83.068252666919889</c:v>
                </c:pt>
                <c:pt idx="250">
                  <c:v>-83.469172195021414</c:v>
                </c:pt>
                <c:pt idx="251">
                  <c:v>-83.867275062455263</c:v>
                </c:pt>
                <c:pt idx="252">
                  <c:v>-84.262718235357283</c:v>
                </c:pt>
                <c:pt idx="253">
                  <c:v>-84.655659676972334</c:v>
                </c:pt>
                <c:pt idx="254">
                  <c:v>-85.046258231650441</c:v>
                </c:pt>
                <c:pt idx="255">
                  <c:v>-85.434673515607912</c:v>
                </c:pt>
                <c:pt idx="256">
                  <c:v>-85.82106581394001</c:v>
                </c:pt>
                <c:pt idx="257">
                  <c:v>-86.205595983367203</c:v>
                </c:pt>
                <c:pt idx="258">
                  <c:v>-86.588425360191366</c:v>
                </c:pt>
                <c:pt idx="259">
                  <c:v>-86.969715672933589</c:v>
                </c:pt>
                <c:pt idx="260">
                  <c:v>-87.349628959128879</c:v>
                </c:pt>
                <c:pt idx="261">
                  <c:v>-87.728327485743065</c:v>
                </c:pt>
                <c:pt idx="262">
                  <c:v>-88.105973672683334</c:v>
                </c:pt>
                <c:pt idx="263">
                  <c:v>-88.482730018869177</c:v>
                </c:pt>
                <c:pt idx="264">
                  <c:v>-88.858759030331768</c:v>
                </c:pt>
                <c:pt idx="265">
                  <c:v>-89.234223149805828</c:v>
                </c:pt>
                <c:pt idx="266">
                  <c:v>-89.609284687284941</c:v>
                </c:pt>
                <c:pt idx="267">
                  <c:v>-89.984105751002161</c:v>
                </c:pt>
                <c:pt idx="268">
                  <c:v>-90.35884817830356</c:v>
                </c:pt>
                <c:pt idx="269">
                  <c:v>-90.733673465878113</c:v>
                </c:pt>
                <c:pt idx="270">
                  <c:v>-91.108742698809664</c:v>
                </c:pt>
                <c:pt idx="271">
                  <c:v>-91.484216477911673</c:v>
                </c:pt>
                <c:pt idx="272">
                  <c:v>-91.860254844809063</c:v>
                </c:pt>
                <c:pt idx="273">
                  <c:v>-92.237017204226262</c:v>
                </c:pt>
                <c:pt idx="274">
                  <c:v>-92.614662242942956</c:v>
                </c:pt>
                <c:pt idx="275">
                  <c:v>-92.99334784487634</c:v>
                </c:pt>
                <c:pt idx="276">
                  <c:v>-93.373231001747271</c:v>
                </c:pt>
                <c:pt idx="277">
                  <c:v>-93.754467718790636</c:v>
                </c:pt>
                <c:pt idx="278">
                  <c:v>-94.137212914967549</c:v>
                </c:pt>
                <c:pt idx="279">
                  <c:v>-94.521620317138314</c:v>
                </c:pt>
                <c:pt idx="280">
                  <c:v>-94.907842347659894</c:v>
                </c:pt>
                <c:pt idx="281">
                  <c:v>-95.296030004869678</c:v>
                </c:pt>
                <c:pt idx="282">
                  <c:v>-95.686332735928175</c:v>
                </c:pt>
                <c:pt idx="283">
                  <c:v>-96.078898301491975</c:v>
                </c:pt>
                <c:pt idx="284">
                  <c:v>-96.473872631703202</c:v>
                </c:pt>
                <c:pt idx="285">
                  <c:v>-96.871399672988446</c:v>
                </c:pt>
                <c:pt idx="286">
                  <c:v>-97.271621225171828</c:v>
                </c:pt>
                <c:pt idx="287">
                  <c:v>-97.674676768426906</c:v>
                </c:pt>
                <c:pt idx="288">
                  <c:v>-98.080703279607661</c:v>
                </c:pt>
                <c:pt idx="289">
                  <c:v>-98.489835037521544</c:v>
                </c:pt>
                <c:pt idx="290">
                  <c:v>-98.902203416739312</c:v>
                </c:pt>
                <c:pt idx="291">
                  <c:v>-99.317936669559387</c:v>
                </c:pt>
                <c:pt idx="292">
                  <c:v>-99.73715969579176</c:v>
                </c:pt>
                <c:pt idx="293">
                  <c:v>-100.15999380005609</c:v>
                </c:pt>
                <c:pt idx="294">
                  <c:v>-100.58655643634793</c:v>
                </c:pt>
                <c:pt idx="295">
                  <c:v>-101.01696093967192</c:v>
                </c:pt>
                <c:pt idx="296">
                  <c:v>-101.45131624460602</c:v>
                </c:pt>
                <c:pt idx="297">
                  <c:v>-101.88972659072577</c:v>
                </c:pt>
                <c:pt idx="298">
                  <c:v>-102.33229121489417</c:v>
                </c:pt>
                <c:pt idx="299">
                  <c:v>-102.77910403050214</c:v>
                </c:pt>
                <c:pt idx="300">
                  <c:v>-103.23025329383485</c:v>
                </c:pt>
                <c:pt idx="301">
                  <c:v>-103.68582125783979</c:v>
                </c:pt>
                <c:pt idx="302">
                  <c:v>-104.14588381367146</c:v>
                </c:pt>
                <c:pt idx="303">
                  <c:v>-104.61051012050582</c:v>
                </c:pt>
                <c:pt idx="304">
                  <c:v>-105.0797622242353</c:v>
                </c:pt>
                <c:pt idx="305">
                  <c:v>-105.55369466578175</c:v>
                </c:pt>
                <c:pt idx="306">
                  <c:v>-106.03235407990142</c:v>
                </c:pt>
                <c:pt idx="307">
                  <c:v>-106.51577878549068</c:v>
                </c:pt>
                <c:pt idx="308">
                  <c:v>-107.00399836855038</c:v>
                </c:pt>
                <c:pt idx="309">
                  <c:v>-107.49703325910961</c:v>
                </c:pt>
                <c:pt idx="310">
                  <c:v>-107.99489430356449</c:v>
                </c:pt>
                <c:pt idx="311">
                  <c:v>-108.49758233403082</c:v>
                </c:pt>
                <c:pt idx="312">
                  <c:v>-109.00508773646681</c:v>
                </c:pt>
                <c:pt idx="313">
                  <c:v>-109.5173900194596</c:v>
                </c:pt>
                <c:pt idx="314">
                  <c:v>-110.03445738571102</c:v>
                </c:pt>
                <c:pt idx="315">
                  <c:v>-110.55624630839017</c:v>
                </c:pt>
                <c:pt idx="316">
                  <c:v>-111.08270111463364</c:v>
                </c:pt>
                <c:pt idx="317">
                  <c:v>-111.61375357858107</c:v>
                </c:pt>
                <c:pt idx="318">
                  <c:v>-112.14932252641651</c:v>
                </c:pt>
                <c:pt idx="319">
                  <c:v>-112.68931345594889</c:v>
                </c:pt>
                <c:pt idx="320">
                  <c:v>-113.23361817329702</c:v>
                </c:pt>
                <c:pt idx="321">
                  <c:v>-113.78211444926046</c:v>
                </c:pt>
                <c:pt idx="322">
                  <c:v>-114.33466569791763</c:v>
                </c:pt>
                <c:pt idx="323">
                  <c:v>-114.89112067993764</c:v>
                </c:pt>
                <c:pt idx="324">
                  <c:v>-115.45131323298399</c:v>
                </c:pt>
                <c:pt idx="325">
                  <c:v>-116.01506203143119</c:v>
                </c:pt>
                <c:pt idx="326">
                  <c:v>-116.58217037742557</c:v>
                </c:pt>
                <c:pt idx="327">
                  <c:v>-117.1524260250649</c:v>
                </c:pt>
                <c:pt idx="328">
                  <c:v>-117.7256010391674</c:v>
                </c:pt>
                <c:pt idx="329">
                  <c:v>-118.30145168974705</c:v>
                </c:pt>
                <c:pt idx="330">
                  <c:v>-118.87971838288183</c:v>
                </c:pt>
                <c:pt idx="331">
                  <c:v>-119.46012562820221</c:v>
                </c:pt>
                <c:pt idx="332">
                  <c:v>-120.04238204267304</c:v>
                </c:pt>
                <c:pt idx="333">
                  <c:v>-120.62618038976501</c:v>
                </c:pt>
                <c:pt idx="334">
                  <c:v>-121.21119765244143</c:v>
                </c:pt>
                <c:pt idx="335">
                  <c:v>-121.79709513768987</c:v>
                </c:pt>
                <c:pt idx="336">
                  <c:v>-122.38351860954464</c:v>
                </c:pt>
                <c:pt idx="337">
                  <c:v>-122.97009844674274</c:v>
                </c:pt>
                <c:pt idx="338">
                  <c:v>-123.5564498202547</c:v>
                </c:pt>
                <c:pt idx="339">
                  <c:v>-124.14217288502751</c:v>
                </c:pt>
                <c:pt idx="340">
                  <c:v>-124.72685297927293</c:v>
                </c:pt>
                <c:pt idx="341">
                  <c:v>-125.31006082362285</c:v>
                </c:pt>
                <c:pt idx="342">
                  <c:v>-125.8913527113659</c:v>
                </c:pt>
                <c:pt idx="343">
                  <c:v>-126.47027067984901</c:v>
                </c:pt>
                <c:pt idx="344">
                  <c:v>-127.04634265191501</c:v>
                </c:pt>
                <c:pt idx="345">
                  <c:v>-127.61908253496486</c:v>
                </c:pt>
                <c:pt idx="346">
                  <c:v>-128.18799026387319</c:v>
                </c:pt>
                <c:pt idx="347">
                  <c:v>-128.75255177251583</c:v>
                </c:pt>
                <c:pt idx="348">
                  <c:v>-129.31223887707964</c:v>
                </c:pt>
                <c:pt idx="349">
                  <c:v>-129.86650905258014</c:v>
                </c:pt>
                <c:pt idx="350">
                  <c:v>-130.41480508208008</c:v>
                </c:pt>
                <c:pt idx="351">
                  <c:v>-130.95655455592805</c:v>
                </c:pt>
                <c:pt idx="352">
                  <c:v>-131.49116919587792</c:v>
                </c:pt>
                <c:pt idx="353">
                  <c:v>-132.0180439761132</c:v>
                </c:pt>
                <c:pt idx="354">
                  <c:v>-132.53655600993227</c:v>
                </c:pt>
                <c:pt idx="355">
                  <c:v>-133.04606316699537</c:v>
                </c:pt>
                <c:pt idx="356">
                  <c:v>-133.54590238152355</c:v>
                </c:pt>
                <c:pt idx="357">
                  <c:v>-134.03538760645094</c:v>
                </c:pt>
                <c:pt idx="358">
                  <c:v>-134.51380736212417</c:v>
                </c:pt>
                <c:pt idx="359">
                  <c:v>-134.98042182042863</c:v>
                </c:pt>
                <c:pt idx="360">
                  <c:v>-135.43445935594568</c:v>
                </c:pt>
                <c:pt idx="361">
                  <c:v>-135.87511248450605</c:v>
                </c:pt>
                <c:pt idx="362">
                  <c:v>-136.30153309587516</c:v>
                </c:pt>
                <c:pt idx="363">
                  <c:v>-136.71282687069683</c:v>
                </c:pt>
                <c:pt idx="364">
                  <c:v>-137.10804675152815</c:v>
                </c:pt>
                <c:pt idx="365">
                  <c:v>-137.48618531292303</c:v>
                </c:pt>
                <c:pt idx="366">
                  <c:v>-137.84616584492721</c:v>
                </c:pt>
                <c:pt idx="367">
                  <c:v>-138.1868319265734</c:v>
                </c:pt>
                <c:pt idx="368">
                  <c:v>-138.50693521917583</c:v>
                </c:pt>
                <c:pt idx="369">
                  <c:v>-138.80512115101925</c:v>
                </c:pt>
                <c:pt idx="370">
                  <c:v>-139.07991209235567</c:v>
                </c:pt>
                <c:pt idx="371">
                  <c:v>-139.32968752843212</c:v>
                </c:pt>
                <c:pt idx="372">
                  <c:v>-139.55266062337529</c:v>
                </c:pt>
                <c:pt idx="373">
                  <c:v>-139.7468504222669</c:v>
                </c:pt>
                <c:pt idx="374">
                  <c:v>-139.91004875360019</c:v>
                </c:pt>
                <c:pt idx="375">
                  <c:v>-140.03978065749391</c:v>
                </c:pt>
                <c:pt idx="376">
                  <c:v>-140.13325686052912</c:v>
                </c:pt>
                <c:pt idx="377">
                  <c:v>-140.18731642440596</c:v>
                </c:pt>
                <c:pt idx="378">
                  <c:v>-140.1983571839271</c:v>
                </c:pt>
                <c:pt idx="379">
                  <c:v>-140.1622509211733</c:v>
                </c:pt>
                <c:pt idx="380">
                  <c:v>-140.07423934442411</c:v>
                </c:pt>
                <c:pt idx="381">
                  <c:v>-139.92880578105081</c:v>
                </c:pt>
                <c:pt idx="382">
                  <c:v>-139.71951595671572</c:v>
                </c:pt>
                <c:pt idx="383">
                  <c:v>-139.43881918876232</c:v>
                </c:pt>
                <c:pt idx="384">
                  <c:v>-139.07779859647519</c:v>
                </c:pt>
                <c:pt idx="385">
                  <c:v>-138.6258552986005</c:v>
                </c:pt>
                <c:pt idx="386">
                  <c:v>-138.07030674426613</c:v>
                </c:pt>
                <c:pt idx="387">
                  <c:v>-137.39587297399711</c:v>
                </c:pt>
                <c:pt idx="388">
                  <c:v>-136.58401640450859</c:v>
                </c:pt>
                <c:pt idx="389">
                  <c:v>-135.6120905090136</c:v>
                </c:pt>
                <c:pt idx="390">
                  <c:v>-134.45224092330588</c:v>
                </c:pt>
                <c:pt idx="391">
                  <c:v>-133.06999095916424</c:v>
                </c:pt>
                <c:pt idx="392">
                  <c:v>-131.42243781677914</c:v>
                </c:pt>
                <c:pt idx="393">
                  <c:v>-129.45599984099181</c:v>
                </c:pt>
                <c:pt idx="394">
                  <c:v>-127.10372091274722</c:v>
                </c:pt>
                <c:pt idx="395">
                  <c:v>-124.28232460333233</c:v>
                </c:pt>
                <c:pt idx="396">
                  <c:v>-120.88965705488845</c:v>
                </c:pt>
                <c:pt idx="397">
                  <c:v>-116.80411200147562</c:v>
                </c:pt>
                <c:pt idx="398">
                  <c:v>-111.88943312261055</c:v>
                </c:pt>
                <c:pt idx="399">
                  <c:v>-106.01104296478405</c:v>
                </c:pt>
                <c:pt idx="400">
                  <c:v>-99.072391364500973</c:v>
                </c:pt>
                <c:pt idx="401">
                  <c:v>-91.076368381111763</c:v>
                </c:pt>
                <c:pt idx="402">
                  <c:v>-82.197778743815803</c:v>
                </c:pt>
                <c:pt idx="403">
                  <c:v>-72.818232659411294</c:v>
                </c:pt>
                <c:pt idx="404">
                  <c:v>-63.463625833916211</c:v>
                </c:pt>
                <c:pt idx="405">
                  <c:v>-54.649798253377078</c:v>
                </c:pt>
                <c:pt idx="406">
                  <c:v>-46.735133115608676</c:v>
                </c:pt>
                <c:pt idx="407">
                  <c:v>-39.871158007580313</c:v>
                </c:pt>
                <c:pt idx="408">
                  <c:v>-34.045289697757227</c:v>
                </c:pt>
                <c:pt idx="409">
                  <c:v>-29.153830068776237</c:v>
                </c:pt>
                <c:pt idx="410">
                  <c:v>-25.060609642114219</c:v>
                </c:pt>
                <c:pt idx="411">
                  <c:v>-21.630562415902425</c:v>
                </c:pt>
                <c:pt idx="412">
                  <c:v>-18.74428881038331</c:v>
                </c:pt>
                <c:pt idx="413">
                  <c:v>-16.301969477520817</c:v>
                </c:pt>
                <c:pt idx="414">
                  <c:v>-14.222426733711108</c:v>
                </c:pt>
                <c:pt idx="415">
                  <c:v>-12.440464400420073</c:v>
                </c:pt>
                <c:pt idx="416">
                  <c:v>-10.90393047801629</c:v>
                </c:pt>
                <c:pt idx="417">
                  <c:v>-9.5710689572666592</c:v>
                </c:pt>
                <c:pt idx="418">
                  <c:v>-8.4083216298257053</c:v>
                </c:pt>
                <c:pt idx="419">
                  <c:v>-7.3885738473016627</c:v>
                </c:pt>
                <c:pt idx="420">
                  <c:v>-6.4897811078228385</c:v>
                </c:pt>
                <c:pt idx="421">
                  <c:v>-5.693902786164954</c:v>
                </c:pt>
                <c:pt idx="422">
                  <c:v>-4.9860761951243653</c:v>
                </c:pt>
                <c:pt idx="423">
                  <c:v>-4.3539759370568554</c:v>
                </c:pt>
                <c:pt idx="424">
                  <c:v>-3.7873152127018903</c:v>
                </c:pt>
                <c:pt idx="425">
                  <c:v>-3.2774557437117391</c:v>
                </c:pt>
                <c:pt idx="426">
                  <c:v>-2.8171009369595561</c:v>
                </c:pt>
                <c:pt idx="427">
                  <c:v>-2.4000530713370232</c:v>
                </c:pt>
                <c:pt idx="428">
                  <c:v>-2.0210199556592494</c:v>
                </c:pt>
                <c:pt idx="429">
                  <c:v>-1.6754600185613306</c:v>
                </c:pt>
                <c:pt idx="430">
                  <c:v>-1.3594574260203822</c:v>
                </c:pt>
                <c:pt idx="431">
                  <c:v>-1.0696207989773734</c:v>
                </c:pt>
                <c:pt idx="432">
                  <c:v>-0.803000590146973</c:v>
                </c:pt>
                <c:pt idx="433">
                  <c:v>-0.5570213010233358</c:v>
                </c:pt>
                <c:pt idx="434">
                  <c:v>-0.32942557054944194</c:v>
                </c:pt>
                <c:pt idx="435">
                  <c:v>-0.11822781478473586</c:v>
                </c:pt>
                <c:pt idx="436">
                  <c:v>7.8324406969444177E-2</c:v>
                </c:pt>
                <c:pt idx="437">
                  <c:v>0.2617827421198472</c:v>
                </c:pt>
                <c:pt idx="438">
                  <c:v>0.43352525761784577</c:v>
                </c:pt>
                <c:pt idx="439">
                  <c:v>0.59477943228049923</c:v>
                </c:pt>
                <c:pt idx="440">
                  <c:v>0.74664166503029694</c:v>
                </c:pt>
                <c:pt idx="441">
                  <c:v>0.89009389372997549</c:v>
                </c:pt>
                <c:pt idx="442">
                  <c:v>1.0260178071678785</c:v>
                </c:pt>
                <c:pt idx="443">
                  <c:v>1.1552070436260728</c:v>
                </c:pt>
                <c:pt idx="444">
                  <c:v>1.2783776982614998</c:v>
                </c:pt>
                <c:pt idx="445">
                  <c:v>1.39617740438019</c:v>
                </c:pt>
                <c:pt idx="446">
                  <c:v>1.5091932075963685</c:v>
                </c:pt>
                <c:pt idx="447">
                  <c:v>1.6179584145350219</c:v>
                </c:pt>
                <c:pt idx="448">
                  <c:v>1.72295856736172</c:v>
                </c:pt>
                <c:pt idx="449">
                  <c:v>1.8246366706096315</c:v>
                </c:pt>
                <c:pt idx="450">
                  <c:v>1.9233977764154564</c:v>
                </c:pt>
                <c:pt idx="451">
                  <c:v>2.0196130175117597</c:v>
                </c:pt>
                <c:pt idx="452">
                  <c:v>2.1136231634646241</c:v>
                </c:pt>
                <c:pt idx="453">
                  <c:v>2.2057417641443919</c:v>
                </c:pt>
                <c:pt idx="454">
                  <c:v>2.296257934843736</c:v>
                </c:pt>
                <c:pt idx="455">
                  <c:v>2.3854388294561293</c:v>
                </c:pt>
                <c:pt idx="456">
                  <c:v>2.4735318414201495</c:v>
                </c:pt>
                <c:pt idx="457">
                  <c:v>2.5607665664963024</c:v>
                </c:pt>
                <c:pt idx="458">
                  <c:v>2.6473565566825092</c:v>
                </c:pt>
                <c:pt idx="459">
                  <c:v>2.7335008905492253</c:v>
                </c:pt>
                <c:pt idx="460">
                  <c:v>2.8193855818565465</c:v>
                </c:pt>
                <c:pt idx="461">
                  <c:v>2.9051848454096287</c:v>
                </c:pt>
                <c:pt idx="462">
                  <c:v>2.9910622366247588</c:v>
                </c:pt>
                <c:pt idx="463">
                  <c:v>3.077171679155589</c:v>
                </c:pt>
                <c:pt idx="464">
                  <c:v>3.1636583931079811</c:v>
                </c:pt>
                <c:pt idx="465">
                  <c:v>3.2506597348034147</c:v>
                </c:pt>
                <c:pt idx="466">
                  <c:v>3.338305957701853</c:v>
                </c:pt>
                <c:pt idx="467">
                  <c:v>3.4267209029259718</c:v>
                </c:pt>
                <c:pt idx="468">
                  <c:v>3.5160226268182067</c:v>
                </c:pt>
                <c:pt idx="469">
                  <c:v>3.6063239720841769</c:v>
                </c:pt>
                <c:pt idx="470">
                  <c:v>3.6977330883108968</c:v>
                </c:pt>
                <c:pt idx="471">
                  <c:v>3.7903539069846399</c:v>
                </c:pt>
                <c:pt idx="472">
                  <c:v>3.8842865755475331</c:v>
                </c:pt>
                <c:pt idx="473">
                  <c:v>3.9796278545254093</c:v>
                </c:pt>
                <c:pt idx="474">
                  <c:v>4.0764714813107528</c:v>
                </c:pt>
                <c:pt idx="475">
                  <c:v>4.1749085037905687</c:v>
                </c:pt>
                <c:pt idx="476">
                  <c:v>4.2750275866640637</c:v>
                </c:pt>
                <c:pt idx="477">
                  <c:v>4.3769152929878432</c:v>
                </c:pt>
                <c:pt idx="478">
                  <c:v>4.480656343215891</c:v>
                </c:pt>
                <c:pt idx="479">
                  <c:v>4.5863338537626319</c:v>
                </c:pt>
                <c:pt idx="480">
                  <c:v>4.6940295569029509</c:v>
                </c:pt>
                <c:pt idx="481">
                  <c:v>4.8038240036340936</c:v>
                </c:pt>
                <c:pt idx="482">
                  <c:v>4.9157967509563578</c:v>
                </c:pt>
                <c:pt idx="483">
                  <c:v>5.0300265348760398</c:v>
                </c:pt>
                <c:pt idx="484">
                  <c:v>5.1465914303011626</c:v>
                </c:pt>
                <c:pt idx="485">
                  <c:v>5.2655689988775665</c:v>
                </c:pt>
                <c:pt idx="486">
                  <c:v>5.387036425704447</c:v>
                </c:pt>
                <c:pt idx="487">
                  <c:v>5.5110706457699985</c:v>
                </c:pt>
                <c:pt idx="488">
                  <c:v>5.6377484608574582</c:v>
                </c:pt>
                <c:pt idx="489">
                  <c:v>5.7671466475936457</c:v>
                </c:pt>
                <c:pt idx="490">
                  <c:v>5.8993420572362902</c:v>
                </c:pt>
                <c:pt idx="491">
                  <c:v>6.034411707731131</c:v>
                </c:pt>
                <c:pt idx="492">
                  <c:v>6.1724328685086221</c:v>
                </c:pt>
                <c:pt idx="493">
                  <c:v>6.3134831384327699</c:v>
                </c:pt>
                <c:pt idx="494">
                  <c:v>6.457640517265812</c:v>
                </c:pt>
                <c:pt idx="495">
                  <c:v>6.6049834709615451</c:v>
                </c:pt>
                <c:pt idx="496">
                  <c:v>6.7555909910596341</c:v>
                </c:pt>
                <c:pt idx="497">
                  <c:v>6.9095426484096611</c:v>
                </c:pt>
                <c:pt idx="498">
                  <c:v>7.0669186414162093</c:v>
                </c:pt>
                <c:pt idx="499">
                  <c:v>7.2277998389627331</c:v>
                </c:pt>
                <c:pt idx="500">
                  <c:v>7.3922678181345667</c:v>
                </c:pt>
                <c:pt idx="501">
                  <c:v>7.5604048968329396</c:v>
                </c:pt>
                <c:pt idx="502">
                  <c:v>7.7322941613410459</c:v>
                </c:pt>
                <c:pt idx="503">
                  <c:v>7.9080194888739674</c:v>
                </c:pt>
                <c:pt idx="504">
                  <c:v>8.0876655651173497</c:v>
                </c:pt>
                <c:pt idx="505">
                  <c:v>8.2713178967361287</c:v>
                </c:pt>
                <c:pt idx="506">
                  <c:v>8.4590628188048953</c:v>
                </c:pt>
                <c:pt idx="507">
                  <c:v>8.6509874970923342</c:v>
                </c:pt>
                <c:pt idx="508">
                  <c:v>8.8471799251075396</c:v>
                </c:pt>
                <c:pt idx="509">
                  <c:v>9.0477289157913106</c:v>
                </c:pt>
                <c:pt idx="510">
                  <c:v>9.2527240877192565</c:v>
                </c:pt>
                <c:pt idx="511">
                  <c:v>9.46225584565682</c:v>
                </c:pt>
                <c:pt idx="512">
                  <c:v>9.676415355292793</c:v>
                </c:pt>
                <c:pt idx="513">
                  <c:v>9.8952945119524554</c:v>
                </c:pt>
                <c:pt idx="514">
                  <c:v>10.118985903077959</c:v>
                </c:pt>
                <c:pt idx="515">
                  <c:v>10.347582764243302</c:v>
                </c:pt>
                <c:pt idx="516">
                  <c:v>10.581178928455982</c:v>
                </c:pt>
                <c:pt idx="517">
                  <c:v>10.819868768480113</c:v>
                </c:pt>
                <c:pt idx="518">
                  <c:v>11.063747131903444</c:v>
                </c:pt>
                <c:pt idx="519">
                  <c:v>11.312909268654348</c:v>
                </c:pt>
                <c:pt idx="520">
                  <c:v>11.567450750666648</c:v>
                </c:pt>
                <c:pt idx="521">
                  <c:v>11.827467383374987</c:v>
                </c:pt>
                <c:pt idx="522">
                  <c:v>12.093055108717797</c:v>
                </c:pt>
                <c:pt idx="523">
                  <c:v>12.364309899317984</c:v>
                </c:pt>
                <c:pt idx="524">
                  <c:v>12.641327643504233</c:v>
                </c:pt>
                <c:pt idx="525">
                  <c:v>12.924204020835525</c:v>
                </c:pt>
                <c:pt idx="526">
                  <c:v>13.213034367790044</c:v>
                </c:pt>
                <c:pt idx="527">
                  <c:v>13.507913533285652</c:v>
                </c:pt>
                <c:pt idx="528">
                  <c:v>13.808935723701962</c:v>
                </c:pt>
                <c:pt idx="529">
                  <c:v>14.116194337087101</c:v>
                </c:pt>
                <c:pt idx="530">
                  <c:v>14.429781786245176</c:v>
                </c:pt>
                <c:pt idx="531">
                  <c:v>14.749789310419125</c:v>
                </c:pt>
                <c:pt idx="532">
                  <c:v>15.076306775307186</c:v>
                </c:pt>
                <c:pt idx="533">
                  <c:v>15.409422461182309</c:v>
                </c:pt>
                <c:pt idx="534">
                  <c:v>15.749222838911601</c:v>
                </c:pt>
                <c:pt idx="535">
                  <c:v>16.095792333722503</c:v>
                </c:pt>
                <c:pt idx="536">
                  <c:v>16.449213076601321</c:v>
                </c:pt>
                <c:pt idx="537">
                  <c:v>16.809564643268093</c:v>
                </c:pt>
                <c:pt idx="538">
                  <c:v>17.176923780732348</c:v>
                </c:pt>
                <c:pt idx="539">
                  <c:v>17.551364121500995</c:v>
                </c:pt>
                <c:pt idx="540">
                  <c:v>17.932955885589688</c:v>
                </c:pt>
                <c:pt idx="541">
                  <c:v>18.321765570571916</c:v>
                </c:pt>
              </c:numCache>
            </c:numRef>
          </c:yVal>
          <c:smooth val="1"/>
          <c:extLst>
            <c:ext xmlns:c16="http://schemas.microsoft.com/office/drawing/2014/chart" uri="{C3380CC4-5D6E-409C-BE32-E72D297353CC}">
              <c16:uniqueId val="{00000001-B561-4C80-890B-643E0BF90D63}"/>
            </c:ext>
          </c:extLst>
        </c:ser>
        <c:dLbls>
          <c:showLegendKey val="0"/>
          <c:showVal val="0"/>
          <c:showCatName val="0"/>
          <c:showSerName val="0"/>
          <c:showPercent val="0"/>
          <c:showBubbleSize val="0"/>
        </c:dLbls>
        <c:axId val="162527872"/>
        <c:axId val="162526336"/>
      </c:scatterChart>
      <c:valAx>
        <c:axId val="1624976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2499584"/>
        <c:crosses val="autoZero"/>
        <c:crossBetween val="midCat"/>
      </c:valAx>
      <c:valAx>
        <c:axId val="1624995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62497664"/>
        <c:crosses val="autoZero"/>
        <c:crossBetween val="midCat"/>
        <c:majorUnit val="20"/>
        <c:minorUnit val="10"/>
      </c:valAx>
      <c:valAx>
        <c:axId val="162526336"/>
        <c:scaling>
          <c:orientation val="minMax"/>
          <c:max val="180"/>
          <c:min val="-180"/>
        </c:scaling>
        <c:delete val="0"/>
        <c:axPos val="r"/>
        <c:numFmt formatCode="General" sourceLinked="1"/>
        <c:majorTickMark val="out"/>
        <c:minorTickMark val="none"/>
        <c:tickLblPos val="nextTo"/>
        <c:crossAx val="162527872"/>
        <c:crosses val="max"/>
        <c:crossBetween val="midCat"/>
        <c:majorUnit val="90"/>
        <c:minorUnit val="45"/>
      </c:valAx>
      <c:valAx>
        <c:axId val="162527872"/>
        <c:scaling>
          <c:logBase val="10"/>
          <c:orientation val="minMax"/>
        </c:scaling>
        <c:delete val="1"/>
        <c:axPos val="b"/>
        <c:numFmt formatCode="0.00" sourceLinked="1"/>
        <c:majorTickMark val="out"/>
        <c:minorTickMark val="none"/>
        <c:tickLblPos val="nextTo"/>
        <c:crossAx val="16252633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-3.1176011272110098</c:v>
                </c:pt>
                <c:pt idx="1">
                  <c:v>-3.3174611111447443</c:v>
                </c:pt>
                <c:pt idx="2">
                  <c:v>-3.5173145043909217</c:v>
                </c:pt>
                <c:pt idx="3">
                  <c:v>-3.7171609971174351</c:v>
                </c:pt>
                <c:pt idx="4">
                  <c:v>-3.9170002649650133</c:v>
                </c:pt>
                <c:pt idx="5">
                  <c:v>-4.1168319683699925</c:v>
                </c:pt>
                <c:pt idx="6">
                  <c:v>-4.3166557518555217</c:v>
                </c:pt>
                <c:pt idx="7">
                  <c:v>-4.5164712432902023</c:v>
                </c:pt>
                <c:pt idx="8">
                  <c:v>-4.7162780531129131</c:v>
                </c:pt>
                <c:pt idx="9">
                  <c:v>-4.9160757735214826</c:v>
                </c:pt>
                <c:pt idx="10">
                  <c:v>-5.115863977624505</c:v>
                </c:pt>
                <c:pt idx="11">
                  <c:v>-5.3156422185543315</c:v>
                </c:pt>
                <c:pt idx="12">
                  <c:v>-5.5154100285391845</c:v>
                </c:pt>
                <c:pt idx="13">
                  <c:v>-5.7151669179329616</c:v>
                </c:pt>
                <c:pt idx="14">
                  <c:v>-5.9149123742007905</c:v>
                </c:pt>
                <c:pt idx="15">
                  <c:v>-6.1146458608584542</c:v>
                </c:pt>
                <c:pt idx="16">
                  <c:v>-6.3143668163632221</c:v>
                </c:pt>
                <c:pt idx="17">
                  <c:v>-6.5140746529548004</c:v>
                </c:pt>
                <c:pt idx="18">
                  <c:v>-6.7137687554431134</c:v>
                </c:pt>
                <c:pt idx="19">
                  <c:v>-6.9134484799420068</c:v>
                </c:pt>
                <c:pt idx="20">
                  <c:v>-7.1131131525448836</c:v>
                </c:pt>
                <c:pt idx="21">
                  <c:v>-7.3127620679413869</c:v>
                </c:pt>
                <c:pt idx="22">
                  <c:v>-7.5123944879713882</c:v>
                </c:pt>
                <c:pt idx="23">
                  <c:v>-7.7120096401144345</c:v>
                </c:pt>
                <c:pt idx="24">
                  <c:v>-7.9116067159113523</c:v>
                </c:pt>
                <c:pt idx="25">
                  <c:v>-8.1111848693156006</c:v>
                </c:pt>
                <c:pt idx="26">
                  <c:v>-8.3107432149708131</c:v>
                </c:pt>
                <c:pt idx="27">
                  <c:v>-8.5102808264125134</c:v>
                </c:pt>
                <c:pt idx="28">
                  <c:v>-8.7097967341896254</c:v>
                </c:pt>
                <c:pt idx="29">
                  <c:v>-8.9092899239034367</c:v>
                </c:pt>
                <c:pt idx="30">
                  <c:v>-9.1087593341601139</c:v>
                </c:pt>
                <c:pt idx="31">
                  <c:v>-9.3082038544336463</c:v>
                </c:pt>
                <c:pt idx="32">
                  <c:v>-9.5076223228355232</c:v>
                </c:pt>
                <c:pt idx="33">
                  <c:v>-9.7070135237870563</c:v>
                </c:pt>
                <c:pt idx="34">
                  <c:v>-9.9063761855912791</c:v>
                </c:pt>
                <c:pt idx="35">
                  <c:v>-10.105708977899774</c:v>
                </c:pt>
                <c:pt idx="36">
                  <c:v>-10.305010509071082</c:v>
                </c:pt>
                <c:pt idx="37">
                  <c:v>-10.504279323415835</c:v>
                </c:pt>
                <c:pt idx="38">
                  <c:v>-10.703513898325024</c:v>
                </c:pt>
                <c:pt idx="39">
                  <c:v>-10.902712641276759</c:v>
                </c:pt>
                <c:pt idx="40">
                  <c:v>-11.101873886717389</c:v>
                </c:pt>
                <c:pt idx="41">
                  <c:v>-11.300995892811551</c:v>
                </c:pt>
                <c:pt idx="42">
                  <c:v>-11.500076838058193</c:v>
                </c:pt>
                <c:pt idx="43">
                  <c:v>-11.699114817766345</c:v>
                </c:pt>
                <c:pt idx="44">
                  <c:v>-11.898107840386762</c:v>
                </c:pt>
                <c:pt idx="45">
                  <c:v>-12.09705382369436</c:v>
                </c:pt>
                <c:pt idx="46">
                  <c:v>-12.295950590816922</c:v>
                </c:pt>
                <c:pt idx="47">
                  <c:v>-12.49479586610466</c:v>
                </c:pt>
                <c:pt idx="48">
                  <c:v>-12.69358727083654</c:v>
                </c:pt>
                <c:pt idx="49">
                  <c:v>-12.892322318757724</c:v>
                </c:pt>
                <c:pt idx="50">
                  <c:v>-13.090998411444154</c:v>
                </c:pt>
                <c:pt idx="51">
                  <c:v>-13.289612833488679</c:v>
                </c:pt>
                <c:pt idx="52">
                  <c:v>-13.48816274750477</c:v>
                </c:pt>
                <c:pt idx="53">
                  <c:v>-13.686645188942579</c:v>
                </c:pt>
                <c:pt idx="54">
                  <c:v>-13.885057060713606</c:v>
                </c:pt>
                <c:pt idx="55">
                  <c:v>-14.083395127619367</c:v>
                </c:pt>
                <c:pt idx="56">
                  <c:v>-14.281656010579555</c:v>
                </c:pt>
                <c:pt idx="57">
                  <c:v>-14.479836180657465</c:v>
                </c:pt>
                <c:pt idx="58">
                  <c:v>-14.677931952877261</c:v>
                </c:pt>
                <c:pt idx="59">
                  <c:v>-14.87593947983131</c:v>
                </c:pt>
                <c:pt idx="60">
                  <c:v>-15.073854745075126</c:v>
                </c:pt>
                <c:pt idx="61">
                  <c:v>-15.271673556306631</c:v>
                </c:pt>
                <c:pt idx="62">
                  <c:v>-15.469391538329361</c:v>
                </c:pt>
                <c:pt idx="63">
                  <c:v>-15.667004125798192</c:v>
                </c:pt>
                <c:pt idx="64">
                  <c:v>-15.864506555746861</c:v>
                </c:pt>
                <c:pt idx="65">
                  <c:v>-16.06189385990006</c:v>
                </c:pt>
                <c:pt idx="66">
                  <c:v>-16.259160856768538</c:v>
                </c:pt>
                <c:pt idx="67">
                  <c:v>-16.456302143532955</c:v>
                </c:pt>
                <c:pt idx="68">
                  <c:v>-16.653312087718277</c:v>
                </c:pt>
                <c:pt idx="69">
                  <c:v>-16.850184818664907</c:v>
                </c:pt>
                <c:pt idx="70">
                  <c:v>-17.046914218803074</c:v>
                </c:pt>
                <c:pt idx="71">
                  <c:v>-17.243493914737726</c:v>
                </c:pt>
                <c:pt idx="72">
                  <c:v>-17.439917268155561</c:v>
                </c:pt>
                <c:pt idx="73">
                  <c:v>-17.636177366564244</c:v>
                </c:pt>
                <c:pt idx="74">
                  <c:v>-17.832267013879626</c:v>
                </c:pt>
                <c:pt idx="75">
                  <c:v>-18.028178720875545</c:v>
                </c:pt>
                <c:pt idx="76">
                  <c:v>-18.223904695516051</c:v>
                </c:pt>
                <c:pt idx="77">
                  <c:v>-18.419436833191771</c:v>
                </c:pt>
                <c:pt idx="78">
                  <c:v>-18.614766706884151</c:v>
                </c:pt>
                <c:pt idx="79">
                  <c:v>-18.809885557285618</c:v>
                </c:pt>
                <c:pt idx="80">
                  <c:v>-19.004784282907771</c:v>
                </c:pt>
                <c:pt idx="81">
                  <c:v>-19.199453430210696</c:v>
                </c:pt>
                <c:pt idx="82">
                  <c:v>-19.393883183793967</c:v>
                </c:pt>
                <c:pt idx="83">
                  <c:v>-19.588063356692011</c:v>
                </c:pt>
                <c:pt idx="84">
                  <c:v>-19.781983380820925</c:v>
                </c:pt>
                <c:pt idx="85">
                  <c:v>-19.975632297631229</c:v>
                </c:pt>
                <c:pt idx="86">
                  <c:v>-20.168998749021739</c:v>
                </c:pt>
                <c:pt idx="87">
                  <c:v>-20.362070968580316</c:v>
                </c:pt>
                <c:pt idx="88">
                  <c:v>-20.554836773219161</c:v>
                </c:pt>
                <c:pt idx="89">
                  <c:v>-20.747283555279946</c:v>
                </c:pt>
                <c:pt idx="90">
                  <c:v>-20.939398275190428</c:v>
                </c:pt>
                <c:pt idx="91">
                  <c:v>-21.131167454760419</c:v>
                </c:pt>
                <c:pt idx="92">
                  <c:v>-21.322577171211606</c:v>
                </c:pt>
                <c:pt idx="93">
                  <c:v>-21.513613052043937</c:v>
                </c:pt>
                <c:pt idx="94">
                  <c:v>-21.704260270846532</c:v>
                </c:pt>
                <c:pt idx="95">
                  <c:v>-21.894503544170654</c:v>
                </c:pt>
                <c:pt idx="96">
                  <c:v>-22.084327129587457</c:v>
                </c:pt>
                <c:pt idx="97">
                  <c:v>-22.273714825063205</c:v>
                </c:pt>
                <c:pt idx="98">
                  <c:v>-22.462649969789737</c:v>
                </c:pt>
                <c:pt idx="99">
                  <c:v>-22.651115446617478</c:v>
                </c:pt>
                <c:pt idx="100">
                  <c:v>-22.839093686242435</c:v>
                </c:pt>
                <c:pt idx="101">
                  <c:v>-23.026566673310022</c:v>
                </c:pt>
                <c:pt idx="102">
                  <c:v>-23.21351595459932</c:v>
                </c:pt>
                <c:pt idx="103">
                  <c:v>-23.399922649462624</c:v>
                </c:pt>
                <c:pt idx="104">
                  <c:v>-23.585767462696083</c:v>
                </c:pt>
                <c:pt idx="105">
                  <c:v>-23.77103070002434</c:v>
                </c:pt>
                <c:pt idx="106">
                  <c:v>-23.95569228638329</c:v>
                </c:pt>
                <c:pt idx="107">
                  <c:v>-24.139731787189071</c:v>
                </c:pt>
                <c:pt idx="108">
                  <c:v>-24.323128432780031</c:v>
                </c:pt>
                <c:pt idx="109">
                  <c:v>-24.505861146219658</c:v>
                </c:pt>
                <c:pt idx="110">
                  <c:v>-24.687908574643458</c:v>
                </c:pt>
                <c:pt idx="111">
                  <c:v>-24.869249124330217</c:v>
                </c:pt>
                <c:pt idx="112">
                  <c:v>-25.049860999668866</c:v>
                </c:pt>
                <c:pt idx="113">
                  <c:v>-25.229722246184451</c:v>
                </c:pt>
                <c:pt idx="114">
                  <c:v>-25.408810797773405</c:v>
                </c:pt>
                <c:pt idx="115">
                  <c:v>-25.587104528283675</c:v>
                </c:pt>
                <c:pt idx="116">
                  <c:v>-25.764581307556238</c:v>
                </c:pt>
                <c:pt idx="117">
                  <c:v>-25.941219062024437</c:v>
                </c:pt>
                <c:pt idx="118">
                  <c:v>-26.116995839940017</c:v>
                </c:pt>
                <c:pt idx="119">
                  <c:v>-26.291889881269608</c:v>
                </c:pt>
                <c:pt idx="120">
                  <c:v>-26.465879692268309</c:v>
                </c:pt>
                <c:pt idx="121">
                  <c:v>-26.638944124706345</c:v>
                </c:pt>
                <c:pt idx="122">
                  <c:v>-26.811062459679739</c:v>
                </c:pt>
                <c:pt idx="123">
                  <c:v>-26.982214495896098</c:v>
                </c:pt>
                <c:pt idx="124">
                  <c:v>-27.152380642277638</c:v>
                </c:pt>
                <c:pt idx="125">
                  <c:v>-27.321542014673724</c:v>
                </c:pt>
                <c:pt idx="126">
                  <c:v>-27.489680536421716</c:v>
                </c:pt>
                <c:pt idx="127">
                  <c:v>-27.656779042438373</c:v>
                </c:pt>
                <c:pt idx="128">
                  <c:v>-27.822821386466842</c:v>
                </c:pt>
                <c:pt idx="129">
                  <c:v>-27.98779255104229</c:v>
                </c:pt>
                <c:pt idx="130">
                  <c:v>-28.151678759680188</c:v>
                </c:pt>
                <c:pt idx="131">
                  <c:v>-28.314467590729052</c:v>
                </c:pt>
                <c:pt idx="132">
                  <c:v>-28.476148092268389</c:v>
                </c:pt>
                <c:pt idx="133">
                  <c:v>-28.636710897373678</c:v>
                </c:pt>
                <c:pt idx="134">
                  <c:v>-28.796148339013598</c:v>
                </c:pt>
                <c:pt idx="135">
                  <c:v>-28.95445456379074</c:v>
                </c:pt>
                <c:pt idx="136">
                  <c:v>-29.111625643687574</c:v>
                </c:pt>
                <c:pt idx="137">
                  <c:v>-29.267659684937101</c:v>
                </c:pt>
                <c:pt idx="138">
                  <c:v>-29.422556933099919</c:v>
                </c:pt>
                <c:pt idx="139">
                  <c:v>-29.57631987340012</c:v>
                </c:pt>
                <c:pt idx="140">
                  <c:v>-29.728953325352592</c:v>
                </c:pt>
                <c:pt idx="141">
                  <c:v>-29.880464530702334</c:v>
                </c:pt>
                <c:pt idx="142">
                  <c:v>-30.030863233697147</c:v>
                </c:pt>
                <c:pt idx="143">
                  <c:v>-30.180161752724757</c:v>
                </c:pt>
                <c:pt idx="144">
                  <c:v>-30.328375042368016</c:v>
                </c:pt>
                <c:pt idx="145">
                  <c:v>-30.475520744966872</c:v>
                </c:pt>
                <c:pt idx="146">
                  <c:v>-30.621619230822034</c:v>
                </c:pt>
                <c:pt idx="147">
                  <c:v>-30.766693626235263</c:v>
                </c:pt>
                <c:pt idx="148">
                  <c:v>-30.910769828651887</c:v>
                </c:pt>
                <c:pt idx="149">
                  <c:v>-31.053876508255268</c:v>
                </c:pt>
                <c:pt idx="150">
                  <c:v>-31.196045095457237</c:v>
                </c:pt>
                <c:pt idx="151">
                  <c:v>-31.337309753832848</c:v>
                </c:pt>
                <c:pt idx="152">
                  <c:v>-31.477707338163036</c:v>
                </c:pt>
                <c:pt idx="153">
                  <c:v>-31.617277337370119</c:v>
                </c:pt>
                <c:pt idx="154">
                  <c:v>-31.756061802261364</c:v>
                </c:pt>
                <c:pt idx="155">
                  <c:v>-31.894105258128157</c:v>
                </c:pt>
                <c:pt idx="156">
                  <c:v>-32.031454602389474</c:v>
                </c:pt>
                <c:pt idx="157">
                  <c:v>-32.168158987604073</c:v>
                </c:pt>
                <c:pt idx="158">
                  <c:v>-32.304269690318442</c:v>
                </c:pt>
                <c:pt idx="159">
                  <c:v>-32.439839966354945</c:v>
                </c:pt>
                <c:pt idx="160">
                  <c:v>-32.574924893276709</c:v>
                </c:pt>
                <c:pt idx="161">
                  <c:v>-32.70958120089773</c:v>
                </c:pt>
                <c:pt idx="162">
                  <c:v>-32.843867090825192</c:v>
                </c:pt>
                <c:pt idx="163">
                  <c:v>-32.977842046135322</c:v>
                </c:pt>
                <c:pt idx="164">
                  <c:v>-33.111566632385717</c:v>
                </c:pt>
                <c:pt idx="165">
                  <c:v>-33.245102291257609</c:v>
                </c:pt>
                <c:pt idx="166">
                  <c:v>-33.378511128198447</c:v>
                </c:pt>
                <c:pt idx="167">
                  <c:v>-33.511855695499477</c:v>
                </c:pt>
                <c:pt idx="168">
                  <c:v>-33.645198772289476</c:v>
                </c:pt>
                <c:pt idx="169">
                  <c:v>-33.778603142961238</c:v>
                </c:pt>
                <c:pt idx="170">
                  <c:v>-33.912131375560875</c:v>
                </c:pt>
                <c:pt idx="171">
                  <c:v>-34.045845601673427</c:v>
                </c:pt>
                <c:pt idx="172">
                  <c:v>-34.179807299319897</c:v>
                </c:pt>
                <c:pt idx="173">
                  <c:v>-34.314077080350309</c:v>
                </c:pt>
                <c:pt idx="174">
                  <c:v>-34.448714483769926</c:v>
                </c:pt>
                <c:pt idx="175">
                  <c:v>-34.583777776371953</c:v>
                </c:pt>
                <c:pt idx="176">
                  <c:v>-34.719323761973996</c:v>
                </c:pt>
                <c:pt idx="177">
                  <c:v>-34.855407600466954</c:v>
                </c:pt>
                <c:pt idx="178">
                  <c:v>-34.992082637780925</c:v>
                </c:pt>
                <c:pt idx="179">
                  <c:v>-35.129400247762575</c:v>
                </c:pt>
                <c:pt idx="180">
                  <c:v>-35.267409686836601</c:v>
                </c:pt>
                <c:pt idx="181">
                  <c:v>-35.406157962195927</c:v>
                </c:pt>
                <c:pt idx="182">
                  <c:v>-35.545689714130134</c:v>
                </c:pt>
                <c:pt idx="183">
                  <c:v>-35.686047112965625</c:v>
                </c:pt>
                <c:pt idx="184">
                  <c:v>-35.82726977095011</c:v>
                </c:pt>
                <c:pt idx="185">
                  <c:v>-35.969394669275488</c:v>
                </c:pt>
                <c:pt idx="186">
                  <c:v>-36.112456100292945</c:v>
                </c:pt>
                <c:pt idx="187">
                  <c:v>-36.256485624842739</c:v>
                </c:pt>
                <c:pt idx="188">
                  <c:v>-36.401512044489095</c:v>
                </c:pt>
                <c:pt idx="189">
                  <c:v>-36.547561388328859</c:v>
                </c:pt>
                <c:pt idx="190">
                  <c:v>-36.694656913929016</c:v>
                </c:pt>
                <c:pt idx="191">
                  <c:v>-36.842819121839526</c:v>
                </c:pt>
                <c:pt idx="192">
                  <c:v>-36.992065783038193</c:v>
                </c:pt>
                <c:pt idx="193">
                  <c:v>-37.142411978574607</c:v>
                </c:pt>
                <c:pt idx="194">
                  <c:v>-37.293870150612044</c:v>
                </c:pt>
                <c:pt idx="195">
                  <c:v>-37.446450164005384</c:v>
                </c:pt>
                <c:pt idx="196">
                  <c:v>-37.600159377504312</c:v>
                </c:pt>
                <c:pt idx="197">
                  <c:v>-37.755002723638064</c:v>
                </c:pt>
                <c:pt idx="198">
                  <c:v>-37.910982796313291</c:v>
                </c:pt>
                <c:pt idx="199">
                  <c:v>-38.068099945145754</c:v>
                </c:pt>
                <c:pt idx="200">
                  <c:v>-38.226352375547819</c:v>
                </c:pt>
                <c:pt idx="201">
                  <c:v>-38.385736253601578</c:v>
                </c:pt>
                <c:pt idx="202">
                  <c:v>-38.5462458147706</c:v>
                </c:pt>
                <c:pt idx="203">
                  <c:v>-38.70787347553042</c:v>
                </c:pt>
                <c:pt idx="204">
                  <c:v>-38.870609947032769</c:v>
                </c:pt>
                <c:pt idx="205">
                  <c:v>-39.034444349966869</c:v>
                </c:pt>
                <c:pt idx="206">
                  <c:v>-39.199364329823887</c:v>
                </c:pt>
                <c:pt idx="207">
                  <c:v>-39.365356171828175</c:v>
                </c:pt>
                <c:pt idx="208">
                  <c:v>-39.532404914853643</c:v>
                </c:pt>
                <c:pt idx="209">
                  <c:v>-39.700494463704601</c:v>
                </c:pt>
                <c:pt idx="210">
                  <c:v>-39.869607699198333</c:v>
                </c:pt>
                <c:pt idx="211">
                  <c:v>-40.039726585551591</c:v>
                </c:pt>
                <c:pt idx="212">
                  <c:v>-40.210832274630562</c:v>
                </c:pt>
                <c:pt idx="213">
                  <c:v>-40.382905206686971</c:v>
                </c:pt>
                <c:pt idx="214">
                  <c:v>-40.555925207259264</c:v>
                </c:pt>
                <c:pt idx="215">
                  <c:v>-40.729871579976574</c:v>
                </c:pt>
                <c:pt idx="216">
                  <c:v>-40.904723195052071</c:v>
                </c:pt>
                <c:pt idx="217">
                  <c:v>-41.080458573310345</c:v>
                </c:pt>
                <c:pt idx="218">
                  <c:v>-41.257055965631857</c:v>
                </c:pt>
                <c:pt idx="219">
                  <c:v>-41.434493427749651</c:v>
                </c:pt>
                <c:pt idx="220">
                  <c:v>-41.612748890366753</c:v>
                </c:pt>
                <c:pt idx="221">
                  <c:v>-41.791800224603904</c:v>
                </c:pt>
                <c:pt idx="222">
                  <c:v>-41.971625302816598</c:v>
                </c:pt>
                <c:pt idx="223">
                  <c:v>-42.152202054851188</c:v>
                </c:pt>
                <c:pt idx="224">
                  <c:v>-42.333508519834091</c:v>
                </c:pt>
                <c:pt idx="225">
                  <c:v>-42.515522893610409</c:v>
                </c:pt>
                <c:pt idx="226">
                  <c:v>-42.698223571966125</c:v>
                </c:pt>
                <c:pt idx="227">
                  <c:v>-42.881589189784421</c:v>
                </c:pt>
                <c:pt idx="228">
                  <c:v>-43.065598656297595</c:v>
                </c:pt>
                <c:pt idx="229">
                  <c:v>-43.25023118660696</c:v>
                </c:pt>
                <c:pt idx="230">
                  <c:v>-43.43546632964938</c:v>
                </c:pt>
                <c:pt idx="231">
                  <c:v>-43.62128399279505</c:v>
                </c:pt>
                <c:pt idx="232">
                  <c:v>-43.807664463262419</c:v>
                </c:pt>
                <c:pt idx="233">
                  <c:v>-43.994588426538719</c:v>
                </c:pt>
                <c:pt idx="234">
                  <c:v>-44.182036981992916</c:v>
                </c:pt>
                <c:pt idx="235">
                  <c:v>-44.369991655866471</c:v>
                </c:pt>
                <c:pt idx="236">
                  <c:v>-44.558434411823953</c:v>
                </c:pt>
                <c:pt idx="237">
                  <c:v>-44.747347659240816</c:v>
                </c:pt>
                <c:pt idx="238">
                  <c:v>-44.93671425940137</c:v>
                </c:pt>
                <c:pt idx="239">
                  <c:v>-45.126517529774034</c:v>
                </c:pt>
                <c:pt idx="240">
                  <c:v>-45.316741246523506</c:v>
                </c:pt>
                <c:pt idx="241">
                  <c:v>-45.507369645413775</c:v>
                </c:pt>
                <c:pt idx="242">
                  <c:v>-45.698387421249571</c:v>
                </c:pt>
                <c:pt idx="243">
                  <c:v>-45.889779725993385</c:v>
                </c:pt>
                <c:pt idx="244">
                  <c:v>-46.081532165691861</c:v>
                </c:pt>
                <c:pt idx="245">
                  <c:v>-46.273630796334622</c:v>
                </c:pt>
                <c:pt idx="246">
                  <c:v>-46.466062118762402</c:v>
                </c:pt>
                <c:pt idx="247">
                  <c:v>-46.658813072734866</c:v>
                </c:pt>
                <c:pt idx="248">
                  <c:v>-46.851871030258778</c:v>
                </c:pt>
                <c:pt idx="249">
                  <c:v>-47.045223788272963</c:v>
                </c:pt>
                <c:pt idx="250">
                  <c:v>-47.238859560777911</c:v>
                </c:pt>
                <c:pt idx="251">
                  <c:v>-47.432766970491535</c:v>
                </c:pt>
                <c:pt idx="252">
                  <c:v>-47.626935040106844</c:v>
                </c:pt>
                <c:pt idx="253">
                  <c:v>-47.821353183220069</c:v>
                </c:pt>
                <c:pt idx="254">
                  <c:v>-48.016011194994519</c:v>
                </c:pt>
                <c:pt idx="255">
                  <c:v>-48.210899242615746</c:v>
                </c:pt>
                <c:pt idx="256">
                  <c:v>-48.406007855592954</c:v>
                </c:pt>
                <c:pt idx="257">
                  <c:v>-48.60132791595408</c:v>
                </c:pt>
                <c:pt idx="258">
                  <c:v>-48.79685064837733</c:v>
                </c:pt>
                <c:pt idx="259">
                  <c:v>-48.992567610298963</c:v>
                </c:pt>
                <c:pt idx="260">
                  <c:v>-49.188470682032708</c:v>
                </c:pt>
                <c:pt idx="261">
                  <c:v>-49.384552056931092</c:v>
                </c:pt>
                <c:pt idx="262">
                  <c:v>-49.580804231617549</c:v>
                </c:pt>
                <c:pt idx="263">
                  <c:v>-49.777219996313974</c:v>
                </c:pt>
                <c:pt idx="264">
                  <c:v>-49.973792425284273</c:v>
                </c:pt>
                <c:pt idx="265">
                  <c:v>-50.170514867414646</c:v>
                </c:pt>
                <c:pt idx="266">
                  <c:v>-50.367380936945608</c:v>
                </c:pt>
                <c:pt idx="267">
                  <c:v>-50.564384504370146</c:v>
                </c:pt>
                <c:pt idx="268">
                  <c:v>-50.761519687510486</c:v>
                </c:pt>
                <c:pt idx="269">
                  <c:v>-50.958780842783099</c:v>
                </c:pt>
                <c:pt idx="270">
                  <c:v>-51.156162556660185</c:v>
                </c:pt>
                <c:pt idx="271">
                  <c:v>-51.353659637334701</c:v>
                </c:pt>
                <c:pt idx="272">
                  <c:v>-51.551267106593528</c:v>
                </c:pt>
                <c:pt idx="273">
                  <c:v>-51.748980191903328</c:v>
                </c:pt>
                <c:pt idx="274">
                  <c:v>-51.94679431871144</c:v>
                </c:pt>
                <c:pt idx="275">
                  <c:v>-52.144705102963741</c:v>
                </c:pt>
                <c:pt idx="276">
                  <c:v>-52.34270834383981</c:v>
                </c:pt>
                <c:pt idx="277">
                  <c:v>-52.540800016705745</c:v>
                </c:pt>
                <c:pt idx="278">
                  <c:v>-52.738976266283473</c:v>
                </c:pt>
                <c:pt idx="279">
                  <c:v>-52.937233400035169</c:v>
                </c:pt>
                <c:pt idx="280">
                  <c:v>-53.135567881760593</c:v>
                </c:pt>
                <c:pt idx="281">
                  <c:v>-53.333976325405118</c:v>
                </c:pt>
                <c:pt idx="282">
                  <c:v>-53.532455489074223</c:v>
                </c:pt>
                <c:pt idx="283">
                  <c:v>-53.731002269253061</c:v>
                </c:pt>
                <c:pt idx="284">
                  <c:v>-53.929613695225285</c:v>
                </c:pt>
                <c:pt idx="285">
                  <c:v>-54.128286923688627</c:v>
                </c:pt>
                <c:pt idx="286">
                  <c:v>-54.327019233561735</c:v>
                </c:pt>
                <c:pt idx="287">
                  <c:v>-54.525808020979589</c:v>
                </c:pt>
                <c:pt idx="288">
                  <c:v>-54.724650794470492</c:v>
                </c:pt>
                <c:pt idx="289">
                  <c:v>-54.923545170312515</c:v>
                </c:pt>
                <c:pt idx="290">
                  <c:v>-55.122488868063542</c:v>
                </c:pt>
                <c:pt idx="291">
                  <c:v>-55.321479706258046</c:v>
                </c:pt>
                <c:pt idx="292">
                  <c:v>-55.520515598270698</c:v>
                </c:pt>
                <c:pt idx="293">
                  <c:v>-55.719594548336815</c:v>
                </c:pt>
                <c:pt idx="294">
                  <c:v>-55.918714647727654</c:v>
                </c:pt>
                <c:pt idx="295">
                  <c:v>-56.117874071075235</c:v>
                </c:pt>
                <c:pt idx="296">
                  <c:v>-56.317071072841323</c:v>
                </c:pt>
                <c:pt idx="297">
                  <c:v>-56.516303983926747</c:v>
                </c:pt>
                <c:pt idx="298">
                  <c:v>-56.715571208415511</c:v>
                </c:pt>
                <c:pt idx="299">
                  <c:v>-56.914871220449626</c:v>
                </c:pt>
                <c:pt idx="300">
                  <c:v>-57.114202561229909</c:v>
                </c:pt>
                <c:pt idx="301">
                  <c:v>-57.313563836138641</c:v>
                </c:pt>
                <c:pt idx="302">
                  <c:v>-57.512953711979513</c:v>
                </c:pt>
                <c:pt idx="303">
                  <c:v>-57.71237091433035</c:v>
                </c:pt>
                <c:pt idx="304">
                  <c:v>-57.91181422500496</c:v>
                </c:pt>
                <c:pt idx="305">
                  <c:v>-58.111282479620499</c:v>
                </c:pt>
                <c:pt idx="306">
                  <c:v>-58.31077456526473</c:v>
                </c:pt>
                <c:pt idx="307">
                  <c:v>-58.51028941826133</c:v>
                </c:pt>
                <c:pt idx="308">
                  <c:v>-58.709826022028352</c:v>
                </c:pt>
                <c:pt idx="309">
                  <c:v>-58.909383405026922</c:v>
                </c:pt>
                <c:pt idx="310">
                  <c:v>-59.108960638795708</c:v>
                </c:pt>
                <c:pt idx="311">
                  <c:v>-59.308556836068661</c:v>
                </c:pt>
                <c:pt idx="312">
                  <c:v>-59.508171148973489</c:v>
                </c:pt>
                <c:pt idx="313">
                  <c:v>-59.707802767305139</c:v>
                </c:pt>
                <c:pt idx="314">
                  <c:v>-59.907450916873948</c:v>
                </c:pt>
                <c:pt idx="315">
                  <c:v>-60.107114857923918</c:v>
                </c:pt>
                <c:pt idx="316">
                  <c:v>-60.306793883618951</c:v>
                </c:pt>
                <c:pt idx="317">
                  <c:v>-60.506487318594168</c:v>
                </c:pt>
                <c:pt idx="318">
                  <c:v>-60.706194517568917</c:v>
                </c:pt>
                <c:pt idx="319">
                  <c:v>-60.905914864020488</c:v>
                </c:pt>
                <c:pt idx="320">
                  <c:v>-61.105647768914828</c:v>
                </c:pt>
                <c:pt idx="321">
                  <c:v>-61.305392669491681</c:v>
                </c:pt>
                <c:pt idx="322">
                  <c:v>-61.505149028103091</c:v>
                </c:pt>
                <c:pt idx="323">
                  <c:v>-61.704916331102098</c:v>
                </c:pt>
                <c:pt idx="324">
                  <c:v>-61.904694087779674</c:v>
                </c:pt>
                <c:pt idx="325">
                  <c:v>-62.104481829348302</c:v>
                </c:pt>
                <c:pt idx="326">
                  <c:v>-62.304279107969556</c:v>
                </c:pt>
                <c:pt idx="327">
                  <c:v>-62.504085495824519</c:v>
                </c:pt>
                <c:pt idx="328">
                  <c:v>-62.70390058422467</c:v>
                </c:pt>
                <c:pt idx="329">
                  <c:v>-62.903723982761768</c:v>
                </c:pt>
                <c:pt idx="330">
                  <c:v>-63.103555318495168</c:v>
                </c:pt>
                <c:pt idx="331">
                  <c:v>-63.303394235174736</c:v>
                </c:pt>
                <c:pt idx="332">
                  <c:v>-63.503240392497808</c:v>
                </c:pt>
                <c:pt idx="333">
                  <c:v>-63.703093465399263</c:v>
                </c:pt>
                <c:pt idx="334">
                  <c:v>-63.90295314337245</c:v>
                </c:pt>
                <c:pt idx="335">
                  <c:v>-64.102819129820304</c:v>
                </c:pt>
                <c:pt idx="336">
                  <c:v>-64.302691141435076</c:v>
                </c:pt>
                <c:pt idx="337">
                  <c:v>-64.502568907605493</c:v>
                </c:pt>
                <c:pt idx="338">
                  <c:v>-64.702452169849892</c:v>
                </c:pt>
                <c:pt idx="339">
                  <c:v>-64.902340681274978</c:v>
                </c:pt>
                <c:pt idx="340">
                  <c:v>-65.102234206058256</c:v>
                </c:pt>
                <c:pt idx="341">
                  <c:v>-65.302132518952916</c:v>
                </c:pt>
                <c:pt idx="342">
                  <c:v>-65.502035404815771</c:v>
                </c:pt>
                <c:pt idx="343">
                  <c:v>-65.701942658155275</c:v>
                </c:pt>
                <c:pt idx="344">
                  <c:v>-65.901854082699543</c:v>
                </c:pt>
                <c:pt idx="345">
                  <c:v>-66.101769490984651</c:v>
                </c:pt>
                <c:pt idx="346">
                  <c:v>-66.30168870395994</c:v>
                </c:pt>
                <c:pt idx="347">
                  <c:v>-66.501611550611628</c:v>
                </c:pt>
                <c:pt idx="348">
                  <c:v>-66.701537867603051</c:v>
                </c:pt>
                <c:pt idx="349">
                  <c:v>-66.901467498930685</c:v>
                </c:pt>
                <c:pt idx="350">
                  <c:v>-67.101400295596008</c:v>
                </c:pt>
                <c:pt idx="351">
                  <c:v>-67.301336115291392</c:v>
                </c:pt>
                <c:pt idx="352">
                  <c:v>-67.501274822100385</c:v>
                </c:pt>
                <c:pt idx="353">
                  <c:v>-67.701216286211206</c:v>
                </c:pt>
                <c:pt idx="354">
                  <c:v>-67.901160383643415</c:v>
                </c:pt>
                <c:pt idx="355">
                  <c:v>-68.101106995985845</c:v>
                </c:pt>
                <c:pt idx="356">
                  <c:v>-68.301056010147448</c:v>
                </c:pt>
                <c:pt idx="357">
                  <c:v>-68.501007318118312</c:v>
                </c:pt>
                <c:pt idx="358">
                  <c:v>-68.700960816742054</c:v>
                </c:pt>
                <c:pt idx="359">
                  <c:v>-68.900916407497675</c:v>
                </c:pt>
                <c:pt idx="360">
                  <c:v>-69.100873996291938</c:v>
                </c:pt>
                <c:pt idx="361">
                  <c:v>-69.300833493260484</c:v>
                </c:pt>
                <c:pt idx="362">
                  <c:v>-69.500794812577894</c:v>
                </c:pt>
                <c:pt idx="363">
                  <c:v>-69.700757872276824</c:v>
                </c:pt>
                <c:pt idx="364">
                  <c:v>-69.900722594074182</c:v>
                </c:pt>
                <c:pt idx="365">
                  <c:v>-70.100688903206361</c:v>
                </c:pt>
                <c:pt idx="366">
                  <c:v>-70.30065672827071</c:v>
                </c:pt>
                <c:pt idx="367">
                  <c:v>-70.500626001074721</c:v>
                </c:pt>
                <c:pt idx="368">
                  <c:v>-70.700596656492124</c:v>
                </c:pt>
                <c:pt idx="369">
                  <c:v>-70.900568632324848</c:v>
                </c:pt>
                <c:pt idx="370">
                  <c:v>-71.100541869171508</c:v>
                </c:pt>
                <c:pt idx="371">
                  <c:v>-71.300516310301788</c:v>
                </c:pt>
                <c:pt idx="372">
                  <c:v>-71.500491901536719</c:v>
                </c:pt>
                <c:pt idx="373">
                  <c:v>-71.700468591133557</c:v>
                </c:pt>
                <c:pt idx="374">
                  <c:v>-71.900446329676683</c:v>
                </c:pt>
                <c:pt idx="375">
                  <c:v>-72.100425069972914</c:v>
                </c:pt>
                <c:pt idx="376">
                  <c:v>-72.300404766951459</c:v>
                </c:pt>
                <c:pt idx="377">
                  <c:v>-72.500385377568847</c:v>
                </c:pt>
                <c:pt idx="378">
                  <c:v>-72.700366860717466</c:v>
                </c:pt>
                <c:pt idx="379">
                  <c:v>-72.900349177138892</c:v>
                </c:pt>
                <c:pt idx="380">
                  <c:v>-73.100332289340372</c:v>
                </c:pt>
                <c:pt idx="381">
                  <c:v>-73.300316161515909</c:v>
                </c:pt>
                <c:pt idx="382">
                  <c:v>-73.500300759469866</c:v>
                </c:pt>
                <c:pt idx="383">
                  <c:v>-73.700286050545088</c:v>
                </c:pt>
                <c:pt idx="384">
                  <c:v>-73.900272003553468</c:v>
                </c:pt>
                <c:pt idx="385">
                  <c:v>-74.100258588709934</c:v>
                </c:pt>
                <c:pt idx="386">
                  <c:v>-74.300245777569359</c:v>
                </c:pt>
                <c:pt idx="387">
                  <c:v>-74.5002335429662</c:v>
                </c:pt>
                <c:pt idx="388">
                  <c:v>-74.700221858957448</c:v>
                </c:pt>
                <c:pt idx="389">
                  <c:v>-74.900210700766678</c:v>
                </c:pt>
                <c:pt idx="390">
                  <c:v>-75.100200044732631</c:v>
                </c:pt>
                <c:pt idx="391">
                  <c:v>-75.300189868258485</c:v>
                </c:pt>
                <c:pt idx="392">
                  <c:v>-75.500180149764006</c:v>
                </c:pt>
                <c:pt idx="393">
                  <c:v>-75.700170868639958</c:v>
                </c:pt>
                <c:pt idx="394">
                  <c:v>-75.900162005204479</c:v>
                </c:pt>
                <c:pt idx="395">
                  <c:v>-76.100153540661097</c:v>
                </c:pt>
                <c:pt idx="396">
                  <c:v>-76.300145457059386</c:v>
                </c:pt>
                <c:pt idx="397">
                  <c:v>-76.500137737256068</c:v>
                </c:pt>
                <c:pt idx="398">
                  <c:v>-76.700130364879925</c:v>
                </c:pt>
                <c:pt idx="399">
                  <c:v>-76.900123324295933</c:v>
                </c:pt>
                <c:pt idx="400">
                  <c:v>-77.100116600572562</c:v>
                </c:pt>
                <c:pt idx="401">
                  <c:v>-77.300110179450428</c:v>
                </c:pt>
                <c:pt idx="402">
                  <c:v>-77.500104047311623</c:v>
                </c:pt>
                <c:pt idx="403">
                  <c:v>-77.700098191151156</c:v>
                </c:pt>
                <c:pt idx="404">
                  <c:v>-77.900092598548923</c:v>
                </c:pt>
                <c:pt idx="405">
                  <c:v>-78.100087257644091</c:v>
                </c:pt>
                <c:pt idx="406">
                  <c:v>-78.300082157109387</c:v>
                </c:pt>
                <c:pt idx="407">
                  <c:v>-78.500077286127137</c:v>
                </c:pt>
                <c:pt idx="408">
                  <c:v>-78.700072634366776</c:v>
                </c:pt>
                <c:pt idx="409">
                  <c:v>-78.90006819196239</c:v>
                </c:pt>
                <c:pt idx="410">
                  <c:v>-79.100063949492053</c:v>
                </c:pt>
                <c:pt idx="411">
                  <c:v>-79.300059897957823</c:v>
                </c:pt>
                <c:pt idx="412">
                  <c:v>-79.500056028766835</c:v>
                </c:pt>
                <c:pt idx="413">
                  <c:v>-79.700052333712762</c:v>
                </c:pt>
                <c:pt idx="414">
                  <c:v>-79.900048804958686</c:v>
                </c:pt>
                <c:pt idx="415">
                  <c:v>-80.100045435020135</c:v>
                </c:pt>
                <c:pt idx="416">
                  <c:v>-80.300042216749731</c:v>
                </c:pt>
                <c:pt idx="417">
                  <c:v>-80.500039143321729</c:v>
                </c:pt>
                <c:pt idx="418">
                  <c:v>-80.700036208217369</c:v>
                </c:pt>
                <c:pt idx="419">
                  <c:v>-80.90003340521136</c:v>
                </c:pt>
                <c:pt idx="420">
                  <c:v>-81.100030728358632</c:v>
                </c:pt>
                <c:pt idx="421">
                  <c:v>-81.300028171981538</c:v>
                </c:pt>
                <c:pt idx="422">
                  <c:v>-81.500025730657981</c:v>
                </c:pt>
                <c:pt idx="423">
                  <c:v>-81.700023399209968</c:v>
                </c:pt>
                <c:pt idx="424">
                  <c:v>-81.900021172692448</c:v>
                </c:pt>
                <c:pt idx="425">
                  <c:v>-82.100019046382982</c:v>
                </c:pt>
                <c:pt idx="426">
                  <c:v>-82.300017015771573</c:v>
                </c:pt>
                <c:pt idx="427">
                  <c:v>-82.500015076551222</c:v>
                </c:pt>
                <c:pt idx="428">
                  <c:v>-82.700013224608838</c:v>
                </c:pt>
                <c:pt idx="429">
                  <c:v>-82.900011456016387</c:v>
                </c:pt>
                <c:pt idx="430">
                  <c:v>-83.10000976702257</c:v>
                </c:pt>
                <c:pt idx="431">
                  <c:v>-83.300008154045003</c:v>
                </c:pt>
                <c:pt idx="432">
                  <c:v>-83.500006613662407</c:v>
                </c:pt>
                <c:pt idx="433">
                  <c:v>-83.700005142607637</c:v>
                </c:pt>
                <c:pt idx="434">
                  <c:v>-83.900003737760414</c:v>
                </c:pt>
                <c:pt idx="435">
                  <c:v>-84.100002396141079</c:v>
                </c:pt>
                <c:pt idx="436">
                  <c:v>-84.30000111490385</c:v>
                </c:pt>
                <c:pt idx="437">
                  <c:v>-84.499999891331299</c:v>
                </c:pt>
                <c:pt idx="438">
                  <c:v>-84.699998722827914</c:v>
                </c:pt>
                <c:pt idx="439">
                  <c:v>-84.899997606915463</c:v>
                </c:pt>
                <c:pt idx="440">
                  <c:v>-85.099996541226858</c:v>
                </c:pt>
                <c:pt idx="441">
                  <c:v>-85.29999552350175</c:v>
                </c:pt>
                <c:pt idx="442">
                  <c:v>-85.499994551581452</c:v>
                </c:pt>
                <c:pt idx="443">
                  <c:v>-85.699993623404453</c:v>
                </c:pt>
                <c:pt idx="444">
                  <c:v>-85.899992737001952</c:v>
                </c:pt>
                <c:pt idx="445">
                  <c:v>-86.099991890493897</c:v>
                </c:pt>
                <c:pt idx="446">
                  <c:v>-86.299991082084716</c:v>
                </c:pt>
                <c:pt idx="447">
                  <c:v>-86.499990310059673</c:v>
                </c:pt>
                <c:pt idx="448">
                  <c:v>-86.699989572781277</c:v>
                </c:pt>
                <c:pt idx="449">
                  <c:v>-86.899988868685654</c:v>
                </c:pt>
                <c:pt idx="450">
                  <c:v>-87.099988196279426</c:v>
                </c:pt>
                <c:pt idx="451">
                  <c:v>-87.299987554136251</c:v>
                </c:pt>
                <c:pt idx="452">
                  <c:v>-87.499986940894246</c:v>
                </c:pt>
                <c:pt idx="453">
                  <c:v>-87.69998635525242</c:v>
                </c:pt>
                <c:pt idx="454">
                  <c:v>-87.899985795968746</c:v>
                </c:pt>
                <c:pt idx="455">
                  <c:v>-88.099985261856872</c:v>
                </c:pt>
                <c:pt idx="456">
                  <c:v>-88.299984751783924</c:v>
                </c:pt>
                <c:pt idx="457">
                  <c:v>-88.499984264667859</c:v>
                </c:pt>
                <c:pt idx="458">
                  <c:v>-88.699983799475632</c:v>
                </c:pt>
                <c:pt idx="459">
                  <c:v>-88.899983355220314</c:v>
                </c:pt>
                <c:pt idx="460">
                  <c:v>-89.099982930959783</c:v>
                </c:pt>
                <c:pt idx="461">
                  <c:v>-89.299982525794107</c:v>
                </c:pt>
                <c:pt idx="462">
                  <c:v>-89.499982138863757</c:v>
                </c:pt>
                <c:pt idx="463">
                  <c:v>-89.699981769348099</c:v>
                </c:pt>
                <c:pt idx="464">
                  <c:v>-89.899981416463334</c:v>
                </c:pt>
                <c:pt idx="465">
                  <c:v>-90.099981079460946</c:v>
                </c:pt>
                <c:pt idx="466">
                  <c:v>-90.299980757626145</c:v>
                </c:pt>
                <c:pt idx="467">
                  <c:v>-90.499980450276297</c:v>
                </c:pt>
                <c:pt idx="468">
                  <c:v>-90.699980156759381</c:v>
                </c:pt>
                <c:pt idx="469">
                  <c:v>-90.899979876452903</c:v>
                </c:pt>
                <c:pt idx="470">
                  <c:v>-91.099979608762212</c:v>
                </c:pt>
                <c:pt idx="471">
                  <c:v>-91.299979353119639</c:v>
                </c:pt>
                <c:pt idx="472">
                  <c:v>-91.499979108982785</c:v>
                </c:pt>
                <c:pt idx="473">
                  <c:v>-91.699978875833906</c:v>
                </c:pt>
                <c:pt idx="474">
                  <c:v>-91.899978653178437</c:v>
                </c:pt>
                <c:pt idx="475">
                  <c:v>-92.099978440544106</c:v>
                </c:pt>
                <c:pt idx="476">
                  <c:v>-92.299978237479849</c:v>
                </c:pt>
                <c:pt idx="477">
                  <c:v>-92.499978043554989</c:v>
                </c:pt>
                <c:pt idx="478">
                  <c:v>-92.699977858358238</c:v>
                </c:pt>
                <c:pt idx="479">
                  <c:v>-92.899977681496637</c:v>
                </c:pt>
                <c:pt idx="480">
                  <c:v>-93.099977512595089</c:v>
                </c:pt>
                <c:pt idx="481">
                  <c:v>-93.299977351295354</c:v>
                </c:pt>
                <c:pt idx="482">
                  <c:v>-93.499977197255362</c:v>
                </c:pt>
                <c:pt idx="483">
                  <c:v>-93.699977050148277</c:v>
                </c:pt>
                <c:pt idx="484">
                  <c:v>-93.899976909662087</c:v>
                </c:pt>
                <c:pt idx="485">
                  <c:v>-94.099976775498803</c:v>
                </c:pt>
                <c:pt idx="486">
                  <c:v>-94.299976647373725</c:v>
                </c:pt>
                <c:pt idx="487">
                  <c:v>-94.499976525015398</c:v>
                </c:pt>
                <c:pt idx="488">
                  <c:v>-94.69997640816409</c:v>
                </c:pt>
                <c:pt idx="489">
                  <c:v>-94.899976296571964</c:v>
                </c:pt>
                <c:pt idx="490">
                  <c:v>-95.09997619000228</c:v>
                </c:pt>
                <c:pt idx="491">
                  <c:v>-95.299976088228931</c:v>
                </c:pt>
                <c:pt idx="492">
                  <c:v>-95.499975991036166</c:v>
                </c:pt>
                <c:pt idx="493">
                  <c:v>-95.699975898217815</c:v>
                </c:pt>
                <c:pt idx="494">
                  <c:v>-95.899975809576944</c:v>
                </c:pt>
                <c:pt idx="495">
                  <c:v>-96.099975724925656</c:v>
                </c:pt>
                <c:pt idx="496">
                  <c:v>-96.299975644084199</c:v>
                </c:pt>
                <c:pt idx="497">
                  <c:v>-96.499975566881261</c:v>
                </c:pt>
                <c:pt idx="498">
                  <c:v>-96.69997549315292</c:v>
                </c:pt>
                <c:pt idx="499">
                  <c:v>-96.899975422743069</c:v>
                </c:pt>
                <c:pt idx="500">
                  <c:v>-97.099975355502167</c:v>
                </c:pt>
                <c:pt idx="501">
                  <c:v>-97.299975291287467</c:v>
                </c:pt>
                <c:pt idx="502">
                  <c:v>-97.499975229962985</c:v>
                </c:pt>
                <c:pt idx="503">
                  <c:v>-97.699975171398563</c:v>
                </c:pt>
                <c:pt idx="504">
                  <c:v>-97.899975115469985</c:v>
                </c:pt>
                <c:pt idx="505">
                  <c:v>-98.099975062058533</c:v>
                </c:pt>
                <c:pt idx="506">
                  <c:v>-98.29997501105106</c:v>
                </c:pt>
                <c:pt idx="507">
                  <c:v>-98.499974962339252</c:v>
                </c:pt>
                <c:pt idx="508">
                  <c:v>-98.699974915819851</c:v>
                </c:pt>
                <c:pt idx="509">
                  <c:v>-98.899974871394249</c:v>
                </c:pt>
                <c:pt idx="510">
                  <c:v>-99.099974828968044</c:v>
                </c:pt>
                <c:pt idx="511">
                  <c:v>-99.299974788451294</c:v>
                </c:pt>
                <c:pt idx="512">
                  <c:v>-99.499974749758138</c:v>
                </c:pt>
                <c:pt idx="513">
                  <c:v>-99.699974712806494</c:v>
                </c:pt>
                <c:pt idx="514">
                  <c:v>-99.899974677517989</c:v>
                </c:pt>
                <c:pt idx="515">
                  <c:v>-100.09997464381767</c:v>
                </c:pt>
                <c:pt idx="516">
                  <c:v>-100.2999746116341</c:v>
                </c:pt>
                <c:pt idx="517">
                  <c:v>-100.49997458089905</c:v>
                </c:pt>
                <c:pt idx="518">
                  <c:v>-100.69997455154727</c:v>
                </c:pt>
                <c:pt idx="519">
                  <c:v>-100.8999745235166</c:v>
                </c:pt>
                <c:pt idx="520">
                  <c:v>-101.09997449674744</c:v>
                </c:pt>
                <c:pt idx="521">
                  <c:v>-101.29997447118313</c:v>
                </c:pt>
                <c:pt idx="522">
                  <c:v>-101.49997444676939</c:v>
                </c:pt>
                <c:pt idx="523">
                  <c:v>-101.69997442345446</c:v>
                </c:pt>
                <c:pt idx="524">
                  <c:v>-101.89997440118887</c:v>
                </c:pt>
                <c:pt idx="525">
                  <c:v>-102.09997437992541</c:v>
                </c:pt>
                <c:pt idx="526">
                  <c:v>-102.29997435961894</c:v>
                </c:pt>
                <c:pt idx="527">
                  <c:v>-102.49997434022643</c:v>
                </c:pt>
                <c:pt idx="528">
                  <c:v>-102.69997432170672</c:v>
                </c:pt>
                <c:pt idx="529">
                  <c:v>-102.89997430402055</c:v>
                </c:pt>
                <c:pt idx="530">
                  <c:v>-103.09997428713038</c:v>
                </c:pt>
                <c:pt idx="531">
                  <c:v>-103.29997427100041</c:v>
                </c:pt>
                <c:pt idx="532">
                  <c:v>-103.49997425559637</c:v>
                </c:pt>
                <c:pt idx="533">
                  <c:v>-103.69997424088564</c:v>
                </c:pt>
                <c:pt idx="534">
                  <c:v>-103.89997422683699</c:v>
                </c:pt>
                <c:pt idx="535">
                  <c:v>-104.09997421342067</c:v>
                </c:pt>
                <c:pt idx="536">
                  <c:v>-104.29997420060815</c:v>
                </c:pt>
                <c:pt idx="537">
                  <c:v>-104.49997418837235</c:v>
                </c:pt>
                <c:pt idx="538">
                  <c:v>-104.69997417668719</c:v>
                </c:pt>
                <c:pt idx="539">
                  <c:v>-104.89997416552794</c:v>
                </c:pt>
                <c:pt idx="540">
                  <c:v>-105.09997415487098</c:v>
                </c:pt>
                <c:pt idx="541">
                  <c:v>-105.29997414469356</c:v>
                </c:pt>
              </c:numCache>
            </c:numRef>
          </c:yVal>
          <c:smooth val="1"/>
          <c:extLst>
            <c:ext xmlns:c16="http://schemas.microsoft.com/office/drawing/2014/chart" uri="{C3380CC4-5D6E-409C-BE32-E72D297353CC}">
              <c16:uniqueId val="{00000000-C95D-4273-8D1D-E8C586949522}"/>
            </c:ext>
          </c:extLst>
        </c:ser>
        <c:dLbls>
          <c:showLegendKey val="0"/>
          <c:showVal val="0"/>
          <c:showCatName val="0"/>
          <c:showSerName val="0"/>
          <c:showPercent val="0"/>
          <c:showBubbleSize val="0"/>
        </c:dLbls>
        <c:axId val="160531200"/>
        <c:axId val="160533120"/>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90.865245000600595</c:v>
                </c:pt>
                <c:pt idx="1">
                  <c:v>90.88537693372507</c:v>
                </c:pt>
                <c:pt idx="2">
                  <c:v>90.905976212617659</c:v>
                </c:pt>
                <c:pt idx="3">
                  <c:v>90.927053609814322</c:v>
                </c:pt>
                <c:pt idx="4">
                  <c:v>90.948620140689911</c:v>
                </c:pt>
                <c:pt idx="5">
                  <c:v>90.970687068538851</c:v>
                </c:pt>
                <c:pt idx="6">
                  <c:v>90.993265909733253</c:v>
                </c:pt>
                <c:pt idx="7">
                  <c:v>91.016368438957528</c:v>
                </c:pt>
                <c:pt idx="8">
                  <c:v>91.040006694517956</c:v>
                </c:pt>
                <c:pt idx="9">
                  <c:v>91.064192983725803</c:v>
                </c:pt>
                <c:pt idx="10">
                  <c:v>91.088939888352286</c:v>
                </c:pt>
                <c:pt idx="11">
                  <c:v>91.114260270152954</c:v>
                </c:pt>
                <c:pt idx="12">
                  <c:v>91.14016727645928</c:v>
                </c:pt>
                <c:pt idx="13">
                  <c:v>91.166674345834835</c:v>
                </c:pt>
                <c:pt idx="14">
                  <c:v>91.193795213792413</c:v>
                </c:pt>
                <c:pt idx="15">
                  <c:v>91.221543918569353</c:v>
                </c:pt>
                <c:pt idx="16">
                  <c:v>91.249934806956318</c:v>
                </c:pt>
                <c:pt idx="17">
                  <c:v>91.278982540175662</c:v>
                </c:pt>
                <c:pt idx="18">
                  <c:v>91.308702099804378</c:v>
                </c:pt>
                <c:pt idx="19">
                  <c:v>91.339108793736045</c:v>
                </c:pt>
                <c:pt idx="20">
                  <c:v>91.370218262175953</c:v>
                </c:pt>
                <c:pt idx="21">
                  <c:v>91.402046483662716</c:v>
                </c:pt>
                <c:pt idx="22">
                  <c:v>91.434609781109131</c:v>
                </c:pt>
                <c:pt idx="23">
                  <c:v>91.467924827854318</c:v>
                </c:pt>
                <c:pt idx="24">
                  <c:v>91.502008653718335</c:v>
                </c:pt>
                <c:pt idx="25">
                  <c:v>91.536878651049861</c:v>
                </c:pt>
                <c:pt idx="26">
                  <c:v>91.572552580756351</c:v>
                </c:pt>
                <c:pt idx="27">
                  <c:v>91.609048578305419</c:v>
                </c:pt>
                <c:pt idx="28">
                  <c:v>91.646385159685039</c:v>
                </c:pt>
                <c:pt idx="29">
                  <c:v>91.684581227309067</c:v>
                </c:pt>
                <c:pt idx="30">
                  <c:v>91.723656075853697</c:v>
                </c:pt>
                <c:pt idx="31">
                  <c:v>91.763629398008618</c:v>
                </c:pt>
                <c:pt idx="32">
                  <c:v>91.804521290126345</c:v>
                </c:pt>
                <c:pt idx="33">
                  <c:v>91.846352257750411</c:v>
                </c:pt>
                <c:pt idx="34">
                  <c:v>91.88914322100311</c:v>
                </c:pt>
                <c:pt idx="35">
                  <c:v>91.932915519810635</c:v>
                </c:pt>
                <c:pt idx="36">
                  <c:v>91.977690918942443</c:v>
                </c:pt>
                <c:pt idx="37">
                  <c:v>92.023491612839663</c:v>
                </c:pt>
                <c:pt idx="38">
                  <c:v>92.070340230205417</c:v>
                </c:pt>
                <c:pt idx="39">
                  <c:v>92.118259838327717</c:v>
                </c:pt>
                <c:pt idx="40">
                  <c:v>92.167273947103794</c:v>
                </c:pt>
                <c:pt idx="41">
                  <c:v>92.217406512731799</c:v>
                </c:pt>
                <c:pt idx="42">
                  <c:v>92.26868194103406</c:v>
                </c:pt>
                <c:pt idx="43">
                  <c:v>92.321125090372362</c:v>
                </c:pt>
                <c:pt idx="44">
                  <c:v>92.374761274114448</c:v>
                </c:pt>
                <c:pt idx="45">
                  <c:v>92.429616262606231</c:v>
                </c:pt>
                <c:pt idx="46">
                  <c:v>92.48571628460239</c:v>
                </c:pt>
                <c:pt idx="47">
                  <c:v>92.543088028103938</c:v>
                </c:pt>
                <c:pt idx="48">
                  <c:v>92.601758640548297</c:v>
                </c:pt>
                <c:pt idx="49">
                  <c:v>92.661755728293258</c:v>
                </c:pt>
                <c:pt idx="50">
                  <c:v>92.723107355332147</c:v>
                </c:pt>
                <c:pt idx="51">
                  <c:v>92.785842041174547</c:v>
                </c:pt>
                <c:pt idx="52">
                  <c:v>92.849988757820228</c:v>
                </c:pt>
                <c:pt idx="53">
                  <c:v>92.915576925752106</c:v>
                </c:pt>
                <c:pt idx="54">
                  <c:v>92.982636408866512</c:v>
                </c:pt>
                <c:pt idx="55">
                  <c:v>93.051197508256209</c:v>
                </c:pt>
                <c:pt idx="56">
                  <c:v>93.121290954754414</c:v>
                </c:pt>
                <c:pt idx="57">
                  <c:v>93.192947900143835</c:v>
                </c:pt>
                <c:pt idx="58">
                  <c:v>93.266199906927525</c:v>
                </c:pt>
                <c:pt idx="59">
                  <c:v>93.341078936554098</c:v>
                </c:pt>
                <c:pt idx="60">
                  <c:v>93.417617335980836</c:v>
                </c:pt>
                <c:pt idx="61">
                  <c:v>93.495847822454238</c:v>
                </c:pt>
                <c:pt idx="62">
                  <c:v>93.575803466378801</c:v>
                </c:pt>
                <c:pt idx="63">
                  <c:v>93.657517672138226</c:v>
                </c:pt>
                <c:pt idx="64">
                  <c:v>93.741024156726112</c:v>
                </c:pt>
                <c:pt idx="65">
                  <c:v>93.826356926035075</c:v>
                </c:pt>
                <c:pt idx="66">
                  <c:v>93.913550248645649</c:v>
                </c:pt>
                <c:pt idx="67">
                  <c:v>94.002638626948453</c:v>
                </c:pt>
                <c:pt idx="68">
                  <c:v>94.093656765424186</c:v>
                </c:pt>
                <c:pt idx="69">
                  <c:v>94.186639535898465</c:v>
                </c:pt>
                <c:pt idx="70">
                  <c:v>94.281621939579523</c:v>
                </c:pt>
                <c:pt idx="71">
                  <c:v>94.378639065678811</c:v>
                </c:pt>
                <c:pt idx="72">
                  <c:v>94.477726046405195</c:v>
                </c:pt>
                <c:pt idx="73">
                  <c:v>94.578918008115778</c:v>
                </c:pt>
                <c:pt idx="74">
                  <c:v>94.682250018397283</c:v>
                </c:pt>
                <c:pt idx="75">
                  <c:v>94.787757028844993</c:v>
                </c:pt>
                <c:pt idx="76">
                  <c:v>94.895473813296547</c:v>
                </c:pt>
                <c:pt idx="77">
                  <c:v>95.005434901271684</c:v>
                </c:pt>
                <c:pt idx="78">
                  <c:v>95.117674506362363</c:v>
                </c:pt>
                <c:pt idx="79">
                  <c:v>95.23222644930965</c:v>
                </c:pt>
                <c:pt idx="80">
                  <c:v>95.34912407549983</c:v>
                </c:pt>
                <c:pt idx="81">
                  <c:v>95.4684001666066</c:v>
                </c:pt>
                <c:pt idx="82">
                  <c:v>95.590086846102139</c:v>
                </c:pt>
                <c:pt idx="83">
                  <c:v>95.71421547835989</c:v>
                </c:pt>
                <c:pt idx="84">
                  <c:v>95.840816561067228</c:v>
                </c:pt>
                <c:pt idx="85">
                  <c:v>95.969919610670274</c:v>
                </c:pt>
                <c:pt idx="86">
                  <c:v>96.101553040575013</c:v>
                </c:pt>
                <c:pt idx="87">
                  <c:v>96.235744031832596</c:v>
                </c:pt>
                <c:pt idx="88">
                  <c:v>96.37251839604744</c:v>
                </c:pt>
                <c:pt idx="89">
                  <c:v>96.51190043025278</c:v>
                </c:pt>
                <c:pt idx="90">
                  <c:v>96.653912763515507</c:v>
                </c:pt>
                <c:pt idx="91">
                  <c:v>96.79857619505006</c:v>
                </c:pt>
                <c:pt idx="92">
                  <c:v>96.945909523635549</c:v>
                </c:pt>
                <c:pt idx="93">
                  <c:v>97.095929368164548</c:v>
                </c:pt>
                <c:pt idx="94">
                  <c:v>97.248649979175582</c:v>
                </c:pt>
                <c:pt idx="95">
                  <c:v>97.404083041258474</c:v>
                </c:pt>
                <c:pt idx="96">
                  <c:v>97.562237466261877</c:v>
                </c:pt>
                <c:pt idx="97">
                  <c:v>97.723119177280253</c:v>
                </c:pt>
                <c:pt idx="98">
                  <c:v>97.886730883446546</c:v>
                </c:pt>
                <c:pt idx="99">
                  <c:v>98.05307184562173</c:v>
                </c:pt>
                <c:pt idx="100">
                  <c:v>98.222137633133784</c:v>
                </c:pt>
                <c:pt idx="101">
                  <c:v>98.393919871796513</c:v>
                </c:pt>
                <c:pt idx="102">
                  <c:v>98.568405983517692</c:v>
                </c:pt>
                <c:pt idx="103">
                  <c:v>98.745578917899891</c:v>
                </c:pt>
                <c:pt idx="104">
                  <c:v>98.925416876331383</c:v>
                </c:pt>
                <c:pt idx="105">
                  <c:v>99.107893029174079</c:v>
                </c:pt>
                <c:pt idx="106">
                  <c:v>99.292975226770992</c:v>
                </c:pt>
                <c:pt idx="107">
                  <c:v>99.48062570511857</c:v>
                </c:pt>
                <c:pt idx="108">
                  <c:v>99.670800787181733</c:v>
                </c:pt>
                <c:pt idx="109">
                  <c:v>99.863450580968674</c:v>
                </c:pt>
                <c:pt idx="110">
                  <c:v>100.05851867563413</c:v>
                </c:pt>
                <c:pt idx="111">
                  <c:v>100.25594183702789</c:v>
                </c:pt>
                <c:pt idx="112">
                  <c:v>100.45564970427343</c:v>
                </c:pt>
                <c:pt idx="113">
                  <c:v>100.657564489118</c:v>
                </c:pt>
                <c:pt idx="114">
                  <c:v>100.86160067997592</c:v>
                </c:pt>
                <c:pt idx="115">
                  <c:v>101.06766475274571</c:v>
                </c:pt>
                <c:pt idx="116">
                  <c:v>101.27565489066367</c:v>
                </c:pt>
                <c:pt idx="117">
                  <c:v>101.48546071561894</c:v>
                </c:pt>
                <c:pt idx="118">
                  <c:v>101.69696303352367</c:v>
                </c:pt>
                <c:pt idx="119">
                  <c:v>101.91003359649297</c:v>
                </c:pt>
                <c:pt idx="120">
                  <c:v>102.12453488472931</c:v>
                </c:pt>
                <c:pt idx="121">
                  <c:v>102.34031991115715</c:v>
                </c:pt>
                <c:pt idx="122">
                  <c:v>102.55723205195791</c:v>
                </c:pt>
                <c:pt idx="123">
                  <c:v>102.77510490626912</c:v>
                </c:pt>
                <c:pt idx="124">
                  <c:v>102.9937621883812</c:v>
                </c:pt>
                <c:pt idx="125">
                  <c:v>103.21301765582076</c:v>
                </c:pt>
                <c:pt idx="126">
                  <c:v>103.43267507672694</c:v>
                </c:pt>
                <c:pt idx="127">
                  <c:v>103.65252823991349</c:v>
                </c:pt>
                <c:pt idx="128">
                  <c:v>103.87236101095765</c:v>
                </c:pt>
                <c:pt idx="129">
                  <c:v>104.09194743756505</c:v>
                </c:pt>
                <c:pt idx="130">
                  <c:v>104.31105190731716</c:v>
                </c:pt>
                <c:pt idx="131">
                  <c:v>104.52942936072748</c:v>
                </c:pt>
                <c:pt idx="132">
                  <c:v>104.7468255622971</c:v>
                </c:pt>
                <c:pt idx="133">
                  <c:v>104.96297743197464</c:v>
                </c:pt>
                <c:pt idx="134">
                  <c:v>105.17761343908768</c:v>
                </c:pt>
                <c:pt idx="135">
                  <c:v>105.3904540604296</c:v>
                </c:pt>
                <c:pt idx="136">
                  <c:v>105.601212303739</c:v>
                </c:pt>
                <c:pt idx="137">
                  <c:v>105.80959429732943</c:v>
                </c:pt>
                <c:pt idx="138">
                  <c:v>106.01529994608345</c:v>
                </c:pt>
                <c:pt idx="139">
                  <c:v>106.21802365345735</c:v>
                </c:pt>
                <c:pt idx="140">
                  <c:v>106.41745510852216</c:v>
                </c:pt>
                <c:pt idx="141">
                  <c:v>106.61328013642353</c:v>
                </c:pt>
                <c:pt idx="142">
                  <c:v>106.80518160997194</c:v>
                </c:pt>
                <c:pt idx="143">
                  <c:v>106.99284041938709</c:v>
                </c:pt>
                <c:pt idx="144">
                  <c:v>107.17593649652591</c:v>
                </c:pt>
                <c:pt idx="145">
                  <c:v>107.35414988922575</c:v>
                </c:pt>
                <c:pt idx="146">
                  <c:v>107.52716188071466</c:v>
                </c:pt>
                <c:pt idx="147">
                  <c:v>107.69465614837452</c:v>
                </c:pt>
                <c:pt idx="148">
                  <c:v>107.85631995551412</c:v>
                </c:pt>
                <c:pt idx="149">
                  <c:v>108.01184536921862</c:v>
                </c:pt>
                <c:pt idx="150">
                  <c:v>108.16093049680383</c:v>
                </c:pt>
                <c:pt idx="151">
                  <c:v>108.30328073293039</c:v>
                </c:pt>
                <c:pt idx="152">
                  <c:v>108.43861000902656</c:v>
                </c:pt>
                <c:pt idx="153">
                  <c:v>108.56664203634163</c:v>
                </c:pt>
                <c:pt idx="154">
                  <c:v>108.68711153371241</c:v>
                </c:pt>
                <c:pt idx="155">
                  <c:v>108.79976543098073</c:v>
                </c:pt>
                <c:pt idx="156">
                  <c:v>108.90436403894105</c:v>
                </c:pt>
                <c:pt idx="157">
                  <c:v>109.00068217675478</c:v>
                </c:pt>
                <c:pt idx="158">
                  <c:v>109.08851024791043</c:v>
                </c:pt>
                <c:pt idx="159">
                  <c:v>109.16765525606964</c:v>
                </c:pt>
                <c:pt idx="160">
                  <c:v>109.23794175248197</c:v>
                </c:pt>
                <c:pt idx="161">
                  <c:v>109.29921270711144</c:v>
                </c:pt>
                <c:pt idx="162">
                  <c:v>109.35133029615851</c:v>
                </c:pt>
                <c:pt idx="163">
                  <c:v>109.39417659928858</c:v>
                </c:pt>
                <c:pt idx="164">
                  <c:v>109.42765420060252</c:v>
                </c:pt>
                <c:pt idx="165">
                  <c:v>109.4516866881567</c:v>
                </c:pt>
                <c:pt idx="166">
                  <c:v>109.46621904769809</c:v>
                </c:pt>
                <c:pt idx="167">
                  <c:v>109.4712179471809</c:v>
                </c:pt>
                <c:pt idx="168">
                  <c:v>109.46667190956772</c:v>
                </c:pt>
                <c:pt idx="169">
                  <c:v>109.45259137240382</c:v>
                </c:pt>
                <c:pt idx="170">
                  <c:v>109.42900863363715</c:v>
                </c:pt>
                <c:pt idx="171">
                  <c:v>109.39597768416319</c:v>
                </c:pt>
                <c:pt idx="172">
                  <c:v>109.35357392856194</c:v>
                </c:pt>
                <c:pt idx="173">
                  <c:v>109.3018937964751</c:v>
                </c:pt>
                <c:pt idx="174">
                  <c:v>109.24105424801338</c:v>
                </c:pt>
                <c:pt idx="175">
                  <c:v>109.17119217749232</c:v>
                </c:pt>
                <c:pt idx="176">
                  <c:v>109.09246372064017</c:v>
                </c:pt>
                <c:pt idx="177">
                  <c:v>109.00504347121583</c:v>
                </c:pt>
                <c:pt idx="178">
                  <c:v>108.90912361368937</c:v>
                </c:pt>
                <c:pt idx="179">
                  <c:v>108.80491297927318</c:v>
                </c:pt>
                <c:pt idx="180">
                  <c:v>108.6926360331389</c:v>
                </c:pt>
                <c:pt idx="181">
                  <c:v>108.57253180111665</c:v>
                </c:pt>
                <c:pt idx="182">
                  <c:v>108.44485274452208</c:v>
                </c:pt>
                <c:pt idx="183">
                  <c:v>108.30986359202309</c:v>
                </c:pt>
                <c:pt idx="184">
                  <c:v>108.16784013760493</c:v>
                </c:pt>
                <c:pt idx="185">
                  <c:v>108.01906801375368</c:v>
                </c:pt>
                <c:pt idx="186">
                  <c:v>107.86384144892351</c:v>
                </c:pt>
                <c:pt idx="187">
                  <c:v>107.70246201822049</c:v>
                </c:pt>
                <c:pt idx="188">
                  <c:v>107.53523739598505</c:v>
                </c:pt>
                <c:pt idx="189">
                  <c:v>107.36248011865023</c:v>
                </c:pt>
                <c:pt idx="190">
                  <c:v>107.1845063658343</c:v>
                </c:pt>
                <c:pt idx="191">
                  <c:v>107.00163476717282</c:v>
                </c:pt>
                <c:pt idx="192">
                  <c:v>106.81418524183678</c:v>
                </c:pt>
                <c:pt idx="193">
                  <c:v>106.6224778771235</c:v>
                </c:pt>
                <c:pt idx="194">
                  <c:v>106.42683185185328</c:v>
                </c:pt>
                <c:pt idx="195">
                  <c:v>106.2275644096611</c:v>
                </c:pt>
                <c:pt idx="196">
                  <c:v>106.02498988657668</c:v>
                </c:pt>
                <c:pt idx="197">
                  <c:v>105.81941879660286</c:v>
                </c:pt>
                <c:pt idx="198">
                  <c:v>105.61115697829662</c:v>
                </c:pt>
                <c:pt idx="199">
                  <c:v>105.40050480467782</c:v>
                </c:pt>
                <c:pt idx="200">
                  <c:v>105.18775645811171</c:v>
                </c:pt>
                <c:pt idx="201">
                  <c:v>104.97319927116746</c:v>
                </c:pt>
                <c:pt idx="202">
                  <c:v>104.7571131338419</c:v>
                </c:pt>
                <c:pt idx="203">
                  <c:v>104.53976996695287</c:v>
                </c:pt>
                <c:pt idx="204">
                  <c:v>104.32143326097419</c:v>
                </c:pt>
                <c:pt idx="205">
                  <c:v>104.10235767909353</c:v>
                </c:pt>
                <c:pt idx="206">
                  <c:v>103.88278872283264</c:v>
                </c:pt>
                <c:pt idx="207">
                  <c:v>103.66296245817755</c:v>
                </c:pt>
                <c:pt idx="208">
                  <c:v>103.44310529982795</c:v>
                </c:pt>
                <c:pt idx="209">
                  <c:v>103.22343385088948</c:v>
                </c:pt>
                <c:pt idx="210">
                  <c:v>103.00415479509317</c:v>
                </c:pt>
                <c:pt idx="211">
                  <c:v>102.78546483843967</c:v>
                </c:pt>
                <c:pt idx="212">
                  <c:v>102.56755069702869</c:v>
                </c:pt>
                <c:pt idx="213">
                  <c:v>102.35058912773212</c:v>
                </c:pt>
                <c:pt idx="214">
                  <c:v>102.13474699832481</c:v>
                </c:pt>
                <c:pt idx="215">
                  <c:v>101.92018139366087</c:v>
                </c:pt>
                <c:pt idx="216">
                  <c:v>101.70703975450822</c:v>
                </c:pt>
                <c:pt idx="217">
                  <c:v>101.49546004570352</c:v>
                </c:pt>
                <c:pt idx="218">
                  <c:v>101.28557095036244</c:v>
                </c:pt>
                <c:pt idx="219">
                  <c:v>101.07749208698323</c:v>
                </c:pt>
                <c:pt idx="220">
                  <c:v>100.87133424639967</c:v>
                </c:pt>
                <c:pt idx="221">
                  <c:v>100.66719964567649</c:v>
                </c:pt>
                <c:pt idx="222">
                  <c:v>100.46518219618686</c:v>
                </c:pt>
                <c:pt idx="223">
                  <c:v>100.26536778327137</c:v>
                </c:pt>
                <c:pt idx="224">
                  <c:v>100.06783455504403</c:v>
                </c:pt>
                <c:pt idx="225">
                  <c:v>99.872653218077261</c:v>
                </c:pt>
                <c:pt idx="226">
                  <c:v>99.679887337871818</c:v>
                </c:pt>
                <c:pt idx="227">
                  <c:v>99.489593642189277</c:v>
                </c:pt>
                <c:pt idx="228">
                  <c:v>99.301822325490349</c:v>
                </c:pt>
                <c:pt idx="229">
                  <c:v>99.116617352892305</c:v>
                </c:pt>
                <c:pt idx="230">
                  <c:v>98.9340167622167</c:v>
                </c:pt>
                <c:pt idx="231">
                  <c:v>98.754052962854814</c:v>
                </c:pt>
                <c:pt idx="232">
                  <c:v>98.576753030325492</c:v>
                </c:pt>
                <c:pt idx="233">
                  <c:v>98.402138995540611</c:v>
                </c:pt>
                <c:pt idx="234">
                  <c:v>98.230228127928157</c:v>
                </c:pt>
                <c:pt idx="235">
                  <c:v>98.06103321168284</c:v>
                </c:pt>
                <c:pt idx="236">
                  <c:v>97.894562814534325</c:v>
                </c:pt>
                <c:pt idx="237">
                  <c:v>97.730821548528581</c:v>
                </c:pt>
                <c:pt idx="238">
                  <c:v>97.569810322416046</c:v>
                </c:pt>
                <c:pt idx="239">
                  <c:v>97.411526585331842</c:v>
                </c:pt>
                <c:pt idx="240">
                  <c:v>97.255964561535819</c:v>
                </c:pt>
                <c:pt idx="241">
                  <c:v>97.103115476053716</c:v>
                </c:pt>
                <c:pt idx="242">
                  <c:v>96.952967771127589</c:v>
                </c:pt>
                <c:pt idx="243">
                  <c:v>96.805507313446</c:v>
                </c:pt>
                <c:pt idx="244">
                  <c:v>96.660717592173768</c:v>
                </c:pt>
                <c:pt idx="245">
                  <c:v>96.518579907850068</c:v>
                </c:pt>
                <c:pt idx="246">
                  <c:v>96.379073552265652</c:v>
                </c:pt>
                <c:pt idx="247">
                  <c:v>96.242175979460711</c:v>
                </c:pt>
                <c:pt idx="248">
                  <c:v>96.107862968021195</c:v>
                </c:pt>
                <c:pt idx="249">
                  <c:v>95.976108774871548</c:v>
                </c:pt>
                <c:pt idx="250">
                  <c:v>95.846886280785668</c:v>
                </c:pt>
                <c:pt idx="251">
                  <c:v>95.720167127855106</c:v>
                </c:pt>
                <c:pt idx="252">
                  <c:v>95.595921849166572</c:v>
                </c:pt>
                <c:pt idx="253">
                  <c:v>95.474119990951834</c:v>
                </c:pt>
                <c:pt idx="254">
                  <c:v>95.354730227479934</c:v>
                </c:pt>
                <c:pt idx="255">
                  <c:v>95.237720468968789</c:v>
                </c:pt>
                <c:pt idx="256">
                  <c:v>95.123057962794348</c:v>
                </c:pt>
                <c:pt idx="257">
                  <c:v>95.010709388276666</c:v>
                </c:pt>
                <c:pt idx="258">
                  <c:v>94.900640945322351</c:v>
                </c:pt>
                <c:pt idx="259">
                  <c:v>94.792818437200495</c:v>
                </c:pt>
                <c:pt idx="260">
                  <c:v>94.68720734772397</c:v>
                </c:pt>
                <c:pt idx="261">
                  <c:v>94.583772913105932</c:v>
                </c:pt>
                <c:pt idx="262">
                  <c:v>94.482480188753712</c:v>
                </c:pt>
                <c:pt idx="263">
                  <c:v>94.383294111256532</c:v>
                </c:pt>
                <c:pt idx="264">
                  <c:v>94.28617955581727</c:v>
                </c:pt>
                <c:pt idx="265">
                  <c:v>94.191101389369436</c:v>
                </c:pt>
                <c:pt idx="266">
                  <c:v>94.098024519614469</c:v>
                </c:pt>
                <c:pt idx="267">
                  <c:v>94.006913940204996</c:v>
                </c:pt>
                <c:pt idx="268">
                  <c:v>93.917734772291411</c:v>
                </c:pt>
                <c:pt idx="269">
                  <c:v>93.830452302641945</c:v>
                </c:pt>
                <c:pt idx="270">
                  <c:v>93.745032018535923</c:v>
                </c:pt>
                <c:pt idx="271">
                  <c:v>93.661439639622941</c:v>
                </c:pt>
                <c:pt idx="272">
                  <c:v>93.579641146931991</c:v>
                </c:pt>
                <c:pt idx="273">
                  <c:v>93.499602809205015</c:v>
                </c:pt>
                <c:pt idx="274">
                  <c:v>93.421291206722671</c:v>
                </c:pt>
                <c:pt idx="275">
                  <c:v>93.344673252781661</c:v>
                </c:pt>
                <c:pt idx="276">
                  <c:v>93.269716212973663</c:v>
                </c:pt>
                <c:pt idx="277">
                  <c:v>93.196387722411103</c:v>
                </c:pt>
                <c:pt idx="278">
                  <c:v>93.124655801034081</c:v>
                </c:pt>
                <c:pt idx="279">
                  <c:v>93.054488867128939</c:v>
                </c:pt>
                <c:pt idx="280">
                  <c:v>92.985855749179663</c:v>
                </c:pt>
                <c:pt idx="281">
                  <c:v>92.918725696167527</c:v>
                </c:pt>
                <c:pt idx="282">
                  <c:v>92.853068386428035</c:v>
                </c:pt>
                <c:pt idx="283">
                  <c:v>92.788853935168063</c:v>
                </c:pt>
                <c:pt idx="284">
                  <c:v>92.726052900739631</c:v>
                </c:pt>
                <c:pt idx="285">
                  <c:v>92.664636289761745</c:v>
                </c:pt>
                <c:pt idx="286">
                  <c:v>92.604575561176475</c:v>
                </c:pt>
                <c:pt idx="287">
                  <c:v>92.545842629319409</c:v>
                </c:pt>
                <c:pt idx="288">
                  <c:v>92.488409866080673</c:v>
                </c:pt>
                <c:pt idx="289">
                  <c:v>92.432250102227655</c:v>
                </c:pt>
                <c:pt idx="290">
                  <c:v>92.377336627955927</c:v>
                </c:pt>
                <c:pt idx="291">
                  <c:v>92.323643192731822</c:v>
                </c:pt>
                <c:pt idx="292">
                  <c:v>92.271144004483673</c:v>
                </c:pt>
                <c:pt idx="293">
                  <c:v>92.219813728198744</c:v>
                </c:pt>
                <c:pt idx="294">
                  <c:v>92.169627483975162</c:v>
                </c:pt>
                <c:pt idx="295">
                  <c:v>92.120560844578264</c:v>
                </c:pt>
                <c:pt idx="296">
                  <c:v>92.072589832545276</c:v>
                </c:pt>
                <c:pt idx="297">
                  <c:v>92.025690916880791</c:v>
                </c:pt>
                <c:pt idx="298">
                  <c:v>91.979841009381502</c:v>
                </c:pt>
                <c:pt idx="299">
                  <c:v>91.935017460627009</c:v>
                </c:pt>
                <c:pt idx="300">
                  <c:v>91.891198055670401</c:v>
                </c:pt>
                <c:pt idx="301">
                  <c:v>91.848361009459708</c:v>
                </c:pt>
                <c:pt idx="302">
                  <c:v>91.806484962020491</c:v>
                </c:pt>
                <c:pt idx="303">
                  <c:v>91.765548973425695</c:v>
                </c:pt>
                <c:pt idx="304">
                  <c:v>91.725532518578746</c:v>
                </c:pt>
                <c:pt idx="305">
                  <c:v>91.686415481833237</c:v>
                </c:pt>
                <c:pt idx="306">
                  <c:v>91.64817815147066</c:v>
                </c:pt>
                <c:pt idx="307">
                  <c:v>91.610801214056693</c:v>
                </c:pt>
                <c:pt idx="308">
                  <c:v>91.574265748694174</c:v>
                </c:pt>
                <c:pt idx="309">
                  <c:v>91.538553221190568</c:v>
                </c:pt>
                <c:pt idx="310">
                  <c:v>91.503645478155278</c:v>
                </c:pt>
                <c:pt idx="311">
                  <c:v>91.469524741041695</c:v>
                </c:pt>
                <c:pt idx="312">
                  <c:v>91.436173600147583</c:v>
                </c:pt>
                <c:pt idx="313">
                  <c:v>91.403575008585889</c:v>
                </c:pt>
                <c:pt idx="314">
                  <c:v>91.371712276237758</c:v>
                </c:pt>
                <c:pt idx="315">
                  <c:v>91.340569063697998</c:v>
                </c:pt>
                <c:pt idx="316">
                  <c:v>91.310129376222648</c:v>
                </c:pt>
                <c:pt idx="317">
                  <c:v>91.280377557687274</c:v>
                </c:pt>
                <c:pt idx="318">
                  <c:v>91.251298284564427</c:v>
                </c:pt>
                <c:pt idx="319">
                  <c:v>91.222876559927045</c:v>
                </c:pt>
                <c:pt idx="320">
                  <c:v>91.195097707484706</c:v>
                </c:pt>
                <c:pt idx="321">
                  <c:v>91.167947365658875</c:v>
                </c:pt>
                <c:pt idx="322">
                  <c:v>91.141411481702193</c:v>
                </c:pt>
                <c:pt idx="323">
                  <c:v>91.115476305867176</c:v>
                </c:pt>
                <c:pt idx="324">
                  <c:v>91.090128385628503</c:v>
                </c:pt>
                <c:pt idx="325">
                  <c:v>91.065354559962771</c:v>
                </c:pt>
                <c:pt idx="326">
                  <c:v>91.041141953689504</c:v>
                </c:pt>
                <c:pt idx="327">
                  <c:v>91.017477971876474</c:v>
                </c:pt>
                <c:pt idx="328">
                  <c:v>90.994350294311914</c:v>
                </c:pt>
                <c:pt idx="329">
                  <c:v>90.971746870046346</c:v>
                </c:pt>
                <c:pt idx="330">
                  <c:v>90.949655912005966</c:v>
                </c:pt>
                <c:pt idx="331">
                  <c:v>90.928065891679523</c:v>
                </c:pt>
                <c:pt idx="332">
                  <c:v>90.906965533880168</c:v>
                </c:pt>
                <c:pt idx="333">
                  <c:v>90.886343811583615</c:v>
                </c:pt>
                <c:pt idx="334">
                  <c:v>90.866189940843853</c:v>
                </c:pt>
                <c:pt idx="335">
                  <c:v>90.846493375787006</c:v>
                </c:pt>
                <c:pt idx="336">
                  <c:v>90.82724380368424</c:v>
                </c:pt>
                <c:pt idx="337">
                  <c:v>90.80843114010429</c:v>
                </c:pt>
                <c:pt idx="338">
                  <c:v>90.790045524145711</c:v>
                </c:pt>
                <c:pt idx="339">
                  <c:v>90.772077313749122</c:v>
                </c:pt>
                <c:pt idx="340">
                  <c:v>90.754517081089801</c:v>
                </c:pt>
                <c:pt idx="341">
                  <c:v>90.73735560805018</c:v>
                </c:pt>
                <c:pt idx="342">
                  <c:v>90.720583881772043</c:v>
                </c:pt>
                <c:pt idx="343">
                  <c:v>90.704193090288712</c:v>
                </c:pt>
                <c:pt idx="344">
                  <c:v>90.688174618236147</c:v>
                </c:pt>
                <c:pt idx="345">
                  <c:v>90.672520042642759</c:v>
                </c:pt>
                <c:pt idx="346">
                  <c:v>90.657221128797701</c:v>
                </c:pt>
                <c:pt idx="347">
                  <c:v>90.642269826196525</c:v>
                </c:pt>
                <c:pt idx="348">
                  <c:v>90.627658264563749</c:v>
                </c:pt>
                <c:pt idx="349">
                  <c:v>90.613378749951835</c:v>
                </c:pt>
                <c:pt idx="350">
                  <c:v>90.599423760915357</c:v>
                </c:pt>
                <c:pt idx="351">
                  <c:v>90.585785944759778</c:v>
                </c:pt>
                <c:pt idx="352">
                  <c:v>90.572458113864073</c:v>
                </c:pt>
                <c:pt idx="353">
                  <c:v>90.559433242076054</c:v>
                </c:pt>
                <c:pt idx="354">
                  <c:v>90.546704461179459</c:v>
                </c:pt>
                <c:pt idx="355">
                  <c:v>90.534265057432322</c:v>
                </c:pt>
                <c:pt idx="356">
                  <c:v>90.522108468174821</c:v>
                </c:pt>
                <c:pt idx="357">
                  <c:v>90.510228278506432</c:v>
                </c:pt>
                <c:pt idx="358">
                  <c:v>90.498618218030771</c:v>
                </c:pt>
                <c:pt idx="359">
                  <c:v>90.487272157667363</c:v>
                </c:pt>
                <c:pt idx="360">
                  <c:v>90.476184106529359</c:v>
                </c:pt>
                <c:pt idx="361">
                  <c:v>90.465348208865876</c:v>
                </c:pt>
                <c:pt idx="362">
                  <c:v>90.454758741068218</c:v>
                </c:pt>
                <c:pt idx="363">
                  <c:v>90.444410108738623</c:v>
                </c:pt>
                <c:pt idx="364">
                  <c:v>90.434296843820746</c:v>
                </c:pt>
                <c:pt idx="365">
                  <c:v>90.42441360179059</c:v>
                </c:pt>
                <c:pt idx="366">
                  <c:v>90.414755158907028</c:v>
                </c:pt>
                <c:pt idx="367">
                  <c:v>90.405316409520623</c:v>
                </c:pt>
                <c:pt idx="368">
                  <c:v>90.396092363439948</c:v>
                </c:pt>
                <c:pt idx="369">
                  <c:v>90.387078143354159</c:v>
                </c:pt>
                <c:pt idx="370">
                  <c:v>90.378268982310871</c:v>
                </c:pt>
                <c:pt idx="371">
                  <c:v>90.369660221248282</c:v>
                </c:pt>
                <c:pt idx="372">
                  <c:v>90.361247306580552</c:v>
                </c:pt>
                <c:pt idx="373">
                  <c:v>90.353025787835392</c:v>
                </c:pt>
                <c:pt idx="374">
                  <c:v>90.344991315342824</c:v>
                </c:pt>
                <c:pt idx="375">
                  <c:v>90.337139637974161</c:v>
                </c:pt>
                <c:pt idx="376">
                  <c:v>90.329466600930274</c:v>
                </c:pt>
                <c:pt idx="377">
                  <c:v>90.321968143578118</c:v>
                </c:pt>
                <c:pt idx="378">
                  <c:v>90.314640297334378</c:v>
                </c:pt>
                <c:pt idx="379">
                  <c:v>90.30747918359576</c:v>
                </c:pt>
                <c:pt idx="380">
                  <c:v>90.300481011714467</c:v>
                </c:pt>
                <c:pt idx="381">
                  <c:v>90.293642077018262</c:v>
                </c:pt>
                <c:pt idx="382">
                  <c:v>90.286958758874135</c:v>
                </c:pt>
                <c:pt idx="383">
                  <c:v>90.280427518794639</c:v>
                </c:pt>
                <c:pt idx="384">
                  <c:v>90.274044898586055</c:v>
                </c:pt>
                <c:pt idx="385">
                  <c:v>90.267807518537467</c:v>
                </c:pt>
                <c:pt idx="386">
                  <c:v>90.261712075650024</c:v>
                </c:pt>
                <c:pt idx="387">
                  <c:v>90.255755341905399</c:v>
                </c:pt>
                <c:pt idx="388">
                  <c:v>90.249934162572629</c:v>
                </c:pt>
                <c:pt idx="389">
                  <c:v>90.244245454552782</c:v>
                </c:pt>
                <c:pt idx="390">
                  <c:v>90.238686204760185</c:v>
                </c:pt>
                <c:pt idx="391">
                  <c:v>90.233253468539957</c:v>
                </c:pt>
                <c:pt idx="392">
                  <c:v>90.227944368120603</c:v>
                </c:pt>
                <c:pt idx="393">
                  <c:v>90.222756091101346</c:v>
                </c:pt>
                <c:pt idx="394">
                  <c:v>90.217685888973079</c:v>
                </c:pt>
                <c:pt idx="395">
                  <c:v>90.212731075672437</c:v>
                </c:pt>
                <c:pt idx="396">
                  <c:v>90.207889026168303</c:v>
                </c:pt>
                <c:pt idx="397">
                  <c:v>90.203157175079781</c:v>
                </c:pt>
                <c:pt idx="398">
                  <c:v>90.198533015325339</c:v>
                </c:pt>
                <c:pt idx="399">
                  <c:v>90.194014096802107</c:v>
                </c:pt>
                <c:pt idx="400">
                  <c:v>90.189598025094881</c:v>
                </c:pt>
                <c:pt idx="401">
                  <c:v>90.18528246021404</c:v>
                </c:pt>
                <c:pt idx="402">
                  <c:v>90.181065115361932</c:v>
                </c:pt>
                <c:pt idx="403">
                  <c:v>90.176943755726896</c:v>
                </c:pt>
                <c:pt idx="404">
                  <c:v>90.172916197304403</c:v>
                </c:pt>
                <c:pt idx="405">
                  <c:v>90.16898030574491</c:v>
                </c:pt>
                <c:pt idx="406">
                  <c:v>90.165133995227322</c:v>
                </c:pt>
                <c:pt idx="407">
                  <c:v>90.161375227358235</c:v>
                </c:pt>
                <c:pt idx="408">
                  <c:v>90.157702010095633</c:v>
                </c:pt>
                <c:pt idx="409">
                  <c:v>90.154112396697059</c:v>
                </c:pt>
                <c:pt idx="410">
                  <c:v>90.150604484691513</c:v>
                </c:pt>
                <c:pt idx="411">
                  <c:v>90.147176414874437</c:v>
                </c:pt>
                <c:pt idx="412">
                  <c:v>90.143826370325456</c:v>
                </c:pt>
                <c:pt idx="413">
                  <c:v>90.140552575448396</c:v>
                </c:pt>
                <c:pt idx="414">
                  <c:v>90.137353295032767</c:v>
                </c:pt>
                <c:pt idx="415">
                  <c:v>90.134226833336712</c:v>
                </c:pt>
                <c:pt idx="416">
                  <c:v>90.131171533190468</c:v>
                </c:pt>
                <c:pt idx="417">
                  <c:v>90.128185775120301</c:v>
                </c:pt>
                <c:pt idx="418">
                  <c:v>90.125267976492083</c:v>
                </c:pt>
                <c:pt idx="419">
                  <c:v>90.122416590674376</c:v>
                </c:pt>
                <c:pt idx="420">
                  <c:v>90.119630106220384</c:v>
                </c:pt>
                <c:pt idx="421">
                  <c:v>90.116907046068448</c:v>
                </c:pt>
                <c:pt idx="422">
                  <c:v>90.114245966760706</c:v>
                </c:pt>
                <c:pt idx="423">
                  <c:v>90.111645457679316</c:v>
                </c:pt>
                <c:pt idx="424">
                  <c:v>90.109104140300147</c:v>
                </c:pt>
                <c:pt idx="425">
                  <c:v>90.10662066746319</c:v>
                </c:pt>
                <c:pt idx="426">
                  <c:v>90.104193722659744</c:v>
                </c:pt>
                <c:pt idx="427">
                  <c:v>90.101822019335529</c:v>
                </c:pt>
                <c:pt idx="428">
                  <c:v>90.099504300209787</c:v>
                </c:pt>
                <c:pt idx="429">
                  <c:v>90.097239336609647</c:v>
                </c:pt>
                <c:pt idx="430">
                  <c:v>90.095025927819776</c:v>
                </c:pt>
                <c:pt idx="431">
                  <c:v>90.092862900446619</c:v>
                </c:pt>
                <c:pt idx="432">
                  <c:v>90.090749107797151</c:v>
                </c:pt>
                <c:pt idx="433">
                  <c:v>90.088683429271782</c:v>
                </c:pt>
                <c:pt idx="434">
                  <c:v>90.08666476977082</c:v>
                </c:pt>
                <c:pt idx="435">
                  <c:v>90.084692059114715</c:v>
                </c:pt>
                <c:pt idx="436">
                  <c:v>90.082764251477172</c:v>
                </c:pt>
                <c:pt idx="437">
                  <c:v>90.080880324831384</c:v>
                </c:pt>
                <c:pt idx="438">
                  <c:v>90.079039280408608</c:v>
                </c:pt>
                <c:pt idx="439">
                  <c:v>90.077240142169259</c:v>
                </c:pt>
                <c:pt idx="440">
                  <c:v>90.075481956285813</c:v>
                </c:pt>
                <c:pt idx="441">
                  <c:v>90.073763790637614</c:v>
                </c:pt>
                <c:pt idx="442">
                  <c:v>90.072084734317059</c:v>
                </c:pt>
                <c:pt idx="443">
                  <c:v>90.070443897147072</c:v>
                </c:pt>
                <c:pt idx="444">
                  <c:v>90.068840409209457</c:v>
                </c:pt>
                <c:pt idx="445">
                  <c:v>90.067273420384055</c:v>
                </c:pt>
                <c:pt idx="446">
                  <c:v>90.065742099898344</c:v>
                </c:pt>
                <c:pt idx="447">
                  <c:v>90.064245635887204</c:v>
                </c:pt>
                <c:pt idx="448">
                  <c:v>90.062783234962808</c:v>
                </c:pt>
                <c:pt idx="449">
                  <c:v>90.061354121794238</c:v>
                </c:pt>
                <c:pt idx="450">
                  <c:v>90.059957538696551</c:v>
                </c:pt>
                <c:pt idx="451">
                  <c:v>90.058592745229433</c:v>
                </c:pt>
                <c:pt idx="452">
                  <c:v>90.057259017804697</c:v>
                </c:pt>
                <c:pt idx="453">
                  <c:v>90.055955649302902</c:v>
                </c:pt>
                <c:pt idx="454">
                  <c:v>90.054681948698615</c:v>
                </c:pt>
                <c:pt idx="455">
                  <c:v>90.05343724069418</c:v>
                </c:pt>
                <c:pt idx="456">
                  <c:v>90.052220865361846</c:v>
                </c:pt>
                <c:pt idx="457">
                  <c:v>90.051032177794056</c:v>
                </c:pt>
                <c:pt idx="458">
                  <c:v>90.049870547761572</c:v>
                </c:pt>
                <c:pt idx="459">
                  <c:v>90.048735359379535</c:v>
                </c:pt>
                <c:pt idx="460">
                  <c:v>90.047626010781016</c:v>
                </c:pt>
                <c:pt idx="461">
                  <c:v>90.046541913797967</c:v>
                </c:pt>
                <c:pt idx="462">
                  <c:v>90.045482493649629</c:v>
                </c:pt>
                <c:pt idx="463">
                  <c:v>90.044447188637662</c:v>
                </c:pt>
                <c:pt idx="464">
                  <c:v>90.043435449848616</c:v>
                </c:pt>
                <c:pt idx="465">
                  <c:v>90.042446740862843</c:v>
                </c:pt>
                <c:pt idx="466">
                  <c:v>90.041480537470278</c:v>
                </c:pt>
                <c:pt idx="467">
                  <c:v>90.040536327392459</c:v>
                </c:pt>
                <c:pt idx="468">
                  <c:v>90.039613610011088</c:v>
                </c:pt>
                <c:pt idx="469">
                  <c:v>90.038711896102612</c:v>
                </c:pt>
                <c:pt idx="470">
                  <c:v>90.037830707578863</c:v>
                </c:pt>
                <c:pt idx="471">
                  <c:v>90.036969577233748</c:v>
                </c:pt>
                <c:pt idx="472">
                  <c:v>90.036128048495428</c:v>
                </c:pt>
                <c:pt idx="473">
                  <c:v>90.035305675184404</c:v>
                </c:pt>
                <c:pt idx="474">
                  <c:v>90.034502021276964</c:v>
                </c:pt>
                <c:pt idx="475">
                  <c:v>90.033716660674017</c:v>
                </c:pt>
                <c:pt idx="476">
                  <c:v>90.032949176975222</c:v>
                </c:pt>
                <c:pt idx="477">
                  <c:v>90.032199163258326</c:v>
                </c:pt>
                <c:pt idx="478">
                  <c:v>90.031466221863312</c:v>
                </c:pt>
                <c:pt idx="479">
                  <c:v>90.030749964181666</c:v>
                </c:pt>
                <c:pt idx="480">
                  <c:v>90.030050010450353</c:v>
                </c:pt>
                <c:pt idx="481">
                  <c:v>90.029365989550485</c:v>
                </c:pt>
                <c:pt idx="482">
                  <c:v>90.028697538810619</c:v>
                </c:pt>
                <c:pt idx="483">
                  <c:v>90.028044303814411</c:v>
                </c:pt>
                <c:pt idx="484">
                  <c:v>90.027405938212752</c:v>
                </c:pt>
                <c:pt idx="485">
                  <c:v>90.026782103540214</c:v>
                </c:pt>
                <c:pt idx="486">
                  <c:v>90.026172469035544</c:v>
                </c:pt>
                <c:pt idx="487">
                  <c:v>90.025576711466314</c:v>
                </c:pt>
                <c:pt idx="488">
                  <c:v>90.024994514957584</c:v>
                </c:pt>
                <c:pt idx="489">
                  <c:v>90.024425570824434</c:v>
                </c:pt>
                <c:pt idx="490">
                  <c:v>90.023869577408291</c:v>
                </c:pt>
                <c:pt idx="491">
                  <c:v>90.02332623991704</c:v>
                </c:pt>
                <c:pt idx="492">
                  <c:v>90.022795270268645</c:v>
                </c:pt>
                <c:pt idx="493">
                  <c:v>90.022276386938557</c:v>
                </c:pt>
                <c:pt idx="494">
                  <c:v>90.021769314810356</c:v>
                </c:pt>
                <c:pt idx="495">
                  <c:v>90.021273785029905</c:v>
                </c:pt>
                <c:pt idx="496">
                  <c:v>90.020789534862828</c:v>
                </c:pt>
                <c:pt idx="497">
                  <c:v>90.020316307555206</c:v>
                </c:pt>
                <c:pt idx="498">
                  <c:v>90.019853852197485</c:v>
                </c:pt>
                <c:pt idx="499">
                  <c:v>90.019401923591388</c:v>
                </c:pt>
                <c:pt idx="500">
                  <c:v>90.018960282119963</c:v>
                </c:pt>
                <c:pt idx="501">
                  <c:v>90.018528693620553</c:v>
                </c:pt>
                <c:pt idx="502">
                  <c:v>90.01810692926054</c:v>
                </c:pt>
                <c:pt idx="503">
                  <c:v>90.017694765416195</c:v>
                </c:pt>
                <c:pt idx="504">
                  <c:v>90.017291983553989</c:v>
                </c:pt>
                <c:pt idx="505">
                  <c:v>90.01689837011476</c:v>
                </c:pt>
                <c:pt idx="506">
                  <c:v>90.016513716400482</c:v>
                </c:pt>
                <c:pt idx="507">
                  <c:v>90.016137818463648</c:v>
                </c:pt>
                <c:pt idx="508">
                  <c:v>90.01577047699908</c:v>
                </c:pt>
                <c:pt idx="509">
                  <c:v>90.015411497238347</c:v>
                </c:pt>
                <c:pt idx="510">
                  <c:v>90.015060688846404</c:v>
                </c:pt>
                <c:pt idx="511">
                  <c:v>90.014717865820728</c:v>
                </c:pt>
                <c:pt idx="512">
                  <c:v>90.014382846392721</c:v>
                </c:pt>
                <c:pt idx="513">
                  <c:v>90.014055452931288</c:v>
                </c:pt>
                <c:pt idx="514">
                  <c:v>90.013735511848651</c:v>
                </c:pt>
                <c:pt idx="515">
                  <c:v>90.013422853508388</c:v>
                </c:pt>
                <c:pt idx="516">
                  <c:v>90.013117312135435</c:v>
                </c:pt>
                <c:pt idx="517">
                  <c:v>90.012818725728195</c:v>
                </c:pt>
                <c:pt idx="518">
                  <c:v>90.012526935972659</c:v>
                </c:pt>
                <c:pt idx="519">
                  <c:v>90.012241788158477</c:v>
                </c:pt>
                <c:pt idx="520">
                  <c:v>90.011963131096877</c:v>
                </c:pt>
                <c:pt idx="521">
                  <c:v>90.011690817040559</c:v>
                </c:pt>
                <c:pt idx="522">
                  <c:v>90.011424701605364</c:v>
                </c:pt>
                <c:pt idx="523">
                  <c:v>90.011164643693704</c:v>
                </c:pt>
                <c:pt idx="524">
                  <c:v>90.010910505419702</c:v>
                </c:pt>
                <c:pt idx="525">
                  <c:v>90.010662152036176</c:v>
                </c:pt>
                <c:pt idx="526">
                  <c:v>90.010419451863129</c:v>
                </c:pt>
                <c:pt idx="527">
                  <c:v>90.010182276217975</c:v>
                </c:pt>
                <c:pt idx="528">
                  <c:v>90.009950499347255</c:v>
                </c:pt>
                <c:pt idx="529">
                  <c:v>90.00972399836003</c:v>
                </c:pt>
                <c:pt idx="530">
                  <c:v>90.009502653162684</c:v>
                </c:pt>
                <c:pt idx="531">
                  <c:v>90.009286346395243</c:v>
                </c:pt>
                <c:pt idx="532">
                  <c:v>90.009074963369144</c:v>
                </c:pt>
                <c:pt idx="533">
                  <c:v>90.008868392006505</c:v>
                </c:pt>
                <c:pt idx="534">
                  <c:v>90.008666522780587</c:v>
                </c:pt>
                <c:pt idx="535">
                  <c:v>90.008469248657804</c:v>
                </c:pt>
                <c:pt idx="536">
                  <c:v>90.008276465040922</c:v>
                </c:pt>
                <c:pt idx="537">
                  <c:v>90.008088069713665</c:v>
                </c:pt>
                <c:pt idx="538">
                  <c:v>90.007903962786415</c:v>
                </c:pt>
                <c:pt idx="539">
                  <c:v>90.007724046643361</c:v>
                </c:pt>
                <c:pt idx="540">
                  <c:v>90.007548225890702</c:v>
                </c:pt>
                <c:pt idx="541">
                  <c:v>90.007376407306026</c:v>
                </c:pt>
              </c:numCache>
            </c:numRef>
          </c:yVal>
          <c:smooth val="1"/>
          <c:extLst>
            <c:ext xmlns:c16="http://schemas.microsoft.com/office/drawing/2014/chart" uri="{C3380CC4-5D6E-409C-BE32-E72D297353CC}">
              <c16:uniqueId val="{00000001-C95D-4273-8D1D-E8C586949522}"/>
            </c:ext>
          </c:extLst>
        </c:ser>
        <c:dLbls>
          <c:showLegendKey val="0"/>
          <c:showVal val="0"/>
          <c:showCatName val="0"/>
          <c:showSerName val="0"/>
          <c:showPercent val="0"/>
          <c:showBubbleSize val="0"/>
        </c:dLbls>
        <c:axId val="160545024"/>
        <c:axId val="160543488"/>
      </c:scatterChart>
      <c:valAx>
        <c:axId val="1605312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0533120"/>
        <c:crosses val="autoZero"/>
        <c:crossBetween val="midCat"/>
      </c:valAx>
      <c:valAx>
        <c:axId val="160533120"/>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60531200"/>
        <c:crosses val="autoZero"/>
        <c:crossBetween val="midCat"/>
        <c:majorUnit val="20"/>
        <c:minorUnit val="10"/>
      </c:valAx>
      <c:valAx>
        <c:axId val="160543488"/>
        <c:scaling>
          <c:orientation val="minMax"/>
          <c:max val="180"/>
          <c:min val="-180"/>
        </c:scaling>
        <c:delete val="0"/>
        <c:axPos val="r"/>
        <c:numFmt formatCode="General" sourceLinked="1"/>
        <c:majorTickMark val="out"/>
        <c:minorTickMark val="none"/>
        <c:tickLblPos val="nextTo"/>
        <c:crossAx val="160545024"/>
        <c:crosses val="max"/>
        <c:crossBetween val="midCat"/>
        <c:majorUnit val="90"/>
        <c:minorUnit val="45"/>
      </c:valAx>
      <c:valAx>
        <c:axId val="160545024"/>
        <c:scaling>
          <c:logBase val="10"/>
          <c:orientation val="minMax"/>
        </c:scaling>
        <c:delete val="1"/>
        <c:axPos val="b"/>
        <c:numFmt formatCode="0.00" sourceLinked="1"/>
        <c:majorTickMark val="out"/>
        <c:minorTickMark val="none"/>
        <c:tickLblPos val="nextTo"/>
        <c:crossAx val="16054348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Loop_Modeling!$AT$19:$AT$560</c:f>
              <c:numCache>
                <c:formatCode>0.000</c:formatCode>
                <c:ptCount val="542"/>
                <c:pt idx="0">
                  <c:v>23.206860818614242</c:v>
                </c:pt>
                <c:pt idx="1">
                  <c:v>23.006956666156128</c:v>
                </c:pt>
                <c:pt idx="2">
                  <c:v>22.807057023269024</c:v>
                </c:pt>
                <c:pt idx="3">
                  <c:v>22.607162101751733</c:v>
                </c:pt>
                <c:pt idx="4">
                  <c:v>22.407272123314289</c:v>
                </c:pt>
                <c:pt idx="5">
                  <c:v>22.207387320038315</c:v>
                </c:pt>
                <c:pt idx="6">
                  <c:v>22.007507934858744</c:v>
                </c:pt>
                <c:pt idx="7">
                  <c:v>21.807634222066806</c:v>
                </c:pt>
                <c:pt idx="8">
                  <c:v>21.607766447836333</c:v>
                </c:pt>
                <c:pt idx="9">
                  <c:v>21.407904890774219</c:v>
                </c:pt>
                <c:pt idx="10">
                  <c:v>21.2080498424959</c:v>
                </c:pt>
                <c:pt idx="11">
                  <c:v>21.008201608225797</c:v>
                </c:pt>
                <c:pt idx="12">
                  <c:v>20.808360507426748</c:v>
                </c:pt>
                <c:pt idx="13">
                  <c:v>20.608526874456299</c:v>
                </c:pt>
                <c:pt idx="14">
                  <c:v>20.408701059253616</c:v>
                </c:pt>
                <c:pt idx="15">
                  <c:v>20.208883428056893</c:v>
                </c:pt>
                <c:pt idx="16">
                  <c:v>20.00907436415244</c:v>
                </c:pt>
                <c:pt idx="17">
                  <c:v>19.809274268658502</c:v>
                </c:pt>
                <c:pt idx="18">
                  <c:v>19.609483561342739</c:v>
                </c:pt>
                <c:pt idx="19">
                  <c:v>19.409702681477167</c:v>
                </c:pt>
                <c:pt idx="20">
                  <c:v>19.209932088730223</c:v>
                </c:pt>
                <c:pt idx="21">
                  <c:v>19.010172264099083</c:v>
                </c:pt>
                <c:pt idx="22">
                  <c:v>18.81042371088266</c:v>
                </c:pt>
                <c:pt idx="23">
                  <c:v>18.61068695569719</c:v>
                </c:pt>
                <c:pt idx="24">
                  <c:v>18.410962549536677</c:v>
                </c:pt>
                <c:pt idx="25">
                  <c:v>18.211251068879712</c:v>
                </c:pt>
                <c:pt idx="26">
                  <c:v>18.01155311684408</c:v>
                </c:pt>
                <c:pt idx="27">
                  <c:v>17.811869324391544</c:v>
                </c:pt>
                <c:pt idx="28">
                  <c:v>17.612200351584754</c:v>
                </c:pt>
                <c:pt idx="29">
                  <c:v>17.412546888897474</c:v>
                </c:pt>
                <c:pt idx="30">
                  <c:v>17.212909658581637</c:v>
                </c:pt>
                <c:pt idx="31">
                  <c:v>17.013289416092043</c:v>
                </c:pt>
                <c:pt idx="32">
                  <c:v>16.813686951570524</c:v>
                </c:pt>
                <c:pt idx="33">
                  <c:v>16.614103091394298</c:v>
                </c:pt>
                <c:pt idx="34">
                  <c:v>16.414538699786757</c:v>
                </c:pt>
                <c:pt idx="35">
                  <c:v>16.214994680497146</c:v>
                </c:pt>
                <c:pt idx="36">
                  <c:v>16.015471978547652</c:v>
                </c:pt>
                <c:pt idx="37">
                  <c:v>15.815971582053285</c:v>
                </c:pt>
                <c:pt idx="38">
                  <c:v>15.616494524114819</c:v>
                </c:pt>
                <c:pt idx="39">
                  <c:v>15.417041884788452</c:v>
                </c:pt>
                <c:pt idx="40">
                  <c:v>15.217614793132981</c:v>
                </c:pt>
                <c:pt idx="41">
                  <c:v>15.018214429339853</c:v>
                </c:pt>
                <c:pt idx="42">
                  <c:v>14.81884202694398</c:v>
                </c:pt>
                <c:pt idx="43">
                  <c:v>14.619498875122774</c:v>
                </c:pt>
                <c:pt idx="44">
                  <c:v>14.420186321080568</c:v>
                </c:pt>
                <c:pt idx="45">
                  <c:v>14.220905772525585</c:v>
                </c:pt>
                <c:pt idx="46">
                  <c:v>14.021658700236806</c:v>
                </c:pt>
                <c:pt idx="47">
                  <c:v>13.822446640728071</c:v>
                </c:pt>
                <c:pt idx="48">
                  <c:v>13.623271199005906</c:v>
                </c:pt>
                <c:pt idx="49">
                  <c:v>13.424134051427451</c:v>
                </c:pt>
                <c:pt idx="50">
                  <c:v>13.225036948657765</c:v>
                </c:pt>
                <c:pt idx="51">
                  <c:v>13.02598171872846</c:v>
                </c:pt>
                <c:pt idx="52">
                  <c:v>12.826970270199745</c:v>
                </c:pt>
                <c:pt idx="53">
                  <c:v>12.628004595426116</c:v>
                </c:pt>
                <c:pt idx="54">
                  <c:v>12.429086773926555</c:v>
                </c:pt>
                <c:pt idx="55">
                  <c:v>12.230218975860467</c:v>
                </c:pt>
                <c:pt idx="56">
                  <c:v>12.031403465608403</c:v>
                </c:pt>
                <c:pt idx="57">
                  <c:v>11.832642605457826</c:v>
                </c:pt>
                <c:pt idx="58">
                  <c:v>11.633938859393515</c:v>
                </c:pt>
                <c:pt idx="59">
                  <c:v>11.435294796990188</c:v>
                </c:pt>
                <c:pt idx="60">
                  <c:v>11.236713097406652</c:v>
                </c:pt>
                <c:pt idx="61">
                  <c:v>11.038196553477274</c:v>
                </c:pt>
                <c:pt idx="62">
                  <c:v>10.83974807589972</c:v>
                </c:pt>
                <c:pt idx="63">
                  <c:v>10.641370697512571</c:v>
                </c:pt>
                <c:pt idx="64">
                  <c:v>10.443067577659129</c:v>
                </c:pt>
                <c:pt idx="65">
                  <c:v>10.244842006630341</c:v>
                </c:pt>
                <c:pt idx="66">
                  <c:v>10.046697410180352</c:v>
                </c:pt>
                <c:pt idx="67">
                  <c:v>9.8486373541064829</c:v>
                </c:pt>
                <c:pt idx="68">
                  <c:v>9.6506655488824507</c:v>
                </c:pt>
                <c:pt idx="69">
                  <c:v>9.4527858543346923</c:v>
                </c:pt>
                <c:pt idx="70">
                  <c:v>9.2550022843488051</c:v>
                </c:pt>
                <c:pt idx="71">
                  <c:v>9.0573190115908133</c:v>
                </c:pt>
                <c:pt idx="72">
                  <c:v>8.859740372226943</c:v>
                </c:pt>
                <c:pt idx="73">
                  <c:v>8.6622708706233968</c:v>
                </c:pt>
                <c:pt idx="74">
                  <c:v>8.4649151840045906</c:v>
                </c:pt>
                <c:pt idx="75">
                  <c:v>8.2676781670460251</c:v>
                </c:pt>
                <c:pt idx="76">
                  <c:v>8.0705648563774943</c:v>
                </c:pt>
                <c:pt idx="77">
                  <c:v>7.87358047496451</c:v>
                </c:pt>
                <c:pt idx="78">
                  <c:v>7.6767304363386</c:v>
                </c:pt>
                <c:pt idx="79">
                  <c:v>7.4800203486395116</c:v>
                </c:pt>
                <c:pt idx="80">
                  <c:v>7.2834560184289003</c:v>
                </c:pt>
                <c:pt idx="81">
                  <c:v>7.0870434542366132</c:v>
                </c:pt>
                <c:pt idx="82">
                  <c:v>6.8907888697877286</c:v>
                </c:pt>
                <c:pt idx="83">
                  <c:v>6.6946986868621714</c:v>
                </c:pt>
                <c:pt idx="84">
                  <c:v>6.4987795377298401</c:v>
                </c:pt>
                <c:pt idx="85">
                  <c:v>6.3030382670995087</c:v>
                </c:pt>
                <c:pt idx="86">
                  <c:v>6.1074819335180388</c:v>
                </c:pt>
                <c:pt idx="87">
                  <c:v>5.9121178101452188</c:v>
                </c:pt>
                <c:pt idx="88">
                  <c:v>5.716953384829818</c:v>
                </c:pt>
                <c:pt idx="89">
                  <c:v>5.521996359401891</c:v>
                </c:pt>
                <c:pt idx="90">
                  <c:v>5.3272546480943532</c:v>
                </c:pt>
                <c:pt idx="91">
                  <c:v>5.1327363749956856</c:v>
                </c:pt>
                <c:pt idx="92">
                  <c:v>4.9384498704353259</c:v>
                </c:pt>
                <c:pt idx="93">
                  <c:v>4.7444036661884796</c:v>
                </c:pt>
                <c:pt idx="94">
                  <c:v>4.5506064893900611</c:v>
                </c:pt>
                <c:pt idx="95">
                  <c:v>4.3570672550312999</c:v>
                </c:pt>
                <c:pt idx="96">
                  <c:v>4.1637950569130773</c:v>
                </c:pt>
                <c:pt idx="97">
                  <c:v>3.9707991569177814</c:v>
                </c:pt>
                <c:pt idx="98">
                  <c:v>3.7780889724584648</c:v>
                </c:pt>
                <c:pt idx="99">
                  <c:v>3.5856740619568237</c:v>
                </c:pt>
                <c:pt idx="100">
                  <c:v>3.3935641081944472</c:v>
                </c:pt>
                <c:pt idx="101">
                  <c:v>3.2017688993759097</c:v>
                </c:pt>
                <c:pt idx="102">
                  <c:v>3.0102983077414649</c:v>
                </c:pt>
                <c:pt idx="103">
                  <c:v>2.819162265555502</c:v>
                </c:pt>
                <c:pt idx="104">
                  <c:v>2.6283707382999371</c:v>
                </c:pt>
                <c:pt idx="105">
                  <c:v>2.43793369489677</c:v>
                </c:pt>
                <c:pt idx="106">
                  <c:v>2.2478610747821341</c:v>
                </c:pt>
                <c:pt idx="107">
                  <c:v>2.0581627516556003</c:v>
                </c:pt>
                <c:pt idx="108">
                  <c:v>1.8688484937301779</c:v>
                </c:pt>
                <c:pt idx="109">
                  <c:v>1.6799279203120108</c:v>
                </c:pt>
                <c:pt idx="110">
                  <c:v>1.4914104545437152</c:v>
                </c:pt>
                <c:pt idx="111">
                  <c:v>1.3033052721552965</c:v>
                </c:pt>
                <c:pt idx="112">
                  <c:v>1.1156212460751778</c:v>
                </c:pt>
                <c:pt idx="113">
                  <c:v>0.9283668867683138</c:v>
                </c:pt>
                <c:pt idx="114">
                  <c:v>0.74155027818505515</c:v>
                </c:pt>
                <c:pt idx="115">
                  <c:v>0.55517900922232433</c:v>
                </c:pt>
                <c:pt idx="116">
                  <c:v>0.36926010062539527</c:v>
                </c:pt>
                <c:pt idx="117">
                  <c:v>0.18379992727873029</c:v>
                </c:pt>
                <c:pt idx="118">
                  <c:v>-1.1958641247393239E-3</c:v>
                </c:pt>
                <c:pt idx="119">
                  <c:v>-0.18572244202574922</c:v>
                </c:pt>
                <c:pt idx="120">
                  <c:v>-0.36977588148868157</c:v>
                </c:pt>
                <c:pt idx="121">
                  <c:v>-0.55335326014623409</c:v>
                </c:pt>
                <c:pt idx="122">
                  <c:v>-0.73645275844982216</c:v>
                </c:pt>
                <c:pt idx="123">
                  <c:v>-0.91907376403130736</c:v>
                </c:pt>
                <c:pt idx="124">
                  <c:v>-1.1012169799241605</c:v>
                </c:pt>
                <c:pt idx="125">
                  <c:v>-1.2828845363364487</c:v>
                </c:pt>
                <c:pt idx="126">
                  <c:v>-1.4640801056040995</c:v>
                </c:pt>
                <c:pt idx="127">
                  <c:v>-1.6448090198899732</c:v>
                </c:pt>
                <c:pt idx="128">
                  <c:v>-1.8250783911296977</c:v>
                </c:pt>
                <c:pt idx="129">
                  <c:v>-2.0048972326507379</c:v>
                </c:pt>
                <c:pt idx="130">
                  <c:v>-2.1842765818284318</c:v>
                </c:pt>
                <c:pt idx="131">
                  <c:v>-2.3632296230701004</c:v>
                </c:pt>
                <c:pt idx="132">
                  <c:v>-2.541771810347075</c:v>
                </c:pt>
                <c:pt idx="133">
                  <c:v>-2.7199209884318218</c:v>
                </c:pt>
                <c:pt idx="134">
                  <c:v>-2.8976975119283246</c:v>
                </c:pt>
                <c:pt idx="135">
                  <c:v>-3.0751243611273198</c:v>
                </c:pt>
                <c:pt idx="136">
                  <c:v>-3.2522272536564563</c:v>
                </c:pt>
                <c:pt idx="137">
                  <c:v>-3.4290347508536358</c:v>
                </c:pt>
                <c:pt idx="138">
                  <c:v>-3.6055783577430516</c:v>
                </c:pt>
                <c:pt idx="139">
                  <c:v>-3.7818926154645589</c:v>
                </c:pt>
                <c:pt idx="140">
                  <c:v>-3.9580151849821172</c:v>
                </c:pt>
                <c:pt idx="141">
                  <c:v>-4.1339869208854942</c:v>
                </c:pt>
                <c:pt idx="142">
                  <c:v>-4.3098519340995747</c:v>
                </c:pt>
                <c:pt idx="143">
                  <c:v>-4.4856576423296524</c:v>
                </c:pt>
                <c:pt idx="144">
                  <c:v>-4.6614548070946622</c:v>
                </c:pt>
                <c:pt idx="145">
                  <c:v>-4.8372975562474725</c:v>
                </c:pt>
                <c:pt idx="146">
                  <c:v>-5.013243390932387</c:v>
                </c:pt>
                <c:pt idx="147">
                  <c:v>-5.1893531760041895</c:v>
                </c:pt>
                <c:pt idx="148">
                  <c:v>-5.3656911130200591</c:v>
                </c:pt>
                <c:pt idx="149">
                  <c:v>-5.5423246950151794</c:v>
                </c:pt>
                <c:pt idx="150">
                  <c:v>-5.719324642390907</c:v>
                </c:pt>
                <c:pt idx="151">
                  <c:v>-5.8967648193730664</c:v>
                </c:pt>
                <c:pt idx="152">
                  <c:v>-6.0747221306404207</c:v>
                </c:pt>
                <c:pt idx="153">
                  <c:v>-6.2532763978768244</c:v>
                </c:pt>
                <c:pt idx="154">
                  <c:v>-6.4325102161668868</c:v>
                </c:pt>
                <c:pt idx="155">
                  <c:v>-6.6125087903240249</c:v>
                </c:pt>
                <c:pt idx="156">
                  <c:v>-6.7933597514231927</c:v>
                </c:pt>
                <c:pt idx="157">
                  <c:v>-6.9751529539912402</c:v>
                </c:pt>
                <c:pt idx="158">
                  <c:v>-7.1579802544960458</c:v>
                </c:pt>
                <c:pt idx="159">
                  <c:v>-7.3419352719646138</c:v>
                </c:pt>
                <c:pt idx="160">
                  <c:v>-7.5271131317403759</c:v>
                </c:pt>
                <c:pt idx="161">
                  <c:v>-7.7136101935780239</c:v>
                </c:pt>
                <c:pt idx="162">
                  <c:v>-7.9015237654419472</c:v>
                </c:pt>
                <c:pt idx="163">
                  <c:v>-8.0909518045442201</c:v>
                </c:pt>
                <c:pt idx="164">
                  <c:v>-8.2819926073112455</c:v>
                </c:pt>
                <c:pt idx="165">
                  <c:v>-8.4747444901078648</c:v>
                </c:pt>
                <c:pt idx="166">
                  <c:v>-8.6693054626744352</c:v>
                </c:pt>
                <c:pt idx="167">
                  <c:v>-8.8657728963399069</c:v>
                </c:pt>
                <c:pt idx="168">
                  <c:v>-9.0642431891616777</c:v>
                </c:pt>
                <c:pt idx="169">
                  <c:v>-9.2648114302124078</c:v>
                </c:pt>
                <c:pt idx="170">
                  <c:v>-9.4675710652766849</c:v>
                </c:pt>
                <c:pt idx="171">
                  <c:v>-9.672613566247751</c:v>
                </c:pt>
                <c:pt idx="172">
                  <c:v>-9.8800281065061188</c:v>
                </c:pt>
                <c:pt idx="173">
                  <c:v>-10.089901244543665</c:v>
                </c:pt>
                <c:pt idx="174">
                  <c:v>-10.302316618040017</c:v>
                </c:pt>
                <c:pt idx="175">
                  <c:v>-10.517354650527011</c:v>
                </c:pt>
                <c:pt idx="176">
                  <c:v>-10.735092272677022</c:v>
                </c:pt>
                <c:pt idx="177">
                  <c:v>-10.955602660131911</c:v>
                </c:pt>
                <c:pt idx="178">
                  <c:v>-11.178954989643895</c:v>
                </c:pt>
                <c:pt idx="179">
                  <c:v>-11.405214215140502</c:v>
                </c:pt>
                <c:pt idx="180">
                  <c:v>-11.634440865145049</c:v>
                </c:pt>
                <c:pt idx="181">
                  <c:v>-11.866690862787713</c:v>
                </c:pt>
                <c:pt idx="182">
                  <c:v>-12.102015369436712</c:v>
                </c:pt>
                <c:pt idx="183">
                  <c:v>-12.340460652758747</c:v>
                </c:pt>
                <c:pt idx="184">
                  <c:v>-12.582067979794564</c:v>
                </c:pt>
                <c:pt idx="185">
                  <c:v>-12.826873535406405</c:v>
                </c:pt>
                <c:pt idx="186">
                  <c:v>-13.074908366222493</c:v>
                </c:pt>
                <c:pt idx="187">
                  <c:v>-13.326198349979322</c:v>
                </c:pt>
                <c:pt idx="188">
                  <c:v>-13.580764189938229</c:v>
                </c:pt>
                <c:pt idx="189">
                  <c:v>-13.838621433840078</c:v>
                </c:pt>
                <c:pt idx="190">
                  <c:v>-14.099780516659507</c:v>
                </c:pt>
                <c:pt idx="191">
                  <c:v>-14.364246826231255</c:v>
                </c:pt>
                <c:pt idx="192">
                  <c:v>-14.632020790649428</c:v>
                </c:pt>
                <c:pt idx="193">
                  <c:v>-14.90309798618414</c:v>
                </c:pt>
                <c:pt idx="194">
                  <c:v>-15.177469264325241</c:v>
                </c:pt>
                <c:pt idx="195">
                  <c:v>-15.45512089644933</c:v>
                </c:pt>
                <c:pt idx="196">
                  <c:v>-15.736034734511088</c:v>
                </c:pt>
                <c:pt idx="197">
                  <c:v>-16.020188386087273</c:v>
                </c:pt>
                <c:pt idx="198">
                  <c:v>-16.307555402056618</c:v>
                </c:pt>
                <c:pt idx="199">
                  <c:v>-16.598105475163337</c:v>
                </c:pt>
                <c:pt idx="200">
                  <c:v>-16.891804647710181</c:v>
                </c:pt>
                <c:pt idx="201">
                  <c:v>-17.188615526633569</c:v>
                </c:pt>
                <c:pt idx="202">
                  <c:v>-17.488497504247263</c:v>
                </c:pt>
                <c:pt idx="203">
                  <c:v>-17.79140698298491</c:v>
                </c:pt>
                <c:pt idx="204">
                  <c:v>-18.09729760253343</c:v>
                </c:pt>
                <c:pt idx="205">
                  <c:v>-18.406120467826931</c:v>
                </c:pt>
                <c:pt idx="206">
                  <c:v>-18.717824376453528</c:v>
                </c:pt>
                <c:pt idx="207">
                  <c:v>-19.032356044124729</c:v>
                </c:pt>
                <c:pt idx="208">
                  <c:v>-19.349660326959388</c:v>
                </c:pt>
                <c:pt idx="209">
                  <c:v>-19.66968043944448</c:v>
                </c:pt>
                <c:pt idx="210">
                  <c:v>-19.992358167041676</c:v>
                </c:pt>
                <c:pt idx="211">
                  <c:v>-20.317634072529994</c:v>
                </c:pt>
                <c:pt idx="212">
                  <c:v>-20.645447695281138</c:v>
                </c:pt>
                <c:pt idx="213">
                  <c:v>-20.975737742782336</c:v>
                </c:pt>
                <c:pt idx="214">
                  <c:v>-21.308442273829332</c:v>
                </c:pt>
                <c:pt idx="215">
                  <c:v>-21.643498872919867</c:v>
                </c:pt>
                <c:pt idx="216">
                  <c:v>-21.980844815476427</c:v>
                </c:pt>
                <c:pt idx="217">
                  <c:v>-22.32041722363034</c:v>
                </c:pt>
                <c:pt idx="218">
                  <c:v>-22.662153212381256</c:v>
                </c:pt>
                <c:pt idx="219">
                  <c:v>-23.005990026036311</c:v>
                </c:pt>
                <c:pt idx="220">
                  <c:v>-23.351865164906318</c:v>
                </c:pt>
                <c:pt idx="221">
                  <c:v>-23.699716502308487</c:v>
                </c:pt>
                <c:pt idx="222">
                  <c:v>-24.049482391984711</c:v>
                </c:pt>
                <c:pt idx="223">
                  <c:v>-24.401101766102677</c:v>
                </c:pt>
                <c:pt idx="224">
                  <c:v>-24.754514224054351</c:v>
                </c:pt>
                <c:pt idx="225">
                  <c:v>-25.109660112307211</c:v>
                </c:pt>
                <c:pt idx="226">
                  <c:v>-25.466480595599755</c:v>
                </c:pt>
                <c:pt idx="227">
                  <c:v>-25.82491771980132</c:v>
                </c:pt>
                <c:pt idx="228">
                  <c:v>-26.184914466779318</c:v>
                </c:pt>
                <c:pt idx="229">
                  <c:v>-26.546414801634963</c:v>
                </c:pt>
                <c:pt idx="230">
                  <c:v>-26.909363712680982</c:v>
                </c:pt>
                <c:pt idx="231">
                  <c:v>-27.273707244544191</c:v>
                </c:pt>
                <c:pt idx="232">
                  <c:v>-27.63939252477757</c:v>
                </c:pt>
                <c:pt idx="233">
                  <c:v>-28.006367784371335</c:v>
                </c:pt>
                <c:pt idx="234">
                  <c:v>-28.374582372544758</c:v>
                </c:pt>
                <c:pt idx="235">
                  <c:v>-28.743986766199463</c:v>
                </c:pt>
                <c:pt idx="236">
                  <c:v>-29.114532574404656</c:v>
                </c:pt>
                <c:pt idx="237">
                  <c:v>-29.486172538274992</c:v>
                </c:pt>
                <c:pt idx="238">
                  <c:v>-29.858860526592022</c:v>
                </c:pt>
                <c:pt idx="239">
                  <c:v>-30.232551527505006</c:v>
                </c:pt>
                <c:pt idx="240">
                  <c:v>-30.607201636633651</c:v>
                </c:pt>
                <c:pt idx="241">
                  <c:v>-30.982768041880703</c:v>
                </c:pt>
                <c:pt idx="242">
                  <c:v>-31.359209005247362</c:v>
                </c:pt>
                <c:pt idx="243">
                  <c:v>-31.736483841925729</c:v>
                </c:pt>
                <c:pt idx="244">
                  <c:v>-32.114552896931116</c:v>
                </c:pt>
                <c:pt idx="245">
                  <c:v>-32.493377519516152</c:v>
                </c:pt>
                <c:pt idx="246">
                  <c:v>-32.872920035595605</c:v>
                </c:pt>
                <c:pt idx="247">
                  <c:v>-33.253143718394774</c:v>
                </c:pt>
                <c:pt idx="248">
                  <c:v>-33.634012757516544</c:v>
                </c:pt>
                <c:pt idx="249">
                  <c:v>-34.015492226610299</c:v>
                </c:pt>
                <c:pt idx="250">
                  <c:v>-34.397548049809934</c:v>
                </c:pt>
                <c:pt idx="251">
                  <c:v>-34.780146967092911</c:v>
                </c:pt>
                <c:pt idx="252">
                  <c:v>-35.163256498701941</c:v>
                </c:pt>
                <c:pt idx="253">
                  <c:v>-35.546844908754743</c:v>
                </c:pt>
                <c:pt idx="254">
                  <c:v>-35.930881168159061</c:v>
                </c:pt>
                <c:pt idx="255">
                  <c:v>-36.315334916934262</c:v>
                </c:pt>
                <c:pt idx="256">
                  <c:v>-36.700176426034133</c:v>
                </c:pt>
                <c:pt idx="257">
                  <c:v>-37.085376558753623</c:v>
                </c:pt>
                <c:pt idx="258">
                  <c:v>-37.470906731793065</c:v>
                </c:pt>
                <c:pt idx="259">
                  <c:v>-37.856738876044368</c:v>
                </c:pt>
                <c:pt idx="260">
                  <c:v>-38.242845397158163</c:v>
                </c:pt>
                <c:pt idx="261">
                  <c:v>-38.62919913593921</c:v>
                </c:pt>
                <c:pt idx="262">
                  <c:v>-39.015773328615722</c:v>
                </c:pt>
                <c:pt idx="263">
                  <c:v>-39.402541567018773</c:v>
                </c:pt>
                <c:pt idx="264">
                  <c:v>-39.789477758704393</c:v>
                </c:pt>
                <c:pt idx="265">
                  <c:v>-40.176556087044474</c:v>
                </c:pt>
                <c:pt idx="266">
                  <c:v>-40.563750971311862</c:v>
                </c:pt>
                <c:pt idx="267">
                  <c:v>-40.951037026777335</c:v>
                </c:pt>
                <c:pt idx="268">
                  <c:v>-41.338389024836424</c:v>
                </c:pt>
                <c:pt idx="269">
                  <c:v>-41.725781853180059</c:v>
                </c:pt>
                <c:pt idx="270">
                  <c:v>-42.113190476021657</c:v>
                </c:pt>
                <c:pt idx="271">
                  <c:v>-42.500589894392206</c:v>
                </c:pt>
                <c:pt idx="272">
                  <c:v>-42.887955106513331</c:v>
                </c:pt>
                <c:pt idx="273">
                  <c:v>-43.275261068258935</c:v>
                </c:pt>
                <c:pt idx="274">
                  <c:v>-43.662482653715827</c:v>
                </c:pt>
                <c:pt idx="275">
                  <c:v>-44.049594615855</c:v>
                </c:pt>
                <c:pt idx="276">
                  <c:v>-44.43657154732464</c:v>
                </c:pt>
                <c:pt idx="277">
                  <c:v>-44.82338784138075</c:v>
                </c:pt>
                <c:pt idx="278">
                  <c:v>-45.210017652970592</c:v>
                </c:pt>
                <c:pt idx="279">
                  <c:v>-45.596434859988136</c:v>
                </c:pt>
                <c:pt idx="280">
                  <c:v>-45.982613024723911</c:v>
                </c:pt>
                <c:pt idx="281">
                  <c:v>-46.368525355534345</c:v>
                </c:pt>
                <c:pt idx="282">
                  <c:v>-46.754144668760667</c:v>
                </c:pt>
                <c:pt idx="283">
                  <c:v>-47.139443350930989</c:v>
                </c:pt>
                <c:pt idx="284">
                  <c:v>-47.524393321284364</c:v>
                </c:pt>
                <c:pt idx="285">
                  <c:v>-47.908965994661692</c:v>
                </c:pt>
                <c:pt idx="286">
                  <c:v>-48.293132244810607</c:v>
                </c:pt>
                <c:pt idx="287">
                  <c:v>-48.676862368163363</c:v>
                </c:pt>
                <c:pt idx="288">
                  <c:v>-49.060126048145904</c:v>
                </c:pt>
                <c:pt idx="289">
                  <c:v>-49.442892320088134</c:v>
                </c:pt>
                <c:pt idx="290">
                  <c:v>-49.825129536810962</c:v>
                </c:pt>
                <c:pt idx="291">
                  <c:v>-50.206805334967314</c:v>
                </c:pt>
                <c:pt idx="292">
                  <c:v>-50.587886602233723</c:v>
                </c:pt>
                <c:pt idx="293">
                  <c:v>-50.96833944543971</c:v>
                </c:pt>
                <c:pt idx="294">
                  <c:v>-51.348129159743401</c:v>
                </c:pt>
                <c:pt idx="295">
                  <c:v>-51.727220198960595</c:v>
                </c:pt>
                <c:pt idx="296">
                  <c:v>-52.105576147163639</c:v>
                </c:pt>
                <c:pt idx="297">
                  <c:v>-52.483159691674224</c:v>
                </c:pt>
                <c:pt idx="298">
                  <c:v>-52.859932597575394</c:v>
                </c:pt>
                <c:pt idx="299">
                  <c:v>-53.235855683880054</c:v>
                </c:pt>
                <c:pt idx="300">
                  <c:v>-53.610888801490006</c:v>
                </c:pt>
                <c:pt idx="301">
                  <c:v>-53.984990813091343</c:v>
                </c:pt>
                <c:pt idx="302">
                  <c:v>-54.358119575126295</c:v>
                </c:pt>
                <c:pt idx="303">
                  <c:v>-54.730231921988597</c:v>
                </c:pt>
                <c:pt idx="304">
                  <c:v>-55.101283652586631</c:v>
                </c:pt>
                <c:pt idx="305">
                  <c:v>-55.471229519416582</c:v>
                </c:pt>
                <c:pt idx="306">
                  <c:v>-55.840023220283257</c:v>
                </c:pt>
                <c:pt idx="307">
                  <c:v>-56.20761739280168</c:v>
                </c:pt>
                <c:pt idx="308">
                  <c:v>-56.573963611800899</c:v>
                </c:pt>
                <c:pt idx="309">
                  <c:v>-56.939012389743255</c:v>
                </c:pt>
                <c:pt idx="310">
                  <c:v>-57.302713180254031</c:v>
                </c:pt>
                <c:pt idx="311">
                  <c:v>-57.665014384842777</c:v>
                </c:pt>
                <c:pt idx="312">
                  <c:v>-58.025863362875342</c:v>
                </c:pt>
                <c:pt idx="313">
                  <c:v>-58.385206444826622</c:v>
                </c:pt>
                <c:pt idx="314">
                  <c:v>-58.742988948824653</c:v>
                </c:pt>
                <c:pt idx="315">
                  <c:v>-59.099155200455549</c:v>
                </c:pt>
                <c:pt idx="316">
                  <c:v>-59.453648555767572</c:v>
                </c:pt>
                <c:pt idx="317">
                  <c:v>-59.806411427370733</c:v>
                </c:pt>
                <c:pt idx="318">
                  <c:v>-60.15738531348272</c:v>
                </c:pt>
                <c:pt idx="319">
                  <c:v>-60.506510829725144</c:v>
                </c:pt>
                <c:pt idx="320">
                  <c:v>-60.853727743419341</c:v>
                </c:pt>
                <c:pt idx="321">
                  <c:v>-61.198975010074015</c:v>
                </c:pt>
                <c:pt idx="322">
                  <c:v>-61.542190811698454</c:v>
                </c:pt>
                <c:pt idx="323">
                  <c:v>-61.883312596508937</c:v>
                </c:pt>
                <c:pt idx="324">
                  <c:v>-62.22227711952943</c:v>
                </c:pt>
                <c:pt idx="325">
                  <c:v>-62.559020483517394</c:v>
                </c:pt>
                <c:pt idx="326">
                  <c:v>-62.893478179573144</c:v>
                </c:pt>
                <c:pt idx="327">
                  <c:v>-63.225585126719174</c:v>
                </c:pt>
                <c:pt idx="328">
                  <c:v>-63.555275709655945</c:v>
                </c:pt>
                <c:pt idx="329">
                  <c:v>-63.882483813830333</c:v>
                </c:pt>
                <c:pt idx="330">
                  <c:v>-64.207142856872082</c:v>
                </c:pt>
                <c:pt idx="331">
                  <c:v>-64.529185815381723</c:v>
                </c:pt>
                <c:pt idx="332">
                  <c:v>-64.848545245976183</c:v>
                </c:pt>
                <c:pt idx="333">
                  <c:v>-65.165153299428596</c:v>
                </c:pt>
                <c:pt idx="334">
                  <c:v>-65.478941726665013</c:v>
                </c:pt>
                <c:pt idx="335">
                  <c:v>-65.789841875314863</c:v>
                </c:pt>
                <c:pt idx="336">
                  <c:v>-66.097784675444572</c:v>
                </c:pt>
                <c:pt idx="337">
                  <c:v>-66.402700613041958</c:v>
                </c:pt>
                <c:pt idx="338">
                  <c:v>-66.704519689756438</c:v>
                </c:pt>
                <c:pt idx="339">
                  <c:v>-67.003171367342759</c:v>
                </c:pt>
                <c:pt idx="340">
                  <c:v>-67.298584495196522</c:v>
                </c:pt>
                <c:pt idx="341">
                  <c:v>-67.590687219313168</c:v>
                </c:pt>
                <c:pt idx="342">
                  <c:v>-67.87940687094347</c:v>
                </c:pt>
                <c:pt idx="343">
                  <c:v>-68.164669833154562</c:v>
                </c:pt>
                <c:pt idx="344">
                  <c:v>-68.446401383441341</c:v>
                </c:pt>
                <c:pt idx="345">
                  <c:v>-68.724525510457511</c:v>
                </c:pt>
                <c:pt idx="346">
                  <c:v>-68.998964702849079</c:v>
                </c:pt>
                <c:pt idx="347">
                  <c:v>-69.269639708075601</c:v>
                </c:pt>
                <c:pt idx="348">
                  <c:v>-69.53646925898758</c:v>
                </c:pt>
                <c:pt idx="349">
                  <c:v>-69.799369765785627</c:v>
                </c:pt>
                <c:pt idx="350">
                  <c:v>-70.058254970823612</c:v>
                </c:pt>
                <c:pt idx="351">
                  <c:v>-70.313035563512514</c:v>
                </c:pt>
                <c:pt idx="352">
                  <c:v>-70.563618752344766</c:v>
                </c:pt>
                <c:pt idx="353">
                  <c:v>-70.809907790767227</c:v>
                </c:pt>
                <c:pt idx="354">
                  <c:v>-71.051801453290352</c:v>
                </c:pt>
                <c:pt idx="355">
                  <c:v>-71.289193457809617</c:v>
                </c:pt>
                <c:pt idx="356">
                  <c:v>-71.521971829638119</c:v>
                </c:pt>
                <c:pt idx="357">
                  <c:v>-71.750018202175198</c:v>
                </c:pt>
                <c:pt idx="358">
                  <c:v>-71.973207048473071</c:v>
                </c:pt>
                <c:pt idx="359">
                  <c:v>-72.191404837179761</c:v>
                </c:pt>
                <c:pt idx="360">
                  <c:v>-72.404469105428703</c:v>
                </c:pt>
                <c:pt idx="361">
                  <c:v>-72.612247440183921</c:v>
                </c:pt>
                <c:pt idx="362">
                  <c:v>-72.814576358324359</c:v>
                </c:pt>
                <c:pt idx="363">
                  <c:v>-73.011280074329051</c:v>
                </c:pt>
                <c:pt idx="364">
                  <c:v>-73.202169142787298</c:v>
                </c:pt>
                <c:pt idx="365">
                  <c:v>-73.387038961076286</c:v>
                </c:pt>
                <c:pt idx="366">
                  <c:v>-73.565668115386259</c:v>
                </c:pt>
                <c:pt idx="367">
                  <c:v>-73.737816550814159</c:v>
                </c:pt>
                <c:pt idx="368">
                  <c:v>-73.903223543445719</c:v>
                </c:pt>
                <c:pt idx="369">
                  <c:v>-74.061605449194985</c:v>
                </c:pt>
                <c:pt idx="370">
                  <c:v>-74.212653200646258</c:v>
                </c:pt>
                <c:pt idx="371">
                  <c:v>-74.356029519268503</c:v>
                </c:pt>
                <c:pt idx="372">
                  <c:v>-74.491365806179928</c:v>
                </c:pt>
                <c:pt idx="373">
                  <c:v>-74.618258670254605</c:v>
                </c:pt>
                <c:pt idx="374">
                  <c:v>-74.736266047997674</c:v>
                </c:pt>
                <c:pt idx="375">
                  <c:v>-74.844902865641615</c:v>
                </c:pt>
                <c:pt idx="376">
                  <c:v>-74.943636191008665</c:v>
                </c:pt>
                <c:pt idx="377">
                  <c:v>-75.031879821906188</c:v>
                </c:pt>
                <c:pt idx="378">
                  <c:v>-75.108988260957076</c:v>
                </c:pt>
                <c:pt idx="379">
                  <c:v>-75.17425003667185</c:v>
                </c:pt>
                <c:pt idx="380">
                  <c:v>-75.226880351847669</c:v>
                </c:pt>
                <c:pt idx="381">
                  <c:v>-75.26601308045143</c:v>
                </c:pt>
                <c:pt idx="382">
                  <c:v>-75.290692204897283</c:v>
                </c:pt>
                <c:pt idx="383">
                  <c:v>-75.299862906309173</c:v>
                </c:pt>
                <c:pt idx="384">
                  <c:v>-75.29236272202327</c:v>
                </c:pt>
                <c:pt idx="385">
                  <c:v>-75.266913517831341</c:v>
                </c:pt>
                <c:pt idx="386">
                  <c:v>-75.22211556988924</c:v>
                </c:pt>
                <c:pt idx="387">
                  <c:v>-75.15644594844764</c:v>
                </c:pt>
                <c:pt idx="388">
                  <c:v>-75.068264866011404</c:v>
                </c:pt>
                <c:pt idx="389">
                  <c:v>-74.955836064672255</c:v>
                </c:pt>
                <c:pt idx="390">
                  <c:v>-74.817371277137738</c:v>
                </c:pt>
                <c:pt idx="391">
                  <c:v>-74.651115289269669</c:v>
                </c:pt>
                <c:pt idx="392">
                  <c:v>-74.455498723790981</c:v>
                </c:pt>
                <c:pt idx="393">
                  <c:v>-74.229402711504221</c:v>
                </c:pt>
                <c:pt idx="394">
                  <c:v>-73.972606264632091</c:v>
                </c:pt>
                <c:pt idx="395">
                  <c:v>-73.686526355318321</c:v>
                </c:pt>
                <c:pt idx="396">
                  <c:v>-73.375410875656371</c:v>
                </c:pt>
                <c:pt idx="397">
                  <c:v>-73.048186473270846</c:v>
                </c:pt>
                <c:pt idx="398">
                  <c:v>-72.721126237916621</c:v>
                </c:pt>
                <c:pt idx="399">
                  <c:v>-72.421202776411178</c:v>
                </c:pt>
                <c:pt idx="400">
                  <c:v>-72.189093419724813</c:v>
                </c:pt>
                <c:pt idx="401">
                  <c:v>-72.079073861071066</c:v>
                </c:pt>
                <c:pt idx="402">
                  <c:v>-72.151458658192055</c:v>
                </c:pt>
                <c:pt idx="403">
                  <c:v>-72.455394648716975</c:v>
                </c:pt>
                <c:pt idx="404">
                  <c:v>-73.008646420319181</c:v>
                </c:pt>
                <c:pt idx="405">
                  <c:v>-73.789021165652372</c:v>
                </c:pt>
                <c:pt idx="406">
                  <c:v>-74.745003051785901</c:v>
                </c:pt>
                <c:pt idx="407">
                  <c:v>-75.816313556686254</c:v>
                </c:pt>
                <c:pt idx="408">
                  <c:v>-76.950111146205728</c:v>
                </c:pt>
                <c:pt idx="409">
                  <c:v>-78.107463003652924</c:v>
                </c:pt>
                <c:pt idx="410">
                  <c:v>-79.262877595811844</c:v>
                </c:pt>
                <c:pt idx="411">
                  <c:v>-80.401155594276076</c:v>
                </c:pt>
                <c:pt idx="412">
                  <c:v>-81.514088510764751</c:v>
                </c:pt>
                <c:pt idx="413">
                  <c:v>-82.597889796564914</c:v>
                </c:pt>
                <c:pt idx="414">
                  <c:v>-83.651434386258188</c:v>
                </c:pt>
                <c:pt idx="415">
                  <c:v>-84.675128751100942</c:v>
                </c:pt>
                <c:pt idx="416">
                  <c:v>-85.670212386497738</c:v>
                </c:pt>
                <c:pt idx="417">
                  <c:v>-86.638336660491305</c:v>
                </c:pt>
                <c:pt idx="418">
                  <c:v>-87.581316294581768</c:v>
                </c:pt>
                <c:pt idx="419">
                  <c:v>-88.500986390861272</c:v>
                </c:pt>
                <c:pt idx="420">
                  <c:v>-89.399123267138918</c:v>
                </c:pt>
                <c:pt idx="421">
                  <c:v>-90.277403501740963</c:v>
                </c:pt>
                <c:pt idx="422">
                  <c:v>-91.13738559621271</c:v>
                </c:pt>
                <c:pt idx="423">
                  <c:v>-91.980504792857275</c:v>
                </c:pt>
                <c:pt idx="424">
                  <c:v>-92.808075320414247</c:v>
                </c:pt>
                <c:pt idx="425">
                  <c:v>-93.621296617316318</c:v>
                </c:pt>
                <c:pt idx="426">
                  <c:v>-94.42126146967405</c:v>
                </c:pt>
                <c:pt idx="427">
                  <c:v>-95.208964847962093</c:v>
                </c:pt>
                <c:pt idx="428">
                  <c:v>-95.985312743001117</c:v>
                </c:pt>
                <c:pt idx="429">
                  <c:v>-96.751130616182351</c:v>
                </c:pt>
                <c:pt idx="430">
                  <c:v>-97.507171268945655</c:v>
                </c:pt>
                <c:pt idx="431">
                  <c:v>-98.254122050075097</c:v>
                </c:pt>
                <c:pt idx="432">
                  <c:v>-98.992611385751644</c:v>
                </c:pt>
                <c:pt idx="433">
                  <c:v>-99.723214654718859</c:v>
                </c:pt>
                <c:pt idx="434">
                  <c:v>-100.44645945058909</c:v>
                </c:pt>
                <c:pt idx="435">
                  <c:v>-101.16283028228921</c:v>
                </c:pt>
                <c:pt idx="436">
                  <c:v>-101.87277276625193</c:v>
                </c:pt>
                <c:pt idx="437">
                  <c:v>-102.57669736290632</c:v>
                </c:pt>
                <c:pt idx="438">
                  <c:v>-103.2749827070006</c:v>
                </c:pt>
                <c:pt idx="439">
                  <c:v>-103.96797857729641</c:v>
                </c:pt>
                <c:pt idx="440">
                  <c:v>-104.65600854683723</c:v>
                </c:pt>
                <c:pt idx="441">
                  <c:v>-105.33937235068072</c:v>
                </c:pt>
                <c:pt idx="442">
                  <c:v>-106.01834800386183</c:v>
                </c:pt>
                <c:pt idx="443">
                  <c:v>-106.69319369856865</c:v>
                </c:pt>
                <c:pt idx="444">
                  <c:v>-107.36414950606743</c:v>
                </c:pt>
                <c:pt idx="445">
                  <c:v>-108.0314389058357</c:v>
                </c:pt>
                <c:pt idx="446">
                  <c:v>-108.69527016162918</c:v>
                </c:pt>
                <c:pt idx="447">
                  <c:v>-109.35583756180372</c:v>
                </c:pt>
                <c:pt idx="448">
                  <c:v>-110.01332253909423</c:v>
                </c:pt>
                <c:pt idx="449">
                  <c:v>-110.66789468320279</c:v>
                </c:pt>
                <c:pt idx="450">
                  <c:v>-111.31971265793014</c:v>
                </c:pt>
                <c:pt idx="451">
                  <c:v>-111.96892503316732</c:v>
                </c:pt>
                <c:pt idx="452">
                  <c:v>-112.61567104083551</c:v>
                </c:pt>
                <c:pt idx="453">
                  <c:v>-113.26008126277962</c:v>
                </c:pt>
                <c:pt idx="454">
                  <c:v>-113.90227825768534</c:v>
                </c:pt>
                <c:pt idx="455">
                  <c:v>-114.54237713326438</c:v>
                </c:pt>
                <c:pt idx="456">
                  <c:v>-115.18048606923472</c:v>
                </c:pt>
                <c:pt idx="457">
                  <c:v>-115.81670679599654</c:v>
                </c:pt>
                <c:pt idx="458">
                  <c:v>-116.45113503335045</c:v>
                </c:pt>
                <c:pt idx="459">
                  <c:v>-117.08386089312094</c:v>
                </c:pt>
                <c:pt idx="460">
                  <c:v>-117.71496924912724</c:v>
                </c:pt>
                <c:pt idx="461">
                  <c:v>-118.34454007756521</c:v>
                </c:pt>
                <c:pt idx="462">
                  <c:v>-118.97264877054036</c:v>
                </c:pt>
                <c:pt idx="463">
                  <c:v>-119.59936642519757</c:v>
                </c:pt>
                <c:pt idx="464">
                  <c:v>-120.22476011063888</c:v>
                </c:pt>
                <c:pt idx="465">
                  <c:v>-120.84889311459429</c:v>
                </c:pt>
                <c:pt idx="466">
                  <c:v>-121.4718251716105</c:v>
                </c:pt>
                <c:pt idx="467">
                  <c:v>-122.09361267434112</c:v>
                </c:pt>
                <c:pt idx="468">
                  <c:v>-122.71430886936901</c:v>
                </c:pt>
                <c:pt idx="469">
                  <c:v>-123.33396403884632</c:v>
                </c:pt>
                <c:pt idx="470">
                  <c:v>-123.95262566911377</c:v>
                </c:pt>
                <c:pt idx="471">
                  <c:v>-124.57033860735268</c:v>
                </c:pt>
                <c:pt idx="472">
                  <c:v>-125.18714520721471</c:v>
                </c:pt>
                <c:pt idx="473">
                  <c:v>-125.80308546429592</c:v>
                </c:pt>
                <c:pt idx="474">
                  <c:v>-126.41819714223325</c:v>
                </c:pt>
                <c:pt idx="475">
                  <c:v>-127.03251589013385</c:v>
                </c:pt>
                <c:pt idx="476">
                  <c:v>-127.64607535198198</c:v>
                </c:pt>
                <c:pt idx="477">
                  <c:v>-128.25890726861135</c:v>
                </c:pt>
                <c:pt idx="478">
                  <c:v>-128.87104157277733</c:v>
                </c:pt>
                <c:pt idx="479">
                  <c:v>-129.48250647781688</c:v>
                </c:pt>
                <c:pt idx="480">
                  <c:v>-130.09332856034351</c:v>
                </c:pt>
                <c:pt idx="481">
                  <c:v>-130.70353283738132</c:v>
                </c:pt>
                <c:pt idx="482">
                  <c:v>-131.31314283831489</c:v>
                </c:pt>
                <c:pt idx="483">
                  <c:v>-131.92218067199144</c:v>
                </c:pt>
                <c:pt idx="484">
                  <c:v>-132.53066708929299</c:v>
                </c:pt>
                <c:pt idx="485">
                  <c:v>-133.13862154146102</c:v>
                </c:pt>
                <c:pt idx="486">
                  <c:v>-133.74606223443925</c:v>
                </c:pt>
                <c:pt idx="487">
                  <c:v>-134.35300617947757</c:v>
                </c:pt>
                <c:pt idx="488">
                  <c:v>-134.95946924021484</c:v>
                </c:pt>
                <c:pt idx="489">
                  <c:v>-135.56546617645188</c:v>
                </c:pt>
                <c:pt idx="490">
                  <c:v>-136.17101068479877</c:v>
                </c:pt>
                <c:pt idx="491">
                  <c:v>-136.77611543637164</c:v>
                </c:pt>
                <c:pt idx="492">
                  <c:v>-137.38079211170063</c:v>
                </c:pt>
                <c:pt idx="493">
                  <c:v>-137.98505143299519</c:v>
                </c:pt>
                <c:pt idx="494">
                  <c:v>-138.58890319390548</c:v>
                </c:pt>
                <c:pt idx="495">
                  <c:v>-139.19235628690598</c:v>
                </c:pt>
                <c:pt idx="496">
                  <c:v>-139.79541872841997</c:v>
                </c:pt>
                <c:pt idx="497">
                  <c:v>-140.39809768179214</c:v>
                </c:pt>
                <c:pt idx="498">
                  <c:v>-141.00039947821207</c:v>
                </c:pt>
                <c:pt idx="499">
                  <c:v>-141.60232963568328</c:v>
                </c:pt>
                <c:pt idx="500">
                  <c:v>-142.20389287612417</c:v>
                </c:pt>
                <c:pt idx="501">
                  <c:v>-142.80509314068479</c:v>
                </c:pt>
                <c:pt idx="502">
                  <c:v>-143.40593360335652</c:v>
                </c:pt>
                <c:pt idx="503">
                  <c:v>-144.00641668294566</c:v>
                </c:pt>
                <c:pt idx="504">
                  <c:v>-144.60654405348069</c:v>
                </c:pt>
                <c:pt idx="505">
                  <c:v>-145.20631665311757</c:v>
                </c:pt>
                <c:pt idx="506">
                  <c:v>-145.80573469160524</c:v>
                </c:pt>
                <c:pt idx="507">
                  <c:v>-146.40479765636792</c:v>
                </c:pt>
                <c:pt idx="508">
                  <c:v>-147.00350431726514</c:v>
                </c:pt>
                <c:pt idx="509">
                  <c:v>-147.60185273007971</c:v>
                </c:pt>
                <c:pt idx="510">
                  <c:v>-148.19984023878925</c:v>
                </c:pt>
                <c:pt idx="511">
                  <c:v>-148.79746347667424</c:v>
                </c:pt>
                <c:pt idx="512">
                  <c:v>-149.39471836631293</c:v>
                </c:pt>
                <c:pt idx="513">
                  <c:v>-149.99160011851504</c:v>
                </c:pt>
                <c:pt idx="514">
                  <c:v>-150.58810323024579</c:v>
                </c:pt>
                <c:pt idx="515">
                  <c:v>-151.18422148159306</c:v>
                </c:pt>
                <c:pt idx="516">
                  <c:v>-151.7799479318308</c:v>
                </c:pt>
                <c:pt idx="517">
                  <c:v>-152.3752749146328</c:v>
                </c:pt>
                <c:pt idx="518">
                  <c:v>-152.97019403249362</c:v>
                </c:pt>
                <c:pt idx="519">
                  <c:v>-153.56469615041564</c:v>
                </c:pt>
                <c:pt idx="520">
                  <c:v>-154.15877138892287</c:v>
                </c:pt>
                <c:pt idx="521">
                  <c:v>-154.75240911646719</c:v>
                </c:pt>
                <c:pt idx="522">
                  <c:v>-155.34559794129248</c:v>
                </c:pt>
                <c:pt idx="523">
                  <c:v>-155.93832570283089</c:v>
                </c:pt>
                <c:pt idx="524">
                  <c:v>-156.53057946270582</c:v>
                </c:pt>
                <c:pt idx="525">
                  <c:v>-157.12234549542299</c:v>
                </c:pt>
                <c:pt idx="526">
                  <c:v>-157.71360927883359</c:v>
                </c:pt>
                <c:pt idx="527">
                  <c:v>-158.30435548446476</c:v>
                </c:pt>
                <c:pt idx="528">
                  <c:v>-158.89456796780976</c:v>
                </c:pt>
                <c:pt idx="529">
                  <c:v>-159.48422975868687</c:v>
                </c:pt>
                <c:pt idx="530">
                  <c:v>-160.07332305177104</c:v>
                </c:pt>
                <c:pt idx="531">
                  <c:v>-160.66182919742161</c:v>
                </c:pt>
                <c:pt idx="532">
                  <c:v>-161.2497286929252</c:v>
                </c:pt>
                <c:pt idx="533">
                  <c:v>-161.83700117429055</c:v>
                </c:pt>
                <c:pt idx="534">
                  <c:v>-162.42362540873003</c:v>
                </c:pt>
                <c:pt idx="535">
                  <c:v>-163.00957928797874</c:v>
                </c:pt>
                <c:pt idx="536">
                  <c:v>-163.59483982260454</c:v>
                </c:pt>
                <c:pt idx="537">
                  <c:v>-164.17938313747277</c:v>
                </c:pt>
                <c:pt idx="538">
                  <c:v>-164.76318446853614</c:v>
                </c:pt>
                <c:pt idx="539">
                  <c:v>-165.34621816112747</c:v>
                </c:pt>
                <c:pt idx="540">
                  <c:v>-165.92845766994128</c:v>
                </c:pt>
                <c:pt idx="541">
                  <c:v>-166.50987556089615</c:v>
                </c:pt>
              </c:numCache>
            </c:numRef>
          </c:yVal>
          <c:smooth val="1"/>
          <c:extLst>
            <c:ext xmlns:c16="http://schemas.microsoft.com/office/drawing/2014/chart" uri="{C3380CC4-5D6E-409C-BE32-E72D297353CC}">
              <c16:uniqueId val="{00000000-F188-4D39-B62C-FFCB026FFDB3}"/>
            </c:ext>
          </c:extLst>
        </c:ser>
        <c:dLbls>
          <c:showLegendKey val="0"/>
          <c:showVal val="0"/>
          <c:showCatName val="0"/>
          <c:showSerName val="0"/>
          <c:showPercent val="0"/>
          <c:showBubbleSize val="0"/>
        </c:dLbls>
        <c:axId val="160959104"/>
        <c:axId val="160985856"/>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Loop_Modeling!$AU$19:$AU$560</c:f>
              <c:numCache>
                <c:formatCode>General</c:formatCode>
                <c:ptCount val="542"/>
                <c:pt idx="0">
                  <c:v>90.00545821713817</c:v>
                </c:pt>
                <c:pt idx="1">
                  <c:v>90.005566066030738</c:v>
                </c:pt>
                <c:pt idx="2">
                  <c:v>90.005675048840757</c:v>
                </c:pt>
                <c:pt idx="3">
                  <c:v>90.005785093577103</c:v>
                </c:pt>
                <c:pt idx="4">
                  <c:v>90.005896119554137</c:v>
                </c:pt>
                <c:pt idx="5">
                  <c:v>90.006008036689693</c:v>
                </c:pt>
                <c:pt idx="6">
                  <c:v>90.006120744751257</c:v>
                </c:pt>
                <c:pt idx="7">
                  <c:v>90.006234132546993</c:v>
                </c:pt>
                <c:pt idx="8">
                  <c:v>90.006348077056828</c:v>
                </c:pt>
                <c:pt idx="9">
                  <c:v>90.006462442500151</c:v>
                </c:pt>
                <c:pt idx="10">
                  <c:v>90.006577079335401</c:v>
                </c:pt>
                <c:pt idx="11">
                  <c:v>90.006691823186188</c:v>
                </c:pt>
                <c:pt idx="12">
                  <c:v>90.006806493689552</c:v>
                </c:pt>
                <c:pt idx="13">
                  <c:v>90.006920893260158</c:v>
                </c:pt>
                <c:pt idx="14">
                  <c:v>90.007034805764619</c:v>
                </c:pt>
                <c:pt idx="15">
                  <c:v>90.007147995099942</c:v>
                </c:pt>
                <c:pt idx="16">
                  <c:v>90.007260203668793</c:v>
                </c:pt>
                <c:pt idx="17">
                  <c:v>90.007371150744575</c:v>
                </c:pt>
                <c:pt idx="18">
                  <c:v>90.007480530718553</c:v>
                </c:pt>
                <c:pt idx="19">
                  <c:v>90.007588011220435</c:v>
                </c:pt>
                <c:pt idx="20">
                  <c:v>90.007693231104113</c:v>
                </c:pt>
                <c:pt idx="21">
                  <c:v>90.007795798288072</c:v>
                </c:pt>
                <c:pt idx="22">
                  <c:v>90.007895287441386</c:v>
                </c:pt>
                <c:pt idx="23">
                  <c:v>90.007991237503546</c:v>
                </c:pt>
                <c:pt idx="24">
                  <c:v>90.0080831490272</c:v>
                </c:pt>
                <c:pt idx="25">
                  <c:v>90.008170481330765</c:v>
                </c:pt>
                <c:pt idx="26">
                  <c:v>90.008252649448281</c:v>
                </c:pt>
                <c:pt idx="27">
                  <c:v>90.008329020861709</c:v>
                </c:pt>
                <c:pt idx="28">
                  <c:v>90.00839891200124</c:v>
                </c:pt>
                <c:pt idx="29">
                  <c:v>90.008461584496828</c:v>
                </c:pt>
                <c:pt idx="30">
                  <c:v>90.008516241164202</c:v>
                </c:pt>
                <c:pt idx="31">
                  <c:v>90.008562021706666</c:v>
                </c:pt>
                <c:pt idx="32">
                  <c:v>90.008597998113316</c:v>
                </c:pt>
                <c:pt idx="33">
                  <c:v>90.008623169732431</c:v>
                </c:pt>
                <c:pt idx="34">
                  <c:v>90.008636457998051</c:v>
                </c:pt>
                <c:pt idx="35">
                  <c:v>90.008636700785502</c:v>
                </c:pt>
                <c:pt idx="36">
                  <c:v>90.00862264637108</c:v>
                </c:pt>
                <c:pt idx="37">
                  <c:v>90.008592946968221</c:v>
                </c:pt>
                <c:pt idx="38">
                  <c:v>90.008546151811686</c:v>
                </c:pt>
                <c:pt idx="39">
                  <c:v>90.008480699758849</c:v>
                </c:pt>
                <c:pt idx="40">
                  <c:v>90.00839491137576</c:v>
                </c:pt>
                <c:pt idx="41">
                  <c:v>90.00828698047242</c:v>
                </c:pt>
                <c:pt idx="42">
                  <c:v>90.008154965051176</c:v>
                </c:pt>
                <c:pt idx="43">
                  <c:v>90.007996777627753</c:v>
                </c:pt>
                <c:pt idx="44">
                  <c:v>90.007810174884085</c:v>
                </c:pt>
                <c:pt idx="45">
                  <c:v>90.007592746607244</c:v>
                </c:pt>
                <c:pt idx="46">
                  <c:v>90.007341903868195</c:v>
                </c:pt>
                <c:pt idx="47">
                  <c:v>90.007054866388899</c:v>
                </c:pt>
                <c:pt idx="48">
                  <c:v>90.006728649045598</c:v>
                </c:pt>
                <c:pt idx="49">
                  <c:v>90.006360047450485</c:v>
                </c:pt>
                <c:pt idx="50">
                  <c:v>90.005945622551991</c:v>
                </c:pt>
                <c:pt idx="51">
                  <c:v>90.00548168419057</c:v>
                </c:pt>
                <c:pt idx="52">
                  <c:v>90.004964273541248</c:v>
                </c:pt>
                <c:pt idx="53">
                  <c:v>90.004389144372212</c:v>
                </c:pt>
                <c:pt idx="54">
                  <c:v>90.003751743043736</c:v>
                </c:pt>
                <c:pt idx="55">
                  <c:v>90.003047187166814</c:v>
                </c:pt>
                <c:pt idx="56">
                  <c:v>90.002270242837767</c:v>
                </c:pt>
                <c:pt idx="57">
                  <c:v>90.00141530035873</c:v>
                </c:pt>
                <c:pt idx="58">
                  <c:v>90.000476348349622</c:v>
                </c:pt>
                <c:pt idx="59">
                  <c:v>89.999446946153753</c:v>
                </c:pt>
                <c:pt idx="60">
                  <c:v>89.998320194429979</c:v>
                </c:pt>
                <c:pt idx="61">
                  <c:v>89.997088703823493</c:v>
                </c:pt>
                <c:pt idx="62">
                  <c:v>89.995744561598329</c:v>
                </c:pt>
                <c:pt idx="63">
                  <c:v>89.994279296109781</c:v>
                </c:pt>
                <c:pt idx="64">
                  <c:v>89.992683838990416</c:v>
                </c:pt>
                <c:pt idx="65">
                  <c:v>89.99094848491454</c:v>
                </c:pt>
                <c:pt idx="66">
                  <c:v>89.989062848803016</c:v>
                </c:pt>
                <c:pt idx="67">
                  <c:v>89.987015820320991</c:v>
                </c:pt>
                <c:pt idx="68">
                  <c:v>89.984795515517547</c:v>
                </c:pt>
                <c:pt idx="69">
                  <c:v>89.982389225447989</c:v>
                </c:pt>
                <c:pt idx="70">
                  <c:v>89.979783361614082</c:v>
                </c:pt>
                <c:pt idx="71">
                  <c:v>89.976963398052263</c:v>
                </c:pt>
                <c:pt idx="72">
                  <c:v>89.973913809891883</c:v>
                </c:pt>
                <c:pt idx="73">
                  <c:v>89.970618008201512</c:v>
                </c:pt>
                <c:pt idx="74">
                  <c:v>89.967058270934785</c:v>
                </c:pt>
                <c:pt idx="75">
                  <c:v>89.963215669783864</c:v>
                </c:pt>
                <c:pt idx="76">
                  <c:v>89.959069992741149</c:v>
                </c:pt>
                <c:pt idx="77">
                  <c:v>89.954599662168064</c:v>
                </c:pt>
                <c:pt idx="78">
                  <c:v>89.949781648166905</c:v>
                </c:pt>
                <c:pt idx="79">
                  <c:v>89.944591377046862</c:v>
                </c:pt>
                <c:pt idx="80">
                  <c:v>89.939002634675916</c:v>
                </c:pt>
                <c:pt idx="81">
                  <c:v>89.932987464509608</c:v>
                </c:pt>
                <c:pt idx="82">
                  <c:v>89.92651606008738</c:v>
                </c:pt>
                <c:pt idx="83">
                  <c:v>89.919556651793386</c:v>
                </c:pt>
                <c:pt idx="84">
                  <c:v>89.912075387678087</c:v>
                </c:pt>
                <c:pt idx="85">
                  <c:v>89.904036208147232</c:v>
                </c:pt>
                <c:pt idx="86">
                  <c:v>89.895400714332382</c:v>
                </c:pt>
                <c:pt idx="87">
                  <c:v>89.886128029967566</c:v>
                </c:pt>
                <c:pt idx="88">
                  <c:v>89.876174656612548</c:v>
                </c:pt>
                <c:pt idx="89">
                  <c:v>89.865494322077737</c:v>
                </c:pt>
                <c:pt idx="90">
                  <c:v>89.854037821928955</c:v>
                </c:pt>
                <c:pt idx="91">
                  <c:v>89.841752853975464</c:v>
                </c:pt>
                <c:pt idx="92">
                  <c:v>89.828583845668746</c:v>
                </c:pt>
                <c:pt idx="93">
                  <c:v>89.814471774379555</c:v>
                </c:pt>
                <c:pt idx="94">
                  <c:v>89.799353980555139</c:v>
                </c:pt>
                <c:pt idx="95">
                  <c:v>89.783163973802075</c:v>
                </c:pt>
                <c:pt idx="96">
                  <c:v>89.765831231993403</c:v>
                </c:pt>
                <c:pt idx="97">
                  <c:v>89.747280993550902</c:v>
                </c:pt>
                <c:pt idx="98">
                  <c:v>89.72743404311862</c:v>
                </c:pt>
                <c:pt idx="99">
                  <c:v>89.70620649091218</c:v>
                </c:pt>
                <c:pt idx="100">
                  <c:v>89.683509546107175</c:v>
                </c:pt>
                <c:pt idx="101">
                  <c:v>89.659249284712317</c:v>
                </c:pt>
                <c:pt idx="102">
                  <c:v>89.633326412467468</c:v>
                </c:pt>
                <c:pt idx="103">
                  <c:v>89.605636023409545</c:v>
                </c:pt>
                <c:pt idx="104">
                  <c:v>89.576067354856917</c:v>
                </c:pt>
                <c:pt idx="105">
                  <c:v>89.544503539679567</c:v>
                </c:pt>
                <c:pt idx="106">
                  <c:v>89.510821356855402</c:v>
                </c:pt>
                <c:pt idx="107">
                  <c:v>89.474890981441149</c:v>
                </c:pt>
                <c:pt idx="108">
                  <c:v>89.436575735236715</c:v>
                </c:pt>
                <c:pt idx="109">
                  <c:v>89.395731839563894</c:v>
                </c:pt>
                <c:pt idx="110">
                  <c:v>89.352208171751627</c:v>
                </c:pt>
                <c:pt idx="111">
                  <c:v>89.305846027072263</c:v>
                </c:pt>
                <c:pt idx="112">
                  <c:v>89.256478888051888</c:v>
                </c:pt>
                <c:pt idx="113">
                  <c:v>89.203932203247234</c:v>
                </c:pt>
                <c:pt idx="114">
                  <c:v>89.148023177762425</c:v>
                </c:pt>
                <c:pt idx="115">
                  <c:v>89.088560577954269</c:v>
                </c:pt>
                <c:pt idx="116">
                  <c:v>89.02534455295249</c:v>
                </c:pt>
                <c:pt idx="117">
                  <c:v>88.958166475795935</c:v>
                </c:pt>
                <c:pt idx="118">
                  <c:v>88.886808807149507</c:v>
                </c:pt>
                <c:pt idx="119">
                  <c:v>88.811044984733684</c:v>
                </c:pt>
                <c:pt idx="120">
                  <c:v>88.730639341731958</c:v>
                </c:pt>
                <c:pt idx="121">
                  <c:v>88.645347057587983</c:v>
                </c:pt>
                <c:pt idx="122">
                  <c:v>88.554914144703503</c:v>
                </c:pt>
                <c:pt idx="123">
                  <c:v>88.459077474645383</c:v>
                </c:pt>
                <c:pt idx="124">
                  <c:v>88.357564847529574</c:v>
                </c:pt>
                <c:pt idx="125">
                  <c:v>88.250095108280306</c:v>
                </c:pt>
                <c:pt idx="126">
                  <c:v>88.136378313459531</c:v>
                </c:pt>
                <c:pt idx="127">
                  <c:v>88.016115952320902</c:v>
                </c:pt>
                <c:pt idx="128">
                  <c:v>87.889001225649082</c:v>
                </c:pt>
                <c:pt idx="129">
                  <c:v>87.754719385818618</c:v>
                </c:pt>
                <c:pt idx="130">
                  <c:v>87.612948141317574</c:v>
                </c:pt>
                <c:pt idx="131">
                  <c:v>87.46335812874095</c:v>
                </c:pt>
                <c:pt idx="132">
                  <c:v>87.305613454969915</c:v>
                </c:pt>
                <c:pt idx="133">
                  <c:v>87.13937231189486</c:v>
                </c:pt>
                <c:pt idx="134">
                  <c:v>86.9642876656239</c:v>
                </c:pt>
                <c:pt idx="135">
                  <c:v>86.780008021659498</c:v>
                </c:pt>
                <c:pt idx="136">
                  <c:v>86.586178266974315</c:v>
                </c:pt>
                <c:pt idx="137">
                  <c:v>86.382440589348377</c:v>
                </c:pt>
                <c:pt idx="138">
                  <c:v>86.168435473667472</c:v>
                </c:pt>
                <c:pt idx="139">
                  <c:v>85.943802774198588</c:v>
                </c:pt>
                <c:pt idx="140">
                  <c:v>85.708182861115858</c:v>
                </c:pt>
                <c:pt idx="141">
                  <c:v>85.461217838762096</c:v>
                </c:pt>
                <c:pt idx="142">
                  <c:v>85.202552832326731</c:v>
                </c:pt>
                <c:pt idx="143">
                  <c:v>84.93183733877909</c:v>
                </c:pt>
                <c:pt idx="144">
                  <c:v>84.648726637043055</c:v>
                </c:pt>
                <c:pt idx="145">
                  <c:v>84.352883251547084</c:v>
                </c:pt>
                <c:pt idx="146">
                  <c:v>84.043978462432065</c:v>
                </c:pt>
                <c:pt idx="147">
                  <c:v>83.721693854870068</c:v>
                </c:pt>
                <c:pt idx="148">
                  <c:v>83.385722899146259</c:v>
                </c:pt>
                <c:pt idx="149">
                  <c:v>83.035772552405717</c:v>
                </c:pt>
                <c:pt idx="150">
                  <c:v>82.671564872256241</c:v>
                </c:pt>
                <c:pt idx="151">
                  <c:v>82.292838631796101</c:v>
                </c:pt>
                <c:pt idx="152">
                  <c:v>81.899350925076774</c:v>
                </c:pt>
                <c:pt idx="153">
                  <c:v>81.490878751544201</c:v>
                </c:pt>
                <c:pt idx="154">
                  <c:v>81.067220567650594</c:v>
                </c:pt>
                <c:pt idx="155">
                  <c:v>80.628197793564652</c:v>
                </c:pt>
                <c:pt idx="156">
                  <c:v>80.173656262783155</c:v>
                </c:pt>
                <c:pt idx="157">
                  <c:v>79.703467602428091</c:v>
                </c:pt>
                <c:pt idx="158">
                  <c:v>79.217530532141311</c:v>
                </c:pt>
                <c:pt idx="159">
                  <c:v>78.715772069740396</c:v>
                </c:pt>
                <c:pt idx="160">
                  <c:v>78.198148632174806</c:v>
                </c:pt>
                <c:pt idx="161">
                  <c:v>77.664647020862603</c:v>
                </c:pt>
                <c:pt idx="162">
                  <c:v>77.115285281128948</c:v>
                </c:pt>
                <c:pt idx="163">
                  <c:v>76.550113426247535</c:v>
                </c:pt>
                <c:pt idx="164">
                  <c:v>75.96921401751446</c:v>
                </c:pt>
                <c:pt idx="165">
                  <c:v>75.372702592776719</c:v>
                </c:pt>
                <c:pt idx="166">
                  <c:v>74.760727936990435</c:v>
                </c:pt>
                <c:pt idx="167">
                  <c:v>74.133472189602088</c:v>
                </c:pt>
                <c:pt idx="168">
                  <c:v>73.491150784842077</c:v>
                </c:pt>
                <c:pt idx="169">
                  <c:v>72.834012222422444</c:v>
                </c:pt>
                <c:pt idx="170">
                  <c:v>72.162337667530949</c:v>
                </c:pt>
                <c:pt idx="171">
                  <c:v>71.476440380516038</c:v>
                </c:pt>
                <c:pt idx="172">
                  <c:v>70.776664978112194</c:v>
                </c:pt>
                <c:pt idx="173">
                  <c:v>70.063386529574572</c:v>
                </c:pt>
                <c:pt idx="174">
                  <c:v>69.337009492546301</c:v>
                </c:pt>
                <c:pt idx="175">
                  <c:v>68.597966494925387</c:v>
                </c:pt>
                <c:pt idx="176">
                  <c:v>67.846716970387206</c:v>
                </c:pt>
                <c:pt idx="177">
                  <c:v>67.083745656513301</c:v>
                </c:pt>
                <c:pt idx="178">
                  <c:v>66.309560965712521</c:v>
                </c:pt>
                <c:pt idx="179">
                  <c:v>65.52469324022141</c:v>
                </c:pt>
                <c:pt idx="180">
                  <c:v>64.729692903458172</c:v>
                </c:pt>
                <c:pt idx="181">
                  <c:v>63.925128520862927</c:v>
                </c:pt>
                <c:pt idx="182">
                  <c:v>63.111584784059609</c:v>
                </c:pt>
                <c:pt idx="183">
                  <c:v>62.289660432708722</c:v>
                </c:pt>
                <c:pt idx="184">
                  <c:v>61.45996612883161</c:v>
                </c:pt>
                <c:pt idx="185">
                  <c:v>60.623122298563999</c:v>
                </c:pt>
                <c:pt idx="186">
                  <c:v>59.779756956367983</c:v>
                </c:pt>
                <c:pt idx="187">
                  <c:v>58.930503526607595</c:v>
                </c:pt>
                <c:pt idx="188">
                  <c:v>58.075998677086659</c:v>
                </c:pt>
                <c:pt idx="189">
                  <c:v>57.216880178722874</c:v>
                </c:pt>
                <c:pt idx="190">
                  <c:v>56.353784804931252</c:v>
                </c:pt>
                <c:pt idx="191">
                  <c:v>55.487346283563276</c:v>
                </c:pt>
                <c:pt idx="192">
                  <c:v>54.618193313400674</c:v>
                </c:pt>
                <c:pt idx="193">
                  <c:v>53.746947656242448</c:v>
                </c:pt>
                <c:pt idx="194">
                  <c:v>52.874222314585595</c:v>
                </c:pt>
                <c:pt idx="195">
                  <c:v>52.000619803772274</c:v>
                </c:pt>
                <c:pt idx="196">
                  <c:v>51.126730526315058</c:v>
                </c:pt>
                <c:pt idx="197">
                  <c:v>50.253131254900389</c:v>
                </c:pt>
                <c:pt idx="198">
                  <c:v>49.380383729347137</c:v>
                </c:pt>
                <c:pt idx="199">
                  <c:v>48.509033371584373</c:v>
                </c:pt>
                <c:pt idx="200">
                  <c:v>47.639608121496522</c:v>
                </c:pt>
                <c:pt idx="201">
                  <c:v>46.772617395326733</c:v>
                </c:pt>
                <c:pt idx="202">
                  <c:v>45.908551167197125</c:v>
                </c:pt>
                <c:pt idx="203">
                  <c:v>45.047879173247239</c:v>
                </c:pt>
                <c:pt idx="204">
                  <c:v>44.191050236901255</c:v>
                </c:pt>
                <c:pt idx="205">
                  <c:v>43.3384917128529</c:v>
                </c:pt>
                <c:pt idx="206">
                  <c:v>42.490609046543383</c:v>
                </c:pt>
                <c:pt idx="207">
                  <c:v>41.647785445155392</c:v>
                </c:pt>
                <c:pt idx="208">
                  <c:v>40.81038165551653</c:v>
                </c:pt>
                <c:pt idx="209">
                  <c:v>39.978735843744566</c:v>
                </c:pt>
                <c:pt idx="210">
                  <c:v>39.153163571029246</c:v>
                </c:pt>
                <c:pt idx="211">
                  <c:v>38.3339578595603</c:v>
                </c:pt>
                <c:pt idx="212">
                  <c:v>37.521389342364053</c:v>
                </c:pt>
                <c:pt idx="213">
                  <c:v>36.715706490602251</c:v>
                </c:pt>
                <c:pt idx="214">
                  <c:v>35.917135911792236</c:v>
                </c:pt>
                <c:pt idx="215">
                  <c:v>35.125882712367833</c:v>
                </c:pt>
                <c:pt idx="216">
                  <c:v>34.34213091803084</c:v>
                </c:pt>
                <c:pt idx="217">
                  <c:v>33.566043945446665</c:v>
                </c:pt>
                <c:pt idx="218">
                  <c:v>32.79776511897019</c:v>
                </c:pt>
                <c:pt idx="219">
                  <c:v>32.037418226295898</c:v>
                </c:pt>
                <c:pt idx="220">
                  <c:v>31.285108107148773</c:v>
                </c:pt>
                <c:pt idx="221">
                  <c:v>30.540921269402517</c:v>
                </c:pt>
                <c:pt idx="222">
                  <c:v>29.804926527307192</c:v>
                </c:pt>
                <c:pt idx="223">
                  <c:v>29.077175656808834</c:v>
                </c:pt>
                <c:pt idx="224">
                  <c:v>28.357704063287038</c:v>
                </c:pt>
                <c:pt idx="225">
                  <c:v>27.646531457356073</c:v>
                </c:pt>
                <c:pt idx="226">
                  <c:v>26.943662534724265</c:v>
                </c:pt>
                <c:pt idx="227">
                  <c:v>26.249087656447731</c:v>
                </c:pt>
                <c:pt idx="228">
                  <c:v>25.562783526248538</c:v>
                </c:pt>
                <c:pt idx="229">
                  <c:v>24.884713861894536</c:v>
                </c:pt>
                <c:pt idx="230">
                  <c:v>24.214830057971877</c:v>
                </c:pt>
                <c:pt idx="231">
                  <c:v>23.553071837679784</c:v>
                </c:pt>
                <c:pt idx="232">
                  <c:v>22.899367891576677</c:v>
                </c:pt>
                <c:pt idx="233">
                  <c:v>22.253636501492849</c:v>
                </c:pt>
                <c:pt idx="234">
                  <c:v>21.615786148090539</c:v>
                </c:pt>
                <c:pt idx="235">
                  <c:v>20.985716100794928</c:v>
                </c:pt>
                <c:pt idx="236">
                  <c:v>20.363316989065812</c:v>
                </c:pt>
                <c:pt idx="237">
                  <c:v>19.748471354181991</c:v>
                </c:pt>
                <c:pt idx="238">
                  <c:v>19.141054180924183</c:v>
                </c:pt>
                <c:pt idx="239">
                  <c:v>18.540933408707829</c:v>
                </c:pt>
                <c:pt idx="240">
                  <c:v>17.947970421905389</c:v>
                </c:pt>
                <c:pt idx="241">
                  <c:v>17.362020519224625</c:v>
                </c:pt>
                <c:pt idx="242">
                  <c:v>16.782933362164655</c:v>
                </c:pt>
                <c:pt idx="243">
                  <c:v>16.210553402683978</c:v>
                </c:pt>
                <c:pt idx="244">
                  <c:v>15.644720290322471</c:v>
                </c:pt>
                <c:pt idx="245">
                  <c:v>15.085269259117295</c:v>
                </c:pt>
                <c:pt idx="246">
                  <c:v>14.532031494737016</c:v>
                </c:pt>
                <c:pt idx="247">
                  <c:v>13.984834482326345</c:v>
                </c:pt>
                <c:pt idx="248">
                  <c:v>13.44350233562243</c:v>
                </c:pt>
                <c:pt idx="249">
                  <c:v>12.907856107951648</c:v>
                </c:pt>
                <c:pt idx="250">
                  <c:v>12.377714085764275</c:v>
                </c:pt>
                <c:pt idx="251">
                  <c:v>11.852892065399853</c:v>
                </c:pt>
                <c:pt idx="252">
                  <c:v>11.33320361380934</c:v>
                </c:pt>
                <c:pt idx="253">
                  <c:v>10.81846031397953</c:v>
                </c:pt>
                <c:pt idx="254">
                  <c:v>10.308471995829526</c:v>
                </c:pt>
                <c:pt idx="255">
                  <c:v>9.8030469533608926</c:v>
                </c:pt>
                <c:pt idx="256">
                  <c:v>9.3019921488543282</c:v>
                </c:pt>
                <c:pt idx="257">
                  <c:v>8.805113404909477</c:v>
                </c:pt>
                <c:pt idx="258">
                  <c:v>8.3122155851309962</c:v>
                </c:pt>
                <c:pt idx="259">
                  <c:v>7.8231027642669355</c:v>
                </c:pt>
                <c:pt idx="260">
                  <c:v>7.3375783885951247</c:v>
                </c:pt>
                <c:pt idx="261">
                  <c:v>6.8554454273629082</c:v>
                </c:pt>
                <c:pt idx="262">
                  <c:v>6.3765065160704362</c:v>
                </c:pt>
                <c:pt idx="263">
                  <c:v>5.9005640923873566</c:v>
                </c:pt>
                <c:pt idx="264">
                  <c:v>5.4274205254854779</c:v>
                </c:pt>
                <c:pt idx="265">
                  <c:v>4.9568782395636184</c:v>
                </c:pt>
                <c:pt idx="266">
                  <c:v>4.4887398323295313</c:v>
                </c:pt>
                <c:pt idx="267">
                  <c:v>4.0228081892028511</c:v>
                </c:pt>
                <c:pt idx="268">
                  <c:v>3.5588865939878613</c:v>
                </c:pt>
                <c:pt idx="269">
                  <c:v>3.0967788367638436</c:v>
                </c:pt>
                <c:pt idx="270">
                  <c:v>2.636289319726258</c:v>
                </c:pt>
                <c:pt idx="271">
                  <c:v>2.1772231617112556</c:v>
                </c:pt>
                <c:pt idx="272">
                  <c:v>1.7193863021229272</c:v>
                </c:pt>
                <c:pt idx="273">
                  <c:v>1.2625856049787645</c:v>
                </c:pt>
                <c:pt idx="274">
                  <c:v>0.80662896377970339</c:v>
                </c:pt>
                <c:pt idx="275">
                  <c:v>0.35132540790530803</c:v>
                </c:pt>
                <c:pt idx="276">
                  <c:v>-0.10351478877360555</c:v>
                </c:pt>
                <c:pt idx="277">
                  <c:v>-0.5580799963795271</c:v>
                </c:pt>
                <c:pt idx="278">
                  <c:v>-1.0125571139334653</c:v>
                </c:pt>
                <c:pt idx="279">
                  <c:v>-1.4671314500093871</c:v>
                </c:pt>
                <c:pt idx="280">
                  <c:v>-1.9219865984802367</c:v>
                </c:pt>
                <c:pt idx="281">
                  <c:v>-2.377304308702155</c:v>
                </c:pt>
                <c:pt idx="282">
                  <c:v>-2.8332643495001402</c:v>
                </c:pt>
                <c:pt idx="283">
                  <c:v>-3.2900443663239205</c:v>
                </c:pt>
                <c:pt idx="284">
                  <c:v>-3.747819730963573</c:v>
                </c:pt>
                <c:pt idx="285">
                  <c:v>-4.2067633832267015</c:v>
                </c:pt>
                <c:pt idx="286">
                  <c:v>-4.6670456639953608</c:v>
                </c:pt>
                <c:pt idx="287">
                  <c:v>-5.1288341391074983</c:v>
                </c:pt>
                <c:pt idx="288">
                  <c:v>-5.5922934135269911</c:v>
                </c:pt>
                <c:pt idx="289">
                  <c:v>-6.0575849352938844</c:v>
                </c:pt>
                <c:pt idx="290">
                  <c:v>-6.5248667887833962</c:v>
                </c:pt>
                <c:pt idx="291">
                  <c:v>-6.9942934768275622</c:v>
                </c:pt>
                <c:pt idx="292">
                  <c:v>-7.4660156913080788</c:v>
                </c:pt>
                <c:pt idx="293">
                  <c:v>-7.9401800718573368</c:v>
                </c:pt>
                <c:pt idx="294">
                  <c:v>-8.4169289523727571</c:v>
                </c:pt>
                <c:pt idx="295">
                  <c:v>-8.8964000950936555</c:v>
                </c:pt>
                <c:pt idx="296">
                  <c:v>-9.3787264120607485</c:v>
                </c:pt>
                <c:pt idx="297">
                  <c:v>-9.8640356738449615</c:v>
                </c:pt>
                <c:pt idx="298">
                  <c:v>-10.35245020551265</c:v>
                </c:pt>
                <c:pt idx="299">
                  <c:v>-10.844086569875147</c:v>
                </c:pt>
                <c:pt idx="300">
                  <c:v>-11.339055238164432</c:v>
                </c:pt>
                <c:pt idx="301">
                  <c:v>-11.837460248380086</c:v>
                </c:pt>
                <c:pt idx="302">
                  <c:v>-12.339398851650971</c:v>
                </c:pt>
                <c:pt idx="303">
                  <c:v>-12.844961147080131</c:v>
                </c:pt>
                <c:pt idx="304">
                  <c:v>-13.354229705656511</c:v>
                </c:pt>
                <c:pt idx="305">
                  <c:v>-13.867279183948559</c:v>
                </c:pt>
                <c:pt idx="306">
                  <c:v>-14.384175928430775</c:v>
                </c:pt>
                <c:pt idx="307">
                  <c:v>-14.904977571434014</c:v>
                </c:pt>
                <c:pt idx="308">
                  <c:v>-15.429732619856164</c:v>
                </c:pt>
                <c:pt idx="309">
                  <c:v>-15.958480037919074</c:v>
                </c:pt>
                <c:pt idx="310">
                  <c:v>-16.49124882540919</c:v>
                </c:pt>
                <c:pt idx="311">
                  <c:v>-17.028057592989096</c:v>
                </c:pt>
                <c:pt idx="312">
                  <c:v>-17.568914136319201</c:v>
                </c:pt>
                <c:pt idx="313">
                  <c:v>-18.113815010873655</c:v>
                </c:pt>
                <c:pt idx="314">
                  <c:v>-18.662745109473232</c:v>
                </c:pt>
                <c:pt idx="315">
                  <c:v>-19.215677244692184</c:v>
                </c:pt>
                <c:pt idx="316">
                  <c:v>-19.772571738410935</c:v>
                </c:pt>
                <c:pt idx="317">
                  <c:v>-20.333376020893791</c:v>
                </c:pt>
                <c:pt idx="318">
                  <c:v>-20.898024241852063</c:v>
                </c:pt>
                <c:pt idx="319">
                  <c:v>-21.466436896021875</c:v>
                </c:pt>
                <c:pt idx="320">
                  <c:v>-22.038520465812301</c:v>
                </c:pt>
                <c:pt idx="321">
                  <c:v>-22.614167083601551</c:v>
                </c:pt>
                <c:pt idx="322">
                  <c:v>-23.193254216215422</c:v>
                </c:pt>
                <c:pt idx="323">
                  <c:v>-23.775644374070403</c:v>
                </c:pt>
                <c:pt idx="324">
                  <c:v>-24.361184847355489</c:v>
                </c:pt>
                <c:pt idx="325">
                  <c:v>-24.949707471468408</c:v>
                </c:pt>
                <c:pt idx="326">
                  <c:v>-25.541028423736083</c:v>
                </c:pt>
                <c:pt idx="327">
                  <c:v>-26.134948053188452</c:v>
                </c:pt>
                <c:pt idx="328">
                  <c:v>-26.73125074485549</c:v>
                </c:pt>
                <c:pt idx="329">
                  <c:v>-27.329704819700709</c:v>
                </c:pt>
                <c:pt idx="330">
                  <c:v>-27.930062470875857</c:v>
                </c:pt>
                <c:pt idx="331">
                  <c:v>-28.532059736522683</c:v>
                </c:pt>
                <c:pt idx="332">
                  <c:v>-29.135416508792872</c:v>
                </c:pt>
                <c:pt idx="333">
                  <c:v>-29.739836578181404</c:v>
                </c:pt>
                <c:pt idx="334">
                  <c:v>-30.3450077115975</c:v>
                </c:pt>
                <c:pt idx="335">
                  <c:v>-30.950601761902909</c:v>
                </c:pt>
                <c:pt idx="336">
                  <c:v>-31.556274805860372</c:v>
                </c:pt>
                <c:pt idx="337">
                  <c:v>-32.161667306638378</c:v>
                </c:pt>
                <c:pt idx="338">
                  <c:v>-32.766404296109037</c:v>
                </c:pt>
                <c:pt idx="339">
                  <c:v>-33.370095571278391</c:v>
                </c:pt>
                <c:pt idx="340">
                  <c:v>-33.972335898183182</c:v>
                </c:pt>
                <c:pt idx="341">
                  <c:v>-34.572705215572626</c:v>
                </c:pt>
                <c:pt idx="342">
                  <c:v>-35.170768829593861</c:v>
                </c:pt>
                <c:pt idx="343">
                  <c:v>-35.766077589560204</c:v>
                </c:pt>
                <c:pt idx="344">
                  <c:v>-36.35816803367883</c:v>
                </c:pt>
                <c:pt idx="345">
                  <c:v>-36.946562492322158</c:v>
                </c:pt>
                <c:pt idx="346">
                  <c:v>-37.530769135075481</c:v>
                </c:pt>
                <c:pt idx="347">
                  <c:v>-38.110281946319333</c:v>
                </c:pt>
                <c:pt idx="348">
                  <c:v>-38.684580612515795</c:v>
                </c:pt>
                <c:pt idx="349">
                  <c:v>-39.253130302628357</c:v>
                </c:pt>
                <c:pt idx="350">
                  <c:v>-39.815381321164672</c:v>
                </c:pt>
                <c:pt idx="351">
                  <c:v>-40.370768611168366</c:v>
                </c:pt>
                <c:pt idx="352">
                  <c:v>-40.918711082013843</c:v>
                </c:pt>
                <c:pt idx="353">
                  <c:v>-41.458610734037045</c:v>
                </c:pt>
                <c:pt idx="354">
                  <c:v>-41.989851548752711</c:v>
                </c:pt>
                <c:pt idx="355">
                  <c:v>-42.511798109563088</c:v>
                </c:pt>
                <c:pt idx="356">
                  <c:v>-43.023793913348811</c:v>
                </c:pt>
                <c:pt idx="357">
                  <c:v>-43.5251593279445</c:v>
                </c:pt>
                <c:pt idx="358">
                  <c:v>-44.015189144093341</c:v>
                </c:pt>
                <c:pt idx="359">
                  <c:v>-44.493149662761247</c:v>
                </c:pt>
                <c:pt idx="360">
                  <c:v>-44.958275249416367</c:v>
                </c:pt>
                <c:pt idx="361">
                  <c:v>-45.409764275640235</c:v>
                </c:pt>
                <c:pt idx="362">
                  <c:v>-45.84677435480689</c:v>
                </c:pt>
                <c:pt idx="363">
                  <c:v>-46.2684167619582</c:v>
                </c:pt>
                <c:pt idx="364">
                  <c:v>-46.673749907707339</c:v>
                </c:pt>
                <c:pt idx="365">
                  <c:v>-47.061771711132415</c:v>
                </c:pt>
                <c:pt idx="366">
                  <c:v>-47.431410686020079</c:v>
                </c:pt>
                <c:pt idx="367">
                  <c:v>-47.781515517052753</c:v>
                </c:pt>
                <c:pt idx="368">
                  <c:v>-48.110842855735854</c:v>
                </c:pt>
                <c:pt idx="369">
                  <c:v>-48.418043007664991</c:v>
                </c:pt>
                <c:pt idx="370">
                  <c:v>-48.701643110044856</c:v>
                </c:pt>
                <c:pt idx="371">
                  <c:v>-48.960027307183822</c:v>
                </c:pt>
                <c:pt idx="372">
                  <c:v>-49.191413316794609</c:v>
                </c:pt>
                <c:pt idx="373">
                  <c:v>-49.393824634431411</c:v>
                </c:pt>
                <c:pt idx="374">
                  <c:v>-49.565057438257519</c:v>
                </c:pt>
                <c:pt idx="375">
                  <c:v>-49.70264101951966</c:v>
                </c:pt>
                <c:pt idx="376">
                  <c:v>-49.803790259598806</c:v>
                </c:pt>
                <c:pt idx="377">
                  <c:v>-49.865348280827796</c:v>
                </c:pt>
                <c:pt idx="378">
                  <c:v>-49.883716886592708</c:v>
                </c:pt>
                <c:pt idx="379">
                  <c:v>-49.854771737577572</c:v>
                </c:pt>
                <c:pt idx="380">
                  <c:v>-49.773758332709562</c:v>
                </c:pt>
                <c:pt idx="381">
                  <c:v>-49.635163704032593</c:v>
                </c:pt>
                <c:pt idx="382">
                  <c:v>-49.432557197841582</c:v>
                </c:pt>
                <c:pt idx="383">
                  <c:v>-49.158391669967763</c:v>
                </c:pt>
                <c:pt idx="384">
                  <c:v>-48.80375369788927</c:v>
                </c:pt>
                <c:pt idx="385">
                  <c:v>-48.358047780062812</c:v>
                </c:pt>
                <c:pt idx="386">
                  <c:v>-47.808594668616081</c:v>
                </c:pt>
                <c:pt idx="387">
                  <c:v>-47.14011763209183</c:v>
                </c:pt>
                <c:pt idx="388">
                  <c:v>-46.33408224193591</c:v>
                </c:pt>
                <c:pt idx="389">
                  <c:v>-45.367845054460716</c:v>
                </c:pt>
                <c:pt idx="390">
                  <c:v>-44.213554718545872</c:v>
                </c:pt>
                <c:pt idx="391">
                  <c:v>-42.836737490624088</c:v>
                </c:pt>
                <c:pt idx="392">
                  <c:v>-41.194493448658413</c:v>
                </c:pt>
                <c:pt idx="393">
                  <c:v>-39.233243749890427</c:v>
                </c:pt>
                <c:pt idx="394">
                  <c:v>-36.886035023774056</c:v>
                </c:pt>
                <c:pt idx="395">
                  <c:v>-34.069593527659876</c:v>
                </c:pt>
                <c:pt idx="396">
                  <c:v>-30.681768028720057</c:v>
                </c:pt>
                <c:pt idx="397">
                  <c:v>-26.600954826395789</c:v>
                </c:pt>
                <c:pt idx="398">
                  <c:v>-21.690900107285227</c:v>
                </c:pt>
                <c:pt idx="399">
                  <c:v>-15.817028867981989</c:v>
                </c:pt>
                <c:pt idx="400">
                  <c:v>-8.8827933394060974</c:v>
                </c:pt>
                <c:pt idx="401">
                  <c:v>-0.89108592089771033</c:v>
                </c:pt>
                <c:pt idx="402">
                  <c:v>7.9832863715461277</c:v>
                </c:pt>
                <c:pt idx="403">
                  <c:v>17.358711096315645</c:v>
                </c:pt>
                <c:pt idx="404">
                  <c:v>26.70929036338816</c:v>
                </c:pt>
                <c:pt idx="405">
                  <c:v>35.519182052367768</c:v>
                </c:pt>
                <c:pt idx="406">
                  <c:v>43.430000879618824</c:v>
                </c:pt>
                <c:pt idx="407">
                  <c:v>50.2902172197781</c:v>
                </c:pt>
                <c:pt idx="408">
                  <c:v>56.112412312338321</c:v>
                </c:pt>
                <c:pt idx="409">
                  <c:v>61.000282327920893</c:v>
                </c:pt>
                <c:pt idx="410">
                  <c:v>65.089994842577298</c:v>
                </c:pt>
                <c:pt idx="411">
                  <c:v>68.516613998972005</c:v>
                </c:pt>
                <c:pt idx="412">
                  <c:v>71.399537559942118</c:v>
                </c:pt>
                <c:pt idx="413">
                  <c:v>73.838583097927597</c:v>
                </c:pt>
                <c:pt idx="414">
                  <c:v>75.914926561321636</c:v>
                </c:pt>
                <c:pt idx="415">
                  <c:v>77.693762432916671</c:v>
                </c:pt>
                <c:pt idx="416">
                  <c:v>79.227241055174176</c:v>
                </c:pt>
                <c:pt idx="417">
                  <c:v>80.55711681785364</c:v>
                </c:pt>
                <c:pt idx="418">
                  <c:v>81.716946346666361</c:v>
                </c:pt>
                <c:pt idx="419">
                  <c:v>82.733842743372719</c:v>
                </c:pt>
                <c:pt idx="420">
                  <c:v>83.629848998397534</c:v>
                </c:pt>
                <c:pt idx="421">
                  <c:v>84.423004259903522</c:v>
                </c:pt>
                <c:pt idx="422">
                  <c:v>85.128169771636365</c:v>
                </c:pt>
                <c:pt idx="423">
                  <c:v>85.757669520622471</c:v>
                </c:pt>
                <c:pt idx="424">
                  <c:v>86.321788927598263</c:v>
                </c:pt>
                <c:pt idx="425">
                  <c:v>86.829164923751449</c:v>
                </c:pt>
                <c:pt idx="426">
                  <c:v>87.287092785700196</c:v>
                </c:pt>
                <c:pt idx="427">
                  <c:v>87.701768947998517</c:v>
                </c:pt>
                <c:pt idx="428">
                  <c:v>88.078484344550546</c:v>
                </c:pt>
                <c:pt idx="429">
                  <c:v>88.421779318048323</c:v>
                </c:pt>
                <c:pt idx="430">
                  <c:v>88.735568501799406</c:v>
                </c:pt>
                <c:pt idx="431">
                  <c:v>89.023242101469251</c:v>
                </c:pt>
                <c:pt idx="432">
                  <c:v>89.287748517650186</c:v>
                </c:pt>
                <c:pt idx="433">
                  <c:v>89.531662128248442</c:v>
                </c:pt>
                <c:pt idx="434">
                  <c:v>89.757239199221388</c:v>
                </c:pt>
                <c:pt idx="435">
                  <c:v>89.966464244329984</c:v>
                </c:pt>
                <c:pt idx="436">
                  <c:v>90.16108865844663</c:v>
                </c:pt>
                <c:pt idx="437">
                  <c:v>90.342663066951232</c:v>
                </c:pt>
                <c:pt idx="438">
                  <c:v>90.512564538026467</c:v>
                </c:pt>
                <c:pt idx="439">
                  <c:v>90.672019574449763</c:v>
                </c:pt>
                <c:pt idx="440">
                  <c:v>90.822123621316109</c:v>
                </c:pt>
                <c:pt idx="441">
                  <c:v>90.963857684367582</c:v>
                </c:pt>
                <c:pt idx="442">
                  <c:v>91.098102541484934</c:v>
                </c:pt>
                <c:pt idx="443">
                  <c:v>91.225650940773136</c:v>
                </c:pt>
                <c:pt idx="444">
                  <c:v>91.347218107470951</c:v>
                </c:pt>
                <c:pt idx="445">
                  <c:v>91.463450824764251</c:v>
                </c:pt>
                <c:pt idx="446">
                  <c:v>91.574935307494712</c:v>
                </c:pt>
                <c:pt idx="447">
                  <c:v>91.682204050422214</c:v>
                </c:pt>
                <c:pt idx="448">
                  <c:v>91.785741802324523</c:v>
                </c:pt>
                <c:pt idx="449">
                  <c:v>91.885990792403859</c:v>
                </c:pt>
                <c:pt idx="450">
                  <c:v>91.983355315112007</c:v>
                </c:pt>
                <c:pt idx="451">
                  <c:v>92.078205762741192</c:v>
                </c:pt>
                <c:pt idx="452">
                  <c:v>92.17088218126932</c:v>
                </c:pt>
                <c:pt idx="453">
                  <c:v>92.261697413447294</c:v>
                </c:pt>
                <c:pt idx="454">
                  <c:v>92.350939883542338</c:v>
                </c:pt>
                <c:pt idx="455">
                  <c:v>92.4388760701503</c:v>
                </c:pt>
                <c:pt idx="456">
                  <c:v>92.525752706782001</c:v>
                </c:pt>
                <c:pt idx="457">
                  <c:v>92.611798744290354</c:v>
                </c:pt>
                <c:pt idx="458">
                  <c:v>92.697227104444067</c:v>
                </c:pt>
                <c:pt idx="459">
                  <c:v>92.782236249928758</c:v>
                </c:pt>
                <c:pt idx="460">
                  <c:v>92.867011592637553</c:v>
                </c:pt>
                <c:pt idx="461">
                  <c:v>92.951726759207617</c:v>
                </c:pt>
                <c:pt idx="462">
                  <c:v>93.036544730274386</c:v>
                </c:pt>
                <c:pt idx="463">
                  <c:v>93.121618867793259</c:v>
                </c:pt>
                <c:pt idx="464">
                  <c:v>93.207093842956596</c:v>
                </c:pt>
                <c:pt idx="465">
                  <c:v>93.293106475666264</c:v>
                </c:pt>
                <c:pt idx="466">
                  <c:v>93.379786495172127</c:v>
                </c:pt>
                <c:pt idx="467">
                  <c:v>93.467257230318438</c:v>
                </c:pt>
                <c:pt idx="468">
                  <c:v>93.555636236829301</c:v>
                </c:pt>
                <c:pt idx="469">
                  <c:v>93.645035868186781</c:v>
                </c:pt>
                <c:pt idx="470">
                  <c:v>93.735563795889774</c:v>
                </c:pt>
                <c:pt idx="471">
                  <c:v>93.827323484218383</c:v>
                </c:pt>
                <c:pt idx="472">
                  <c:v>93.920414624042962</c:v>
                </c:pt>
                <c:pt idx="473">
                  <c:v>94.014933529709808</c:v>
                </c:pt>
                <c:pt idx="474">
                  <c:v>94.110973502587711</c:v>
                </c:pt>
                <c:pt idx="475">
                  <c:v>94.208625164464578</c:v>
                </c:pt>
                <c:pt idx="476">
                  <c:v>94.307976763639289</c:v>
                </c:pt>
                <c:pt idx="477">
                  <c:v>94.409114456246172</c:v>
                </c:pt>
                <c:pt idx="478">
                  <c:v>94.51212256507921</c:v>
                </c:pt>
                <c:pt idx="479">
                  <c:v>94.617083817944319</c:v>
                </c:pt>
                <c:pt idx="480">
                  <c:v>94.7240795673533</c:v>
                </c:pt>
                <c:pt idx="481">
                  <c:v>94.83318999318459</c:v>
                </c:pt>
                <c:pt idx="482">
                  <c:v>94.944494289766979</c:v>
                </c:pt>
                <c:pt idx="483">
                  <c:v>95.058070838690426</c:v>
                </c:pt>
                <c:pt idx="484">
                  <c:v>95.173997368513895</c:v>
                </c:pt>
                <c:pt idx="485">
                  <c:v>95.292351102417783</c:v>
                </c:pt>
                <c:pt idx="486">
                  <c:v>95.413208894740009</c:v>
                </c:pt>
                <c:pt idx="487">
                  <c:v>95.536647357236305</c:v>
                </c:pt>
                <c:pt idx="488">
                  <c:v>95.662742975815064</c:v>
                </c:pt>
                <c:pt idx="489">
                  <c:v>95.791572218418096</c:v>
                </c:pt>
                <c:pt idx="490">
                  <c:v>95.923211634644588</c:v>
                </c:pt>
                <c:pt idx="491">
                  <c:v>96.057737947648178</c:v>
                </c:pt>
                <c:pt idx="492">
                  <c:v>96.195228138777253</c:v>
                </c:pt>
                <c:pt idx="493">
                  <c:v>96.335759525371316</c:v>
                </c:pt>
                <c:pt idx="494">
                  <c:v>96.479409832076186</c:v>
                </c:pt>
                <c:pt idx="495">
                  <c:v>96.626257255991433</c:v>
                </c:pt>
                <c:pt idx="496">
                  <c:v>96.776380525922491</c:v>
                </c:pt>
                <c:pt idx="497">
                  <c:v>96.929858955964875</c:v>
                </c:pt>
                <c:pt idx="498">
                  <c:v>97.086772493613708</c:v>
                </c:pt>
                <c:pt idx="499">
                  <c:v>97.247201762554155</c:v>
                </c:pt>
                <c:pt idx="500">
                  <c:v>97.411228100254505</c:v>
                </c:pt>
                <c:pt idx="501">
                  <c:v>97.578933590453474</c:v>
                </c:pt>
                <c:pt idx="502">
                  <c:v>97.750401090601585</c:v>
                </c:pt>
                <c:pt idx="503">
                  <c:v>97.92571425429017</c:v>
                </c:pt>
                <c:pt idx="504">
                  <c:v>98.104957548671337</c:v>
                </c:pt>
                <c:pt idx="505">
                  <c:v>98.288216266850895</c:v>
                </c:pt>
                <c:pt idx="506">
                  <c:v>98.475576535205391</c:v>
                </c:pt>
                <c:pt idx="507">
                  <c:v>98.667125315555978</c:v>
                </c:pt>
                <c:pt idx="508">
                  <c:v>98.86295040210662</c:v>
                </c:pt>
                <c:pt idx="509">
                  <c:v>99.063140413029657</c:v>
                </c:pt>
                <c:pt idx="510">
                  <c:v>99.267784776565648</c:v>
                </c:pt>
                <c:pt idx="511">
                  <c:v>99.476973711477555</c:v>
                </c:pt>
                <c:pt idx="512">
                  <c:v>99.690798201685524</c:v>
                </c:pt>
                <c:pt idx="513">
                  <c:v>99.909349964883745</c:v>
                </c:pt>
                <c:pt idx="514">
                  <c:v>100.13272141492661</c:v>
                </c:pt>
                <c:pt idx="515">
                  <c:v>100.36100561775166</c:v>
                </c:pt>
                <c:pt idx="516">
                  <c:v>100.59429624059143</c:v>
                </c:pt>
                <c:pt idx="517">
                  <c:v>100.83268749420832</c:v>
                </c:pt>
                <c:pt idx="518">
                  <c:v>101.0762740678761</c:v>
                </c:pt>
                <c:pt idx="519">
                  <c:v>101.32515105681283</c:v>
                </c:pt>
                <c:pt idx="520">
                  <c:v>101.5794138817635</c:v>
                </c:pt>
                <c:pt idx="521">
                  <c:v>101.83915820041554</c:v>
                </c:pt>
                <c:pt idx="522">
                  <c:v>102.10447981032317</c:v>
                </c:pt>
                <c:pt idx="523">
                  <c:v>102.37547454301168</c:v>
                </c:pt>
                <c:pt idx="524">
                  <c:v>102.65223814892391</c:v>
                </c:pt>
                <c:pt idx="525">
                  <c:v>102.93486617287166</c:v>
                </c:pt>
                <c:pt idx="526">
                  <c:v>103.22345381965316</c:v>
                </c:pt>
                <c:pt idx="527">
                  <c:v>103.51809580950368</c:v>
                </c:pt>
                <c:pt idx="528">
                  <c:v>103.81888622304918</c:v>
                </c:pt>
                <c:pt idx="529">
                  <c:v>104.12591833544718</c:v>
                </c:pt>
                <c:pt idx="530">
                  <c:v>104.43928443940786</c:v>
                </c:pt>
                <c:pt idx="531">
                  <c:v>104.75907565681437</c:v>
                </c:pt>
                <c:pt idx="532">
                  <c:v>105.08538173867633</c:v>
                </c:pt>
                <c:pt idx="533">
                  <c:v>105.41829085318878</c:v>
                </c:pt>
                <c:pt idx="534">
                  <c:v>105.75788936169219</c:v>
                </c:pt>
                <c:pt idx="535">
                  <c:v>106.10426158238035</c:v>
                </c:pt>
                <c:pt idx="536">
                  <c:v>106.45748954164226</c:v>
                </c:pt>
                <c:pt idx="537">
                  <c:v>106.81765271298177</c:v>
                </c:pt>
                <c:pt idx="538">
                  <c:v>107.18482774351878</c:v>
                </c:pt>
                <c:pt idx="539">
                  <c:v>107.55908816814437</c:v>
                </c:pt>
                <c:pt idx="540">
                  <c:v>107.94050411148039</c:v>
                </c:pt>
                <c:pt idx="541">
                  <c:v>108.3291419778779</c:v>
                </c:pt>
              </c:numCache>
            </c:numRef>
          </c:yVal>
          <c:smooth val="1"/>
          <c:extLst>
            <c:ext xmlns:c16="http://schemas.microsoft.com/office/drawing/2014/chart" uri="{C3380CC4-5D6E-409C-BE32-E72D297353CC}">
              <c16:uniqueId val="{00000001-F188-4D39-B62C-FFCB026FFDB3}"/>
            </c:ext>
          </c:extLst>
        </c:ser>
        <c:dLbls>
          <c:showLegendKey val="0"/>
          <c:showVal val="0"/>
          <c:showCatName val="0"/>
          <c:showSerName val="0"/>
          <c:showPercent val="0"/>
          <c:showBubbleSize val="0"/>
        </c:dLbls>
        <c:axId val="161005952"/>
        <c:axId val="160987776"/>
      </c:scatterChart>
      <c:valAx>
        <c:axId val="1609591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0985856"/>
        <c:crosses val="autoZero"/>
        <c:crossBetween val="midCat"/>
      </c:valAx>
      <c:valAx>
        <c:axId val="1609858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60959104"/>
        <c:crosses val="autoZero"/>
        <c:crossBetween val="midCat"/>
        <c:majorUnit val="20"/>
        <c:minorUnit val="10"/>
      </c:valAx>
      <c:valAx>
        <c:axId val="160987776"/>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61005952"/>
        <c:crosses val="max"/>
        <c:crossBetween val="midCat"/>
        <c:majorUnit val="90"/>
        <c:minorUnit val="45"/>
      </c:valAx>
      <c:valAx>
        <c:axId val="161005952"/>
        <c:scaling>
          <c:logBase val="10"/>
          <c:orientation val="minMax"/>
        </c:scaling>
        <c:delete val="1"/>
        <c:axPos val="b"/>
        <c:numFmt formatCode="0.00" sourceLinked="1"/>
        <c:majorTickMark val="out"/>
        <c:minorTickMark val="none"/>
        <c:tickLblPos val="nextTo"/>
        <c:crossAx val="160987776"/>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Eff_vs_IOUT!$AT$7:$AT$157</c:f>
              <c:numCache>
                <c:formatCode>General</c:formatCode>
                <c:ptCount val="151"/>
                <c:pt idx="0">
                  <c:v>0</c:v>
                </c:pt>
                <c:pt idx="1">
                  <c:v>50.162588279232722</c:v>
                </c:pt>
                <c:pt idx="2">
                  <c:v>65.554988640312246</c:v>
                </c:pt>
                <c:pt idx="3">
                  <c:v>73.002824813134751</c:v>
                </c:pt>
                <c:pt idx="4">
                  <c:v>77.385057757274765</c:v>
                </c:pt>
                <c:pt idx="5">
                  <c:v>80.265573638964838</c:v>
                </c:pt>
                <c:pt idx="6">
                  <c:v>82.299638160346404</c:v>
                </c:pt>
                <c:pt idx="7">
                  <c:v>83.809974922442109</c:v>
                </c:pt>
                <c:pt idx="8">
                  <c:v>84.973913825151541</c:v>
                </c:pt>
                <c:pt idx="9">
                  <c:v>85.896953110412042</c:v>
                </c:pt>
                <c:pt idx="10">
                  <c:v>86.645770146608257</c:v>
                </c:pt>
                <c:pt idx="11">
                  <c:v>87.264563823721488</c:v>
                </c:pt>
                <c:pt idx="12">
                  <c:v>87.783784513164932</c:v>
                </c:pt>
                <c:pt idx="13">
                  <c:v>88.2250899359464</c:v>
                </c:pt>
                <c:pt idx="14">
                  <c:v>88.604302228623155</c:v>
                </c:pt>
                <c:pt idx="15">
                  <c:v>88.933247309676332</c:v>
                </c:pt>
                <c:pt idx="16">
                  <c:v>89.220940105836704</c:v>
                </c:pt>
                <c:pt idx="17">
                  <c:v>89.474371791948556</c:v>
                </c:pt>
                <c:pt idx="18">
                  <c:v>89.699046651346919</c:v>
                </c:pt>
                <c:pt idx="19">
                  <c:v>89.89935675613593</c:v>
                </c:pt>
                <c:pt idx="20">
                  <c:v>90.078848866555774</c:v>
                </c:pt>
                <c:pt idx="21">
                  <c:v>90.240418052820914</c:v>
                </c:pt>
                <c:pt idx="22">
                  <c:v>90.386450474299622</c:v>
                </c:pt>
                <c:pt idx="23">
                  <c:v>90.518930231754439</c:v>
                </c:pt>
                <c:pt idx="24">
                  <c:v>90.639520409874947</c:v>
                </c:pt>
                <c:pt idx="25">
                  <c:v>90.749625298092667</c:v>
                </c:pt>
                <c:pt idx="26">
                  <c:v>90.850438696555685</c:v>
                </c:pt>
                <c:pt idx="27">
                  <c:v>90.942981805124987</c:v>
                </c:pt>
                <c:pt idx="28">
                  <c:v>91.028133223549162</c:v>
                </c:pt>
                <c:pt idx="29">
                  <c:v>91.106652913506679</c:v>
                </c:pt>
                <c:pt idx="30">
                  <c:v>91.179201493302983</c:v>
                </c:pt>
                <c:pt idx="31">
                  <c:v>91.246355891676259</c:v>
                </c:pt>
                <c:pt idx="32">
                  <c:v>91.308622137151048</c:v>
                </c:pt>
                <c:pt idx="33">
                  <c:v>91.366445875828475</c:v>
                </c:pt>
                <c:pt idx="34">
                  <c:v>91.420221074352085</c:v>
                </c:pt>
                <c:pt idx="35">
                  <c:v>91.470297262818818</c:v>
                </c:pt>
                <c:pt idx="36">
                  <c:v>91.516985595342561</c:v>
                </c:pt>
                <c:pt idx="37">
                  <c:v>91.560563947243153</c:v>
                </c:pt>
                <c:pt idx="38">
                  <c:v>91.601281222708536</c:v>
                </c:pt>
                <c:pt idx="39">
                  <c:v>91.639361011848649</c:v>
                </c:pt>
                <c:pt idx="40">
                  <c:v>91.675004708827601</c:v>
                </c:pt>
                <c:pt idx="41">
                  <c:v>91.708394181389664</c:v>
                </c:pt>
                <c:pt idx="42">
                  <c:v>91.739694065213357</c:v>
                </c:pt>
                <c:pt idx="43">
                  <c:v>91.7690537431141</c:v>
                </c:pt>
                <c:pt idx="44">
                  <c:v>91.796609058396541</c:v>
                </c:pt>
                <c:pt idx="45">
                  <c:v>91.822483803042573</c:v>
                </c:pt>
                <c:pt idx="46">
                  <c:v>91.846791014463676</c:v>
                </c:pt>
                <c:pt idx="47">
                  <c:v>91.86963410889804</c:v>
                </c:pt>
                <c:pt idx="48">
                  <c:v>91.891107874926448</c:v>
                </c:pt>
                <c:pt idx="49">
                  <c:v>91.583502203512282</c:v>
                </c:pt>
                <c:pt idx="50">
                  <c:v>91.596284922211424</c:v>
                </c:pt>
                <c:pt idx="51">
                  <c:v>91.607539455328791</c:v>
                </c:pt>
                <c:pt idx="52">
                  <c:v>91.617353062704709</c:v>
                </c:pt>
                <c:pt idx="53">
                  <c:v>91.62580654937689</c:v>
                </c:pt>
                <c:pt idx="54">
                  <c:v>91.632974851498332</c:v>
                </c:pt>
                <c:pt idx="55">
                  <c:v>91.638927559571002</c:v>
                </c:pt>
                <c:pt idx="56">
                  <c:v>91.643729386682452</c:v>
                </c:pt>
                <c:pt idx="57">
                  <c:v>91.647440588373215</c:v>
                </c:pt>
                <c:pt idx="58">
                  <c:v>91.650117339866014</c:v>
                </c:pt>
                <c:pt idx="59">
                  <c:v>91.651812075623894</c:v>
                </c:pt>
                <c:pt idx="60">
                  <c:v>91.652573795554744</c:v>
                </c:pt>
                <c:pt idx="61">
                  <c:v>91.652448341622659</c:v>
                </c:pt>
                <c:pt idx="62">
                  <c:v>91.651478648149947</c:v>
                </c:pt>
                <c:pt idx="63">
                  <c:v>91.649704968683793</c:v>
                </c:pt>
                <c:pt idx="64">
                  <c:v>91.647165081948131</c:v>
                </c:pt>
                <c:pt idx="65">
                  <c:v>91.643894479095948</c:v>
                </c:pt>
                <c:pt idx="66">
                  <c:v>91.639926534213586</c:v>
                </c:pt>
                <c:pt idx="67">
                  <c:v>91.635292659798907</c:v>
                </c:pt>
                <c:pt idx="68">
                  <c:v>91.630022448735758</c:v>
                </c:pt>
                <c:pt idx="69">
                  <c:v>91.6241438041137</c:v>
                </c:pt>
                <c:pt idx="70">
                  <c:v>91.61768305808971</c:v>
                </c:pt>
                <c:pt idx="71">
                  <c:v>91.610665080856393</c:v>
                </c:pt>
                <c:pt idx="72">
                  <c:v>91.603113380663771</c:v>
                </c:pt>
                <c:pt idx="73">
                  <c:v>91.595050195740498</c:v>
                </c:pt>
                <c:pt idx="74">
                  <c:v>91.586496578869443</c:v>
                </c:pt>
                <c:pt idx="75">
                  <c:v>91.577472475293447</c:v>
                </c:pt>
                <c:pt idx="76">
                  <c:v>91.567996794557203</c:v>
                </c:pt>
                <c:pt idx="77">
                  <c:v>91.558087476828547</c:v>
                </c:pt>
                <c:pt idx="78">
                  <c:v>91.547761554188028</c:v>
                </c:pt>
                <c:pt idx="79">
                  <c:v>91.537035207326582</c:v>
                </c:pt>
                <c:pt idx="80">
                  <c:v>91.525923818047573</c:v>
                </c:pt>
                <c:pt idx="81">
                  <c:v>91.514442017931202</c:v>
                </c:pt>
                <c:pt idx="82">
                  <c:v>91.502603733484449</c:v>
                </c:pt>
                <c:pt idx="83">
                  <c:v>91.490422228069207</c:v>
                </c:pt>
                <c:pt idx="84">
                  <c:v>91.477910140873647</c:v>
                </c:pt>
                <c:pt idx="85">
                  <c:v>91.465079523167418</c:v>
                </c:pt>
                <c:pt idx="86">
                  <c:v>91.451941872058626</c:v>
                </c:pt>
                <c:pt idx="87">
                  <c:v>91.438508161951603</c:v>
                </c:pt>
                <c:pt idx="88">
                  <c:v>91.424788873885703</c:v>
                </c:pt>
                <c:pt idx="89">
                  <c:v>91.410794022920143</c:v>
                </c:pt>
                <c:pt idx="90">
                  <c:v>91.396533183714794</c:v>
                </c:pt>
                <c:pt idx="91">
                  <c:v>91.382015514444163</c:v>
                </c:pt>
                <c:pt idx="92">
                  <c:v>91.367249779169953</c:v>
                </c:pt>
                <c:pt idx="93">
                  <c:v>91.352244368786899</c:v>
                </c:pt>
                <c:pt idx="94">
                  <c:v>91.337007320646663</c:v>
                </c:pt>
                <c:pt idx="95">
                  <c:v>91.321546336956516</c:v>
                </c:pt>
                <c:pt idx="96">
                  <c:v>91.305868802040806</c:v>
                </c:pt>
                <c:pt idx="97">
                  <c:v>91.289981798546521</c:v>
                </c:pt>
                <c:pt idx="98">
                  <c:v>91.273892122667561</c:v>
                </c:pt>
                <c:pt idx="99">
                  <c:v>91.257606298456125</c:v>
                </c:pt>
                <c:pt idx="100">
                  <c:v>91.241130591284971</c:v>
                </c:pt>
                <c:pt idx="101">
                  <c:v>91.224471020518081</c:v>
                </c:pt>
                <c:pt idx="102">
                  <c:v>91.207633371443919</c:v>
                </c:pt>
                <c:pt idx="103">
                  <c:v>91.190623206520868</c:v>
                </c:pt>
                <c:pt idx="104">
                  <c:v>91.173445875980548</c:v>
                </c:pt>
                <c:pt idx="105">
                  <c:v>91.156106527831284</c:v>
                </c:pt>
                <c:pt idx="106">
                  <c:v>91.138610117301226</c:v>
                </c:pt>
                <c:pt idx="107">
                  <c:v>91.120961415757193</c:v>
                </c:pt>
                <c:pt idx="108">
                  <c:v>91.103165019132931</c:v>
                </c:pt>
                <c:pt idx="109">
                  <c:v>91.085225355898018</c:v>
                </c:pt>
                <c:pt idx="110">
                  <c:v>91.067146694596303</c:v>
                </c:pt>
                <c:pt idx="111">
                  <c:v>91.048933150980787</c:v>
                </c:pt>
                <c:pt idx="112">
                  <c:v>91.030588694770046</c:v>
                </c:pt>
                <c:pt idx="113">
                  <c:v>91.0121171560492</c:v>
                </c:pt>
                <c:pt idx="114">
                  <c:v>90.993522231337181</c:v>
                </c:pt>
                <c:pt idx="115">
                  <c:v>90.974807489340407</c:v>
                </c:pt>
                <c:pt idx="116">
                  <c:v>90.955976376411613</c:v>
                </c:pt>
                <c:pt idx="117">
                  <c:v>90.937032221731343</c:v>
                </c:pt>
                <c:pt idx="118">
                  <c:v>90.917978242228259</c:v>
                </c:pt>
                <c:pt idx="119">
                  <c:v>90.898817547253742</c:v>
                </c:pt>
                <c:pt idx="120">
                  <c:v>90.879553143024751</c:v>
                </c:pt>
                <c:pt idx="121">
                  <c:v>90.860187936848348</c:v>
                </c:pt>
                <c:pt idx="122">
                  <c:v>90.840724741140349</c:v>
                </c:pt>
                <c:pt idx="123">
                  <c:v>90.821166277249588</c:v>
                </c:pt>
                <c:pt idx="124">
                  <c:v>90.801515179098715</c:v>
                </c:pt>
                <c:pt idx="125">
                  <c:v>90.781773996651836</c:v>
                </c:pt>
                <c:pt idx="126">
                  <c:v>90.761945199218346</c:v>
                </c:pt>
                <c:pt idx="127">
                  <c:v>90.742031178602019</c:v>
                </c:pt>
                <c:pt idx="128">
                  <c:v>90.722034252103697</c:v>
                </c:pt>
                <c:pt idx="129">
                  <c:v>90.701956665385623</c:v>
                </c:pt>
                <c:pt idx="130">
                  <c:v>90.681800595204365</c:v>
                </c:pt>
                <c:pt idx="131">
                  <c:v>90.661568152019967</c:v>
                </c:pt>
                <c:pt idx="132">
                  <c:v>90.641261382487116</c:v>
                </c:pt>
                <c:pt idx="133">
                  <c:v>90.620882271835143</c:v>
                </c:pt>
                <c:pt idx="134">
                  <c:v>90.600432746142062</c:v>
                </c:pt>
                <c:pt idx="135">
                  <c:v>90.579914674508444</c:v>
                </c:pt>
                <c:pt idx="136">
                  <c:v>90.559329871136214</c:v>
                </c:pt>
                <c:pt idx="137">
                  <c:v>90.538680097316941</c:v>
                </c:pt>
                <c:pt idx="138">
                  <c:v>90.517967063334638</c:v>
                </c:pt>
                <c:pt idx="139">
                  <c:v>90.497192430286617</c:v>
                </c:pt>
                <c:pt idx="140">
                  <c:v>90.476357811827427</c:v>
                </c:pt>
                <c:pt idx="141">
                  <c:v>90.45546477583872</c:v>
                </c:pt>
                <c:pt idx="142">
                  <c:v>90.434514846029344</c:v>
                </c:pt>
                <c:pt idx="143">
                  <c:v>90.413509503468688</c:v>
                </c:pt>
                <c:pt idx="144">
                  <c:v>90.392450188056657</c:v>
                </c:pt>
                <c:pt idx="145">
                  <c:v>90.371338299933257</c:v>
                </c:pt>
                <c:pt idx="146">
                  <c:v>90.350175200830691</c:v>
                </c:pt>
                <c:pt idx="147">
                  <c:v>90.328962215370623</c:v>
                </c:pt>
                <c:pt idx="148">
                  <c:v>90.307700632309377</c:v>
                </c:pt>
                <c:pt idx="149">
                  <c:v>90.286391705733067</c:v>
                </c:pt>
                <c:pt idx="150">
                  <c:v>90.265036656205581</c:v>
                </c:pt>
              </c:numCache>
            </c:numRef>
          </c:yVal>
          <c:smooth val="0"/>
          <c:extLst>
            <c:ext xmlns:c16="http://schemas.microsoft.com/office/drawing/2014/chart" uri="{C3380CC4-5D6E-409C-BE32-E72D297353CC}">
              <c16:uniqueId val="{00000000-D428-476F-9D9B-414A5D21B4D3}"/>
            </c:ext>
          </c:extLst>
        </c:ser>
        <c:dLbls>
          <c:showLegendKey val="0"/>
          <c:showVal val="0"/>
          <c:showCatName val="0"/>
          <c:showSerName val="0"/>
          <c:showPercent val="0"/>
          <c:showBubbleSize val="0"/>
        </c:dLbls>
        <c:axId val="161084544"/>
        <c:axId val="16108608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Eff_vs_IOUT!$AI$7:$AI$157</c:f>
              <c:numCache>
                <c:formatCode>General</c:formatCode>
                <c:ptCount val="151"/>
                <c:pt idx="0">
                  <c:v>0</c:v>
                </c:pt>
                <c:pt idx="1">
                  <c:v>4.2981071802089928E-4</c:v>
                </c:pt>
                <c:pt idx="2">
                  <c:v>8.6348602691494586E-4</c:v>
                </c:pt>
                <c:pt idx="3">
                  <c:v>1.2996771476841136E-3</c:v>
                </c:pt>
                <c:pt idx="4">
                  <c:v>1.7379027674815481E-3</c:v>
                </c:pt>
                <c:pt idx="5">
                  <c:v>2.1778847140606259E-3</c:v>
                </c:pt>
                <c:pt idx="6">
                  <c:v>2.6194352985965015E-3</c:v>
                </c:pt>
                <c:pt idx="7">
                  <c:v>3.0624167339484308E-3</c:v>
                </c:pt>
                <c:pt idx="8">
                  <c:v>3.5067222619482746E-3</c:v>
                </c:pt>
                <c:pt idx="9">
                  <c:v>3.9522659914788738E-3</c:v>
                </c:pt>
                <c:pt idx="10">
                  <c:v>4.3989768676091648E-3</c:v>
                </c:pt>
                <c:pt idx="11">
                  <c:v>4.8467948329568048E-3</c:v>
                </c:pt>
                <c:pt idx="12">
                  <c:v>5.2956682514159695E-3</c:v>
                </c:pt>
                <c:pt idx="13">
                  <c:v>5.7455521055976974E-3</c:v>
                </c:pt>
                <c:pt idx="14">
                  <c:v>6.1964066924823655E-3</c:v>
                </c:pt>
                <c:pt idx="15">
                  <c:v>6.648196653014562E-3</c:v>
                </c:pt>
                <c:pt idx="16">
                  <c:v>7.1008902331098009E-3</c:v>
                </c:pt>
                <c:pt idx="17">
                  <c:v>7.5544587095910951E-3</c:v>
                </c:pt>
                <c:pt idx="18">
                  <c:v>8.008875936532725E-3</c:v>
                </c:pt>
                <c:pt idx="19">
                  <c:v>8.464117981356184E-3</c:v>
                </c:pt>
                <c:pt idx="20">
                  <c:v>8.9201628290567735E-3</c:v>
                </c:pt>
                <c:pt idx="21">
                  <c:v>9.3769901389852538E-3</c:v>
                </c:pt>
                <c:pt idx="22">
                  <c:v>9.834581042752687E-3</c:v>
                </c:pt>
                <c:pt idx="23">
                  <c:v>1.0292917974726933E-2</c:v>
                </c:pt>
                <c:pt idx="24">
                  <c:v>1.0751984528658134E-2</c:v>
                </c:pt>
                <c:pt idx="25">
                  <c:v>1.121176533547126E-2</c:v>
                </c:pt>
                <c:pt idx="26">
                  <c:v>1.167224595836909E-2</c:v>
                </c:pt>
                <c:pt idx="27">
                  <c:v>1.2133412802214841E-2</c:v>
                </c:pt>
                <c:pt idx="28">
                  <c:v>1.2595253034787922E-2</c:v>
                </c:pt>
                <c:pt idx="29">
                  <c:v>1.30577545179844E-2</c:v>
                </c:pt>
                <c:pt idx="30">
                  <c:v>1.3520905747403193E-2</c:v>
                </c:pt>
                <c:pt idx="31">
                  <c:v>1.3984695799047828E-2</c:v>
                </c:pt>
                <c:pt idx="32">
                  <c:v>1.4449114282101029E-2</c:v>
                </c:pt>
                <c:pt idx="33">
                  <c:v>1.4914151296910438E-2</c:v>
                </c:pt>
                <c:pt idx="34">
                  <c:v>1.5379797397468524E-2</c:v>
                </c:pt>
                <c:pt idx="35">
                  <c:v>1.5846043557786904E-2</c:v>
                </c:pt>
                <c:pt idx="36">
                  <c:v>1.6312881141660174E-2</c:v>
                </c:pt>
                <c:pt idx="37">
                  <c:v>1.678030187539218E-2</c:v>
                </c:pt>
                <c:pt idx="38">
                  <c:v>1.7248297823121764E-2</c:v>
                </c:pt>
                <c:pt idx="39">
                  <c:v>1.7716861364437692E-2</c:v>
                </c:pt>
                <c:pt idx="40">
                  <c:v>1.8185985174016851E-2</c:v>
                </c:pt>
                <c:pt idx="41">
                  <c:v>1.8655662203056336E-2</c:v>
                </c:pt>
                <c:pt idx="42">
                  <c:v>1.91258856623014E-2</c:v>
                </c:pt>
                <c:pt idx="43">
                  <c:v>1.959664900649687E-2</c:v>
                </c:pt>
                <c:pt idx="44">
                  <c:v>2.0067945920112334E-2</c:v>
                </c:pt>
                <c:pt idx="45">
                  <c:v>2.0539770304209844E-2</c:v>
                </c:pt>
                <c:pt idx="46">
                  <c:v>2.1012116264339235E-2</c:v>
                </c:pt>
                <c:pt idx="47">
                  <c:v>2.1484978099359932E-2</c:v>
                </c:pt>
                <c:pt idx="48">
                  <c:v>2.1958350291100003E-2</c:v>
                </c:pt>
                <c:pt idx="49">
                  <c:v>2.2713945050231252E-2</c:v>
                </c:pt>
                <c:pt idx="50">
                  <c:v>2.3200227368476743E-2</c:v>
                </c:pt>
                <c:pt idx="51">
                  <c:v>2.3687744769026745E-2</c:v>
                </c:pt>
                <c:pt idx="52">
                  <c:v>2.4176497251881288E-2</c:v>
                </c:pt>
                <c:pt idx="53">
                  <c:v>2.4666484817040354E-2</c:v>
                </c:pt>
                <c:pt idx="54">
                  <c:v>2.5157707464503951E-2</c:v>
                </c:pt>
                <c:pt idx="55">
                  <c:v>2.565016519427207E-2</c:v>
                </c:pt>
                <c:pt idx="56">
                  <c:v>2.6143858006344715E-2</c:v>
                </c:pt>
                <c:pt idx="57">
                  <c:v>2.6638785900721888E-2</c:v>
                </c:pt>
                <c:pt idx="58">
                  <c:v>2.713494887740359E-2</c:v>
                </c:pt>
                <c:pt idx="59">
                  <c:v>2.7632346936389815E-2</c:v>
                </c:pt>
                <c:pt idx="60">
                  <c:v>2.813098007768057E-2</c:v>
                </c:pt>
                <c:pt idx="61">
                  <c:v>2.8630848301275845E-2</c:v>
                </c:pt>
                <c:pt idx="62">
                  <c:v>2.9131951607175657E-2</c:v>
                </c:pt>
                <c:pt idx="63">
                  <c:v>2.9634289995379981E-2</c:v>
                </c:pt>
                <c:pt idx="64">
                  <c:v>3.0137863465888842E-2</c:v>
                </c:pt>
                <c:pt idx="65">
                  <c:v>3.0642672018702237E-2</c:v>
                </c:pt>
                <c:pt idx="66">
                  <c:v>3.1148715653820151E-2</c:v>
                </c:pt>
                <c:pt idx="67">
                  <c:v>3.1655994371242585E-2</c:v>
                </c:pt>
                <c:pt idx="68">
                  <c:v>3.2164508170969559E-2</c:v>
                </c:pt>
                <c:pt idx="69">
                  <c:v>3.2674257053001053E-2</c:v>
                </c:pt>
                <c:pt idx="70">
                  <c:v>3.3185241017337067E-2</c:v>
                </c:pt>
                <c:pt idx="71">
                  <c:v>3.369746006397762E-2</c:v>
                </c:pt>
                <c:pt idx="72">
                  <c:v>3.4210914192922694E-2</c:v>
                </c:pt>
                <c:pt idx="73">
                  <c:v>3.4725603404172294E-2</c:v>
                </c:pt>
                <c:pt idx="74">
                  <c:v>3.524152769772642E-2</c:v>
                </c:pt>
                <c:pt idx="75">
                  <c:v>3.5758687073585066E-2</c:v>
                </c:pt>
                <c:pt idx="76">
                  <c:v>3.6277081531748259E-2</c:v>
                </c:pt>
                <c:pt idx="77">
                  <c:v>3.6796711072215965E-2</c:v>
                </c:pt>
                <c:pt idx="78">
                  <c:v>3.7317575694988191E-2</c:v>
                </c:pt>
                <c:pt idx="79">
                  <c:v>3.7839675400064957E-2</c:v>
                </c:pt>
                <c:pt idx="80">
                  <c:v>3.8363010187446256E-2</c:v>
                </c:pt>
                <c:pt idx="81">
                  <c:v>3.8887580057132068E-2</c:v>
                </c:pt>
                <c:pt idx="82">
                  <c:v>3.9413385009122399E-2</c:v>
                </c:pt>
                <c:pt idx="83">
                  <c:v>3.9940425043417271E-2</c:v>
                </c:pt>
                <c:pt idx="84">
                  <c:v>4.046870016001667E-2</c:v>
                </c:pt>
                <c:pt idx="85">
                  <c:v>4.0998210358920595E-2</c:v>
                </c:pt>
                <c:pt idx="86">
                  <c:v>4.1528955640129039E-2</c:v>
                </c:pt>
                <c:pt idx="87">
                  <c:v>4.2060936003642024E-2</c:v>
                </c:pt>
                <c:pt idx="88">
                  <c:v>4.2594151449459508E-2</c:v>
                </c:pt>
                <c:pt idx="89">
                  <c:v>4.3128601977581539E-2</c:v>
                </c:pt>
                <c:pt idx="90">
                  <c:v>4.366428758800811E-2</c:v>
                </c:pt>
                <c:pt idx="91">
                  <c:v>4.4201208280739181E-2</c:v>
                </c:pt>
                <c:pt idx="92">
                  <c:v>4.4739364055774798E-2</c:v>
                </c:pt>
                <c:pt idx="93">
                  <c:v>4.5278754913114921E-2</c:v>
                </c:pt>
                <c:pt idx="94">
                  <c:v>4.5819380852759585E-2</c:v>
                </c:pt>
                <c:pt idx="95">
                  <c:v>4.6361241874708789E-2</c:v>
                </c:pt>
                <c:pt idx="96">
                  <c:v>4.6904337978962492E-2</c:v>
                </c:pt>
                <c:pt idx="97">
                  <c:v>4.7448669165520742E-2</c:v>
                </c:pt>
                <c:pt idx="98">
                  <c:v>4.7994235434383511E-2</c:v>
                </c:pt>
                <c:pt idx="99">
                  <c:v>4.8541036785550801E-2</c:v>
                </c:pt>
                <c:pt idx="100">
                  <c:v>4.9089073219022637E-2</c:v>
                </c:pt>
                <c:pt idx="101">
                  <c:v>4.963834473479898E-2</c:v>
                </c:pt>
                <c:pt idx="102">
                  <c:v>5.0188851332879841E-2</c:v>
                </c:pt>
                <c:pt idx="103">
                  <c:v>5.0740593013265257E-2</c:v>
                </c:pt>
                <c:pt idx="104">
                  <c:v>5.1293569775955186E-2</c:v>
                </c:pt>
                <c:pt idx="105">
                  <c:v>5.1847781620949634E-2</c:v>
                </c:pt>
                <c:pt idx="106">
                  <c:v>5.240322854824863E-2</c:v>
                </c:pt>
                <c:pt idx="107">
                  <c:v>5.2959910557852125E-2</c:v>
                </c:pt>
                <c:pt idx="108">
                  <c:v>5.3517827649760173E-2</c:v>
                </c:pt>
                <c:pt idx="109">
                  <c:v>5.4076979823972741E-2</c:v>
                </c:pt>
                <c:pt idx="110">
                  <c:v>5.4637367080489836E-2</c:v>
                </c:pt>
                <c:pt idx="111">
                  <c:v>5.5198989419311451E-2</c:v>
                </c:pt>
                <c:pt idx="112">
                  <c:v>5.5761846840437584E-2</c:v>
                </c:pt>
                <c:pt idx="113">
                  <c:v>5.6325939343868259E-2</c:v>
                </c:pt>
                <c:pt idx="114">
                  <c:v>5.6891266929603466E-2</c:v>
                </c:pt>
                <c:pt idx="115">
                  <c:v>5.7457829597643187E-2</c:v>
                </c:pt>
                <c:pt idx="116">
                  <c:v>5.8025627347987441E-2</c:v>
                </c:pt>
                <c:pt idx="117">
                  <c:v>5.8594660180636207E-2</c:v>
                </c:pt>
                <c:pt idx="118">
                  <c:v>5.9164928095589514E-2</c:v>
                </c:pt>
                <c:pt idx="119">
                  <c:v>5.9736431092847347E-2</c:v>
                </c:pt>
                <c:pt idx="120">
                  <c:v>6.0309169172409714E-2</c:v>
                </c:pt>
                <c:pt idx="121">
                  <c:v>6.0883142334276601E-2</c:v>
                </c:pt>
                <c:pt idx="122">
                  <c:v>6.1458350578448007E-2</c:v>
                </c:pt>
                <c:pt idx="123">
                  <c:v>6.2034793904923953E-2</c:v>
                </c:pt>
                <c:pt idx="124">
                  <c:v>6.2612472313704412E-2</c:v>
                </c:pt>
                <c:pt idx="125">
                  <c:v>6.3191385804789404E-2</c:v>
                </c:pt>
                <c:pt idx="126">
                  <c:v>6.377153437817891E-2</c:v>
                </c:pt>
                <c:pt idx="127">
                  <c:v>6.4352918033872955E-2</c:v>
                </c:pt>
                <c:pt idx="128">
                  <c:v>6.4935536771871527E-2</c:v>
                </c:pt>
                <c:pt idx="129">
                  <c:v>6.5519390592174626E-2</c:v>
                </c:pt>
                <c:pt idx="130">
                  <c:v>6.6104479494782264E-2</c:v>
                </c:pt>
                <c:pt idx="131">
                  <c:v>6.6690803479694416E-2</c:v>
                </c:pt>
                <c:pt idx="132">
                  <c:v>6.7278362546911094E-2</c:v>
                </c:pt>
                <c:pt idx="133">
                  <c:v>6.7867156696432299E-2</c:v>
                </c:pt>
                <c:pt idx="134">
                  <c:v>6.845718592825803E-2</c:v>
                </c:pt>
                <c:pt idx="135">
                  <c:v>6.9048450242388315E-2</c:v>
                </c:pt>
                <c:pt idx="136">
                  <c:v>6.9640949638823085E-2</c:v>
                </c:pt>
                <c:pt idx="137">
                  <c:v>7.0234684117562382E-2</c:v>
                </c:pt>
                <c:pt idx="138">
                  <c:v>7.0829653678606233E-2</c:v>
                </c:pt>
                <c:pt idx="139">
                  <c:v>7.1425858321954597E-2</c:v>
                </c:pt>
                <c:pt idx="140">
                  <c:v>7.2023298047607473E-2</c:v>
                </c:pt>
                <c:pt idx="141">
                  <c:v>7.2621972855564904E-2</c:v>
                </c:pt>
                <c:pt idx="142">
                  <c:v>7.3221882745826861E-2</c:v>
                </c:pt>
                <c:pt idx="143">
                  <c:v>7.382302771839333E-2</c:v>
                </c:pt>
                <c:pt idx="144">
                  <c:v>7.442540777326434E-2</c:v>
                </c:pt>
                <c:pt idx="145">
                  <c:v>7.5029022910439863E-2</c:v>
                </c:pt>
                <c:pt idx="146">
                  <c:v>7.5633873129919912E-2</c:v>
                </c:pt>
                <c:pt idx="147">
                  <c:v>7.6239958431704502E-2</c:v>
                </c:pt>
                <c:pt idx="148">
                  <c:v>7.6847278815793604E-2</c:v>
                </c:pt>
                <c:pt idx="149">
                  <c:v>7.7455834282187247E-2</c:v>
                </c:pt>
                <c:pt idx="150">
                  <c:v>7.8065624830885388E-2</c:v>
                </c:pt>
              </c:numCache>
            </c:numRef>
          </c:yVal>
          <c:smooth val="1"/>
          <c:extLst>
            <c:ext xmlns:c16="http://schemas.microsoft.com/office/drawing/2014/chart" uri="{C3380CC4-5D6E-409C-BE32-E72D297353CC}">
              <c16:uniqueId val="{00000001-D428-476F-9D9B-414A5D21B4D3}"/>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Eff_vs_IOUT!$AN$7:$AN$157</c:f>
              <c:numCache>
                <c:formatCode>General</c:formatCode>
                <c:ptCount val="151"/>
                <c:pt idx="0">
                  <c:v>4.5814800000000003E-2</c:v>
                </c:pt>
                <c:pt idx="1">
                  <c:v>4.8498133333333339E-2</c:v>
                </c:pt>
                <c:pt idx="2">
                  <c:v>5.1181466666666668E-2</c:v>
                </c:pt>
                <c:pt idx="3">
                  <c:v>5.3864800000000004E-2</c:v>
                </c:pt>
                <c:pt idx="4">
                  <c:v>5.6548133333333334E-2</c:v>
                </c:pt>
                <c:pt idx="5">
                  <c:v>5.923146666666667E-2</c:v>
                </c:pt>
                <c:pt idx="6">
                  <c:v>6.1914800000000006E-2</c:v>
                </c:pt>
                <c:pt idx="7">
                  <c:v>6.4598133333333335E-2</c:v>
                </c:pt>
                <c:pt idx="8">
                  <c:v>6.7281466666666678E-2</c:v>
                </c:pt>
                <c:pt idx="9">
                  <c:v>6.9964800000000008E-2</c:v>
                </c:pt>
                <c:pt idx="10">
                  <c:v>7.2648133333333337E-2</c:v>
                </c:pt>
                <c:pt idx="11">
                  <c:v>7.5331466666666666E-2</c:v>
                </c:pt>
                <c:pt idx="12">
                  <c:v>7.8014800000000009E-2</c:v>
                </c:pt>
                <c:pt idx="13">
                  <c:v>8.0698133333333338E-2</c:v>
                </c:pt>
                <c:pt idx="14">
                  <c:v>8.3381466666666668E-2</c:v>
                </c:pt>
                <c:pt idx="15">
                  <c:v>8.6064800000000011E-2</c:v>
                </c:pt>
                <c:pt idx="16">
                  <c:v>8.874813333333334E-2</c:v>
                </c:pt>
                <c:pt idx="17">
                  <c:v>9.1431466666666669E-2</c:v>
                </c:pt>
                <c:pt idx="18">
                  <c:v>9.4114800000000012E-2</c:v>
                </c:pt>
                <c:pt idx="19">
                  <c:v>9.6798133333333342E-2</c:v>
                </c:pt>
                <c:pt idx="20">
                  <c:v>9.9481466666666671E-2</c:v>
                </c:pt>
                <c:pt idx="21">
                  <c:v>0.10216480000000001</c:v>
                </c:pt>
                <c:pt idx="22">
                  <c:v>0.10484813333333334</c:v>
                </c:pt>
                <c:pt idx="23">
                  <c:v>0.10753146666666669</c:v>
                </c:pt>
                <c:pt idx="24">
                  <c:v>0.11021480000000002</c:v>
                </c:pt>
                <c:pt idx="25">
                  <c:v>0.11289813333333334</c:v>
                </c:pt>
                <c:pt idx="26">
                  <c:v>0.11558146666666667</c:v>
                </c:pt>
                <c:pt idx="27">
                  <c:v>0.1182648</c:v>
                </c:pt>
                <c:pt idx="28">
                  <c:v>0.12094813333333333</c:v>
                </c:pt>
                <c:pt idx="29">
                  <c:v>0.12363146666666668</c:v>
                </c:pt>
                <c:pt idx="30">
                  <c:v>0.1263148</c:v>
                </c:pt>
                <c:pt idx="31">
                  <c:v>0.12899813333333335</c:v>
                </c:pt>
                <c:pt idx="32">
                  <c:v>0.13168146666666669</c:v>
                </c:pt>
                <c:pt idx="33">
                  <c:v>0.13436480000000001</c:v>
                </c:pt>
                <c:pt idx="34">
                  <c:v>0.13704813333333332</c:v>
                </c:pt>
                <c:pt idx="35">
                  <c:v>0.13973146666666666</c:v>
                </c:pt>
                <c:pt idx="36">
                  <c:v>0.14241480000000001</c:v>
                </c:pt>
                <c:pt idx="37">
                  <c:v>0.14509813333333335</c:v>
                </c:pt>
                <c:pt idx="38">
                  <c:v>0.14778146666666669</c:v>
                </c:pt>
                <c:pt idx="39">
                  <c:v>0.15046480000000001</c:v>
                </c:pt>
                <c:pt idx="40">
                  <c:v>0.15314813333333333</c:v>
                </c:pt>
                <c:pt idx="41">
                  <c:v>0.15583146666666667</c:v>
                </c:pt>
                <c:pt idx="42">
                  <c:v>0.15851480000000001</c:v>
                </c:pt>
                <c:pt idx="43">
                  <c:v>0.16119813333333335</c:v>
                </c:pt>
                <c:pt idx="44">
                  <c:v>0.16388146666666667</c:v>
                </c:pt>
                <c:pt idx="45">
                  <c:v>0.16656480000000001</c:v>
                </c:pt>
                <c:pt idx="46">
                  <c:v>0.16924813333333336</c:v>
                </c:pt>
                <c:pt idx="47">
                  <c:v>0.1719314666666667</c:v>
                </c:pt>
                <c:pt idx="48">
                  <c:v>0.17461480000000001</c:v>
                </c:pt>
                <c:pt idx="49">
                  <c:v>0.17729813333333333</c:v>
                </c:pt>
                <c:pt idx="50">
                  <c:v>0.1799814666666667</c:v>
                </c:pt>
                <c:pt idx="51">
                  <c:v>0.18266480000000002</c:v>
                </c:pt>
                <c:pt idx="52">
                  <c:v>0.18534813333333333</c:v>
                </c:pt>
                <c:pt idx="53">
                  <c:v>0.1880314666666667</c:v>
                </c:pt>
                <c:pt idx="54">
                  <c:v>0.19071480000000002</c:v>
                </c:pt>
                <c:pt idx="55">
                  <c:v>0.19339813333333333</c:v>
                </c:pt>
                <c:pt idx="56">
                  <c:v>0.19608146666666665</c:v>
                </c:pt>
                <c:pt idx="57">
                  <c:v>0.19876480000000002</c:v>
                </c:pt>
                <c:pt idx="58">
                  <c:v>0.20144813333333333</c:v>
                </c:pt>
                <c:pt idx="59">
                  <c:v>0.20413146666666671</c:v>
                </c:pt>
                <c:pt idx="60">
                  <c:v>0.20681480000000002</c:v>
                </c:pt>
                <c:pt idx="61">
                  <c:v>0.20949813333333334</c:v>
                </c:pt>
                <c:pt idx="62">
                  <c:v>0.21218146666666671</c:v>
                </c:pt>
                <c:pt idx="63">
                  <c:v>0.21486480000000002</c:v>
                </c:pt>
                <c:pt idx="64">
                  <c:v>0.21754813333333334</c:v>
                </c:pt>
                <c:pt idx="65">
                  <c:v>0.22023146666666671</c:v>
                </c:pt>
                <c:pt idx="66">
                  <c:v>0.22291480000000002</c:v>
                </c:pt>
                <c:pt idx="67">
                  <c:v>0.22559813333333334</c:v>
                </c:pt>
                <c:pt idx="68">
                  <c:v>0.22828146666666665</c:v>
                </c:pt>
                <c:pt idx="69">
                  <c:v>0.23096480000000003</c:v>
                </c:pt>
                <c:pt idx="70">
                  <c:v>0.23364813333333334</c:v>
                </c:pt>
                <c:pt idx="71">
                  <c:v>0.23633146666666671</c:v>
                </c:pt>
                <c:pt idx="72">
                  <c:v>0.23901480000000003</c:v>
                </c:pt>
                <c:pt idx="73">
                  <c:v>0.24169813333333334</c:v>
                </c:pt>
                <c:pt idx="74">
                  <c:v>0.24438146666666671</c:v>
                </c:pt>
                <c:pt idx="75">
                  <c:v>0.24706480000000003</c:v>
                </c:pt>
                <c:pt idx="76">
                  <c:v>0.24974813333333334</c:v>
                </c:pt>
                <c:pt idx="77">
                  <c:v>0.25243146666666672</c:v>
                </c:pt>
                <c:pt idx="78">
                  <c:v>0.25511480000000003</c:v>
                </c:pt>
                <c:pt idx="79">
                  <c:v>0.25779813333333335</c:v>
                </c:pt>
                <c:pt idx="80">
                  <c:v>0.26048146666666666</c:v>
                </c:pt>
                <c:pt idx="81">
                  <c:v>0.26316480000000003</c:v>
                </c:pt>
                <c:pt idx="82">
                  <c:v>0.26584813333333335</c:v>
                </c:pt>
                <c:pt idx="83">
                  <c:v>0.26853146666666666</c:v>
                </c:pt>
                <c:pt idx="84">
                  <c:v>0.27121480000000003</c:v>
                </c:pt>
                <c:pt idx="85">
                  <c:v>0.27389813333333335</c:v>
                </c:pt>
                <c:pt idx="86">
                  <c:v>0.27658146666666672</c:v>
                </c:pt>
                <c:pt idx="87">
                  <c:v>0.27926480000000004</c:v>
                </c:pt>
                <c:pt idx="88">
                  <c:v>0.28194813333333335</c:v>
                </c:pt>
                <c:pt idx="89">
                  <c:v>0.28463146666666667</c:v>
                </c:pt>
                <c:pt idx="90">
                  <c:v>0.28731480000000004</c:v>
                </c:pt>
                <c:pt idx="91">
                  <c:v>0.28999813333333335</c:v>
                </c:pt>
                <c:pt idx="92">
                  <c:v>0.29268146666666672</c:v>
                </c:pt>
                <c:pt idx="93">
                  <c:v>0.29536479999999998</c:v>
                </c:pt>
                <c:pt idx="94">
                  <c:v>0.29804813333333335</c:v>
                </c:pt>
                <c:pt idx="95">
                  <c:v>0.30073146666666667</c:v>
                </c:pt>
                <c:pt idx="96">
                  <c:v>0.30341480000000004</c:v>
                </c:pt>
                <c:pt idx="97">
                  <c:v>0.30609813333333336</c:v>
                </c:pt>
                <c:pt idx="98">
                  <c:v>0.30878146666666667</c:v>
                </c:pt>
                <c:pt idx="99">
                  <c:v>0.31146479999999999</c:v>
                </c:pt>
                <c:pt idx="100">
                  <c:v>0.31414813333333336</c:v>
                </c:pt>
                <c:pt idx="101">
                  <c:v>0.31683146666666667</c:v>
                </c:pt>
                <c:pt idx="102">
                  <c:v>0.31951479999999999</c:v>
                </c:pt>
                <c:pt idx="103">
                  <c:v>0.32219813333333336</c:v>
                </c:pt>
                <c:pt idx="104">
                  <c:v>0.32488146666666667</c:v>
                </c:pt>
                <c:pt idx="105">
                  <c:v>0.32756480000000004</c:v>
                </c:pt>
                <c:pt idx="106">
                  <c:v>0.33024813333333336</c:v>
                </c:pt>
                <c:pt idx="107">
                  <c:v>0.33293146666666668</c:v>
                </c:pt>
                <c:pt idx="108">
                  <c:v>0.33561479999999999</c:v>
                </c:pt>
                <c:pt idx="109">
                  <c:v>0.33829813333333336</c:v>
                </c:pt>
                <c:pt idx="110">
                  <c:v>0.34098146666666668</c:v>
                </c:pt>
                <c:pt idx="111">
                  <c:v>0.34366480000000005</c:v>
                </c:pt>
                <c:pt idx="112">
                  <c:v>0.34634813333333331</c:v>
                </c:pt>
                <c:pt idx="113">
                  <c:v>0.34903146666666668</c:v>
                </c:pt>
                <c:pt idx="114">
                  <c:v>0.35171479999999999</c:v>
                </c:pt>
                <c:pt idx="115">
                  <c:v>0.35439813333333336</c:v>
                </c:pt>
                <c:pt idx="116">
                  <c:v>0.35708146666666668</c:v>
                </c:pt>
                <c:pt idx="117">
                  <c:v>0.3597648</c:v>
                </c:pt>
                <c:pt idx="118">
                  <c:v>0.36244813333333337</c:v>
                </c:pt>
                <c:pt idx="119">
                  <c:v>0.36513146666666668</c:v>
                </c:pt>
                <c:pt idx="120">
                  <c:v>0.36781480000000005</c:v>
                </c:pt>
                <c:pt idx="121">
                  <c:v>0.37049813333333331</c:v>
                </c:pt>
                <c:pt idx="122">
                  <c:v>0.37318146666666668</c:v>
                </c:pt>
                <c:pt idx="123">
                  <c:v>0.3758648</c:v>
                </c:pt>
                <c:pt idx="124">
                  <c:v>0.37854813333333337</c:v>
                </c:pt>
                <c:pt idx="125">
                  <c:v>0.38123146666666669</c:v>
                </c:pt>
                <c:pt idx="126">
                  <c:v>0.3839148</c:v>
                </c:pt>
                <c:pt idx="127">
                  <c:v>0.38659813333333332</c:v>
                </c:pt>
                <c:pt idx="128">
                  <c:v>0.38928146666666669</c:v>
                </c:pt>
                <c:pt idx="129">
                  <c:v>0.39196480000000006</c:v>
                </c:pt>
                <c:pt idx="130">
                  <c:v>0.39464813333333337</c:v>
                </c:pt>
                <c:pt idx="131">
                  <c:v>0.39733146666666669</c:v>
                </c:pt>
                <c:pt idx="132">
                  <c:v>0.4000148</c:v>
                </c:pt>
                <c:pt idx="133">
                  <c:v>0.40269813333333337</c:v>
                </c:pt>
                <c:pt idx="134">
                  <c:v>0.40538146666666669</c:v>
                </c:pt>
                <c:pt idx="135">
                  <c:v>0.40806480000000006</c:v>
                </c:pt>
                <c:pt idx="136">
                  <c:v>0.41074813333333332</c:v>
                </c:pt>
                <c:pt idx="137">
                  <c:v>0.41343146666666669</c:v>
                </c:pt>
                <c:pt idx="138">
                  <c:v>0.41611480000000001</c:v>
                </c:pt>
                <c:pt idx="139">
                  <c:v>0.41879813333333338</c:v>
                </c:pt>
                <c:pt idx="140">
                  <c:v>0.42148146666666664</c:v>
                </c:pt>
                <c:pt idx="141">
                  <c:v>0.42416480000000001</c:v>
                </c:pt>
                <c:pt idx="142">
                  <c:v>0.42684813333333338</c:v>
                </c:pt>
                <c:pt idx="143">
                  <c:v>0.42953146666666669</c:v>
                </c:pt>
                <c:pt idx="144">
                  <c:v>0.43221480000000007</c:v>
                </c:pt>
                <c:pt idx="145">
                  <c:v>0.43489813333333333</c:v>
                </c:pt>
                <c:pt idx="146">
                  <c:v>0.4375814666666667</c:v>
                </c:pt>
                <c:pt idx="147">
                  <c:v>0.44026480000000001</c:v>
                </c:pt>
                <c:pt idx="148">
                  <c:v>0.44294813333333338</c:v>
                </c:pt>
                <c:pt idx="149">
                  <c:v>0.4456314666666667</c:v>
                </c:pt>
                <c:pt idx="150">
                  <c:v>0.44831480000000001</c:v>
                </c:pt>
              </c:numCache>
            </c:numRef>
          </c:yVal>
          <c:smooth val="1"/>
          <c:extLst>
            <c:ext xmlns:c16="http://schemas.microsoft.com/office/drawing/2014/chart" uri="{C3380CC4-5D6E-409C-BE32-E72D297353CC}">
              <c16:uniqueId val="{00000002-D428-476F-9D9B-414A5D21B4D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Eff_vs_IOUT!$AO$7:$AO$157</c:f>
              <c:numCache>
                <c:formatCode>General</c:formatCode>
                <c:ptCount val="151"/>
                <c:pt idx="0">
                  <c:v>0</c:v>
                </c:pt>
                <c:pt idx="1">
                  <c:v>3.8081419179491834E-5</c:v>
                </c:pt>
                <c:pt idx="2">
                  <c:v>1.0771051895610451E-4</c:v>
                </c:pt>
                <c:pt idx="3">
                  <c:v>1.9787685852962322E-4</c:v>
                </c:pt>
                <c:pt idx="4">
                  <c:v>3.0465135343593467E-4</c:v>
                </c:pt>
                <c:pt idx="5">
                  <c:v>4.2576320982503984E-4</c:v>
                </c:pt>
                <c:pt idx="6">
                  <c:v>5.5968027402475092E-4</c:v>
                </c:pt>
                <c:pt idx="7">
                  <c:v>7.0527775304938492E-4</c:v>
                </c:pt>
                <c:pt idx="8">
                  <c:v>8.6168415164883589E-4</c:v>
                </c:pt>
                <c:pt idx="9">
                  <c:v>1.0281983178462798E-3</c:v>
                </c:pt>
                <c:pt idx="10">
                  <c:v>1.2042402113881464E-3</c:v>
                </c:pt>
                <c:pt idx="11">
                  <c:v>1.3893195679288001E-3</c:v>
                </c:pt>
                <c:pt idx="12">
                  <c:v>1.5830148682369858E-3</c:v>
                </c:pt>
                <c:pt idx="13">
                  <c:v>1.784958623423242E-3</c:v>
                </c:pt>
                <c:pt idx="14">
                  <c:v>1.9948267272049246E-3</c:v>
                </c:pt>
                <c:pt idx="15">
                  <c:v>2.2123305342317328E-3</c:v>
                </c:pt>
                <c:pt idx="16">
                  <c:v>2.4372108274874774E-3</c:v>
                </c:pt>
                <c:pt idx="17">
                  <c:v>2.6692331320579401E-3</c:v>
                </c:pt>
                <c:pt idx="18">
                  <c:v>2.9081840118148207E-3</c:v>
                </c:pt>
                <c:pt idx="19">
                  <c:v>3.1538680987703116E-3</c:v>
                </c:pt>
                <c:pt idx="20">
                  <c:v>3.4061056786003191E-3</c:v>
                </c:pt>
                <c:pt idx="21">
                  <c:v>3.6647307051886529E-3</c:v>
                </c:pt>
                <c:pt idx="22">
                  <c:v>3.9295891508704757E-3</c:v>
                </c:pt>
                <c:pt idx="23">
                  <c:v>4.2005376227303264E-3</c:v>
                </c:pt>
                <c:pt idx="24">
                  <c:v>4.4774421921980074E-3</c:v>
                </c:pt>
                <c:pt idx="25">
                  <c:v>4.7601773974364787E-3</c:v>
                </c:pt>
                <c:pt idx="26">
                  <c:v>5.0486253870399202E-3</c:v>
                </c:pt>
                <c:pt idx="27">
                  <c:v>5.3426751802998279E-3</c:v>
                </c:pt>
                <c:pt idx="28">
                  <c:v>5.6422220243950803E-3</c:v>
                </c:pt>
                <c:pt idx="29">
                  <c:v>5.9471668327629526E-3</c:v>
                </c:pt>
                <c:pt idx="30">
                  <c:v>6.2574156919252633E-3</c:v>
                </c:pt>
                <c:pt idx="31">
                  <c:v>6.572879426400554E-3</c:v>
                </c:pt>
                <c:pt idx="32">
                  <c:v>6.8934732131906888E-3</c:v>
                </c:pt>
                <c:pt idx="33">
                  <c:v>7.2191162388069623E-3</c:v>
                </c:pt>
                <c:pt idx="34">
                  <c:v>7.5497313929839037E-3</c:v>
                </c:pt>
                <c:pt idx="35">
                  <c:v>7.8852449941836742E-3</c:v>
                </c:pt>
                <c:pt idx="36">
                  <c:v>8.225586542770235E-3</c:v>
                </c:pt>
                <c:pt idx="37">
                  <c:v>8.5706884983669327E-3</c:v>
                </c:pt>
                <c:pt idx="38">
                  <c:v>8.9204860784336468E-3</c:v>
                </c:pt>
                <c:pt idx="39">
                  <c:v>9.2749170755317793E-3</c:v>
                </c:pt>
                <c:pt idx="40">
                  <c:v>9.6339216911051698E-3</c:v>
                </c:pt>
                <c:pt idx="41">
                  <c:v>9.9974423839058156E-3</c:v>
                </c:pt>
                <c:pt idx="42">
                  <c:v>1.0365423731445817E-2</c:v>
                </c:pt>
                <c:pt idx="43">
                  <c:v>1.073781230307079E-2</c:v>
                </c:pt>
                <c:pt idx="44">
                  <c:v>1.1114556543430401E-2</c:v>
                </c:pt>
                <c:pt idx="45">
                  <c:v>1.1495606665276074E-2</c:v>
                </c:pt>
                <c:pt idx="46">
                  <c:v>1.188091455064734E-2</c:v>
                </c:pt>
                <c:pt idx="47">
                  <c:v>1.2270433659621133E-2</c:v>
                </c:pt>
                <c:pt idx="48">
                  <c:v>1.2664118945895886E-2</c:v>
                </c:pt>
                <c:pt idx="49">
                  <c:v>1.5361661925159878E-2</c:v>
                </c:pt>
                <c:pt idx="50">
                  <c:v>1.5860735999233953E-2</c:v>
                </c:pt>
                <c:pt idx="51">
                  <c:v>1.6369892377834764E-2</c:v>
                </c:pt>
                <c:pt idx="52">
                  <c:v>1.6889131060962344E-2</c:v>
                </c:pt>
                <c:pt idx="53">
                  <c:v>1.7418452048616657E-2</c:v>
                </c:pt>
                <c:pt idx="54">
                  <c:v>1.7957855340797739E-2</c:v>
                </c:pt>
                <c:pt idx="55">
                  <c:v>1.8507340937505556E-2</c:v>
                </c:pt>
                <c:pt idx="56">
                  <c:v>1.9066908838740119E-2</c:v>
                </c:pt>
                <c:pt idx="57">
                  <c:v>1.9636559044501428E-2</c:v>
                </c:pt>
                <c:pt idx="58">
                  <c:v>2.02162915547895E-2</c:v>
                </c:pt>
                <c:pt idx="59">
                  <c:v>2.0806106369604324E-2</c:v>
                </c:pt>
                <c:pt idx="60">
                  <c:v>2.1406003488945897E-2</c:v>
                </c:pt>
                <c:pt idx="61">
                  <c:v>2.2015982912814192E-2</c:v>
                </c:pt>
                <c:pt idx="62">
                  <c:v>2.2636044641209257E-2</c:v>
                </c:pt>
                <c:pt idx="63">
                  <c:v>2.3266188674131067E-2</c:v>
                </c:pt>
                <c:pt idx="64">
                  <c:v>2.3906415011579623E-2</c:v>
                </c:pt>
                <c:pt idx="65">
                  <c:v>2.4556723653554945E-2</c:v>
                </c:pt>
                <c:pt idx="66">
                  <c:v>2.5217114600056982E-2</c:v>
                </c:pt>
                <c:pt idx="67">
                  <c:v>2.5887587851085796E-2</c:v>
                </c:pt>
                <c:pt idx="68">
                  <c:v>2.6568143406641358E-2</c:v>
                </c:pt>
                <c:pt idx="69">
                  <c:v>2.7258781266723667E-2</c:v>
                </c:pt>
                <c:pt idx="70">
                  <c:v>2.7959501431332707E-2</c:v>
                </c:pt>
                <c:pt idx="71">
                  <c:v>2.8670303900468513E-2</c:v>
                </c:pt>
                <c:pt idx="72">
                  <c:v>2.9391188674131066E-2</c:v>
                </c:pt>
                <c:pt idx="73">
                  <c:v>3.0122155752320367E-2</c:v>
                </c:pt>
                <c:pt idx="74">
                  <c:v>3.0863205135036421E-2</c:v>
                </c:pt>
                <c:pt idx="75">
                  <c:v>3.1614336822279203E-2</c:v>
                </c:pt>
                <c:pt idx="76">
                  <c:v>3.2375550814048755E-2</c:v>
                </c:pt>
                <c:pt idx="77">
                  <c:v>3.3146847110345067E-2</c:v>
                </c:pt>
                <c:pt idx="78">
                  <c:v>3.3928225711168096E-2</c:v>
                </c:pt>
                <c:pt idx="79">
                  <c:v>3.4719686616517892E-2</c:v>
                </c:pt>
                <c:pt idx="80">
                  <c:v>3.5521229826394433E-2</c:v>
                </c:pt>
                <c:pt idx="81">
                  <c:v>3.6332855340797734E-2</c:v>
                </c:pt>
                <c:pt idx="82">
                  <c:v>3.7154563159727753E-2</c:v>
                </c:pt>
                <c:pt idx="83">
                  <c:v>3.798635328318456E-2</c:v>
                </c:pt>
                <c:pt idx="84">
                  <c:v>3.8828225711168105E-2</c:v>
                </c:pt>
                <c:pt idx="85">
                  <c:v>3.9680180443678388E-2</c:v>
                </c:pt>
                <c:pt idx="86">
                  <c:v>4.0542217480715445E-2</c:v>
                </c:pt>
                <c:pt idx="87">
                  <c:v>4.1414336822279241E-2</c:v>
                </c:pt>
                <c:pt idx="88">
                  <c:v>4.2296538468369747E-2</c:v>
                </c:pt>
                <c:pt idx="89">
                  <c:v>4.318882241898702E-2</c:v>
                </c:pt>
                <c:pt idx="90">
                  <c:v>4.4091188674131088E-2</c:v>
                </c:pt>
                <c:pt idx="91">
                  <c:v>4.5003637233801824E-2</c:v>
                </c:pt>
                <c:pt idx="92">
                  <c:v>4.592616809799939E-2</c:v>
                </c:pt>
                <c:pt idx="93">
                  <c:v>4.6858781266723659E-2</c:v>
                </c:pt>
                <c:pt idx="94">
                  <c:v>4.7801476739974702E-2</c:v>
                </c:pt>
                <c:pt idx="95">
                  <c:v>4.8754254517752477E-2</c:v>
                </c:pt>
                <c:pt idx="96">
                  <c:v>4.9717114600056969E-2</c:v>
                </c:pt>
                <c:pt idx="97">
                  <c:v>5.069005698688827E-2</c:v>
                </c:pt>
                <c:pt idx="98">
                  <c:v>5.1673081678246316E-2</c:v>
                </c:pt>
                <c:pt idx="99">
                  <c:v>5.2666188674131073E-2</c:v>
                </c:pt>
                <c:pt idx="100">
                  <c:v>5.3669377974542604E-2</c:v>
                </c:pt>
                <c:pt idx="101">
                  <c:v>5.4682649579480859E-2</c:v>
                </c:pt>
                <c:pt idx="102">
                  <c:v>5.5706003488945853E-2</c:v>
                </c:pt>
                <c:pt idx="103">
                  <c:v>5.6739439702937634E-2</c:v>
                </c:pt>
                <c:pt idx="104">
                  <c:v>5.7782958221456168E-2</c:v>
                </c:pt>
                <c:pt idx="105">
                  <c:v>5.8836559044501434E-2</c:v>
                </c:pt>
                <c:pt idx="106">
                  <c:v>5.9900242172073445E-2</c:v>
                </c:pt>
                <c:pt idx="107">
                  <c:v>6.0974007604172195E-2</c:v>
                </c:pt>
                <c:pt idx="108">
                  <c:v>6.2057855340797725E-2</c:v>
                </c:pt>
                <c:pt idx="109">
                  <c:v>6.3151785381949987E-2</c:v>
                </c:pt>
                <c:pt idx="110">
                  <c:v>6.4255797727629016E-2</c:v>
                </c:pt>
                <c:pt idx="111">
                  <c:v>6.5369892377834776E-2</c:v>
                </c:pt>
                <c:pt idx="112">
                  <c:v>6.6494069332567254E-2</c:v>
                </c:pt>
                <c:pt idx="113">
                  <c:v>6.762832859182652E-2</c:v>
                </c:pt>
                <c:pt idx="114">
                  <c:v>6.8772670155612545E-2</c:v>
                </c:pt>
                <c:pt idx="115">
                  <c:v>6.9927094023925301E-2</c:v>
                </c:pt>
                <c:pt idx="116">
                  <c:v>7.1091600196764818E-2</c:v>
                </c:pt>
                <c:pt idx="117">
                  <c:v>7.2266188674131052E-2</c:v>
                </c:pt>
                <c:pt idx="118">
                  <c:v>7.3450859456024073E-2</c:v>
                </c:pt>
                <c:pt idx="119">
                  <c:v>7.4645612542443812E-2</c:v>
                </c:pt>
                <c:pt idx="120">
                  <c:v>7.5850447933390339E-2</c:v>
                </c:pt>
                <c:pt idx="121">
                  <c:v>7.7065365628863597E-2</c:v>
                </c:pt>
                <c:pt idx="122">
                  <c:v>7.8290365628863573E-2</c:v>
                </c:pt>
                <c:pt idx="123">
                  <c:v>7.9525447933390322E-2</c:v>
                </c:pt>
                <c:pt idx="124">
                  <c:v>8.0770612542443845E-2</c:v>
                </c:pt>
                <c:pt idx="125">
                  <c:v>8.2025859456024086E-2</c:v>
                </c:pt>
                <c:pt idx="126">
                  <c:v>8.3291188674131045E-2</c:v>
                </c:pt>
                <c:pt idx="127">
                  <c:v>8.4566600196764805E-2</c:v>
                </c:pt>
                <c:pt idx="128">
                  <c:v>8.585209402392531E-2</c:v>
                </c:pt>
                <c:pt idx="129">
                  <c:v>8.7147670155612561E-2</c:v>
                </c:pt>
                <c:pt idx="130">
                  <c:v>8.845332859182653E-2</c:v>
                </c:pt>
                <c:pt idx="131">
                  <c:v>8.97690693325673E-2</c:v>
                </c:pt>
                <c:pt idx="132">
                  <c:v>9.1094892377834746E-2</c:v>
                </c:pt>
                <c:pt idx="133">
                  <c:v>9.2430797727629022E-2</c:v>
                </c:pt>
                <c:pt idx="134">
                  <c:v>9.3776785381950015E-2</c:v>
                </c:pt>
                <c:pt idx="135">
                  <c:v>9.5132855340797781E-2</c:v>
                </c:pt>
                <c:pt idx="136">
                  <c:v>9.649900760417221E-2</c:v>
                </c:pt>
                <c:pt idx="137">
                  <c:v>9.7875242172073454E-2</c:v>
                </c:pt>
                <c:pt idx="138">
                  <c:v>9.926155904450143E-2</c:v>
                </c:pt>
                <c:pt idx="139">
                  <c:v>0.10065795822145621</c:v>
                </c:pt>
                <c:pt idx="140">
                  <c:v>0.10206443970293765</c:v>
                </c:pt>
                <c:pt idx="141">
                  <c:v>0.10348100348894589</c:v>
                </c:pt>
                <c:pt idx="142">
                  <c:v>0.1049076495794809</c:v>
                </c:pt>
                <c:pt idx="143">
                  <c:v>0.10634437797454256</c:v>
                </c:pt>
                <c:pt idx="144">
                  <c:v>0.10779118867413105</c:v>
                </c:pt>
                <c:pt idx="145">
                  <c:v>0.10924808167824629</c:v>
                </c:pt>
                <c:pt idx="146">
                  <c:v>0.11071505698688829</c:v>
                </c:pt>
                <c:pt idx="147">
                  <c:v>0.11219211460005701</c:v>
                </c:pt>
                <c:pt idx="148">
                  <c:v>0.11367925451775251</c:v>
                </c:pt>
                <c:pt idx="149">
                  <c:v>0.11517647673997473</c:v>
                </c:pt>
                <c:pt idx="150">
                  <c:v>0.11668378126672367</c:v>
                </c:pt>
              </c:numCache>
            </c:numRef>
          </c:yVal>
          <c:smooth val="1"/>
          <c:extLst>
            <c:ext xmlns:c16="http://schemas.microsoft.com/office/drawing/2014/chart" uri="{C3380CC4-5D6E-409C-BE32-E72D297353CC}">
              <c16:uniqueId val="{00000003-D428-476F-9D9B-414A5D21B4D3}"/>
            </c:ext>
          </c:extLst>
        </c:ser>
        <c:dLbls>
          <c:showLegendKey val="0"/>
          <c:showVal val="0"/>
          <c:showCatName val="0"/>
          <c:showSerName val="0"/>
          <c:showPercent val="0"/>
          <c:showBubbleSize val="0"/>
        </c:dLbls>
        <c:axId val="162552448"/>
        <c:axId val="162550528"/>
      </c:scatterChart>
      <c:valAx>
        <c:axId val="161084544"/>
        <c:scaling>
          <c:orientation val="minMax"/>
        </c:scaling>
        <c:delete val="0"/>
        <c:axPos val="b"/>
        <c:majorGridlines/>
        <c:numFmt formatCode="General" sourceLinked="1"/>
        <c:majorTickMark val="out"/>
        <c:minorTickMark val="none"/>
        <c:tickLblPos val="nextTo"/>
        <c:crossAx val="161086080"/>
        <c:crosses val="autoZero"/>
        <c:crossBetween val="midCat"/>
      </c:valAx>
      <c:valAx>
        <c:axId val="16108608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61084544"/>
        <c:crosses val="autoZero"/>
        <c:crossBetween val="midCat"/>
      </c:valAx>
      <c:valAx>
        <c:axId val="162550528"/>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62552448"/>
        <c:crosses val="max"/>
        <c:crossBetween val="midCat"/>
      </c:valAx>
      <c:valAx>
        <c:axId val="16255244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62550528"/>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6" fmlaRange="$1:$1048576" noThreeD="1" sel="0" val="0"/>
</file>

<file path=xl/ctrlProps/ctrlProp2.xml><?xml version="1.0" encoding="utf-8"?>
<formControlPr xmlns="http://schemas.microsoft.com/office/spreadsheetml/2009/9/main" objectType="Spin" dx="20" fmlaLink="$H$8" max="45" noThreeD="1" page="10" val="5"/>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chart" Target="../charts/chart4.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drawing8.xml.rels><?xml version="1.0" encoding="UTF-8" standalone="yes"?>
<Relationships xmlns="http://schemas.openxmlformats.org/package/2006/relationships"><Relationship Id="rId3" Type="http://schemas.openxmlformats.org/officeDocument/2006/relationships/hyperlink" Target="http://www.ti.com/corp/docs/legal/copyright.shtml" TargetMode="External"/><Relationship Id="rId2" Type="http://schemas.openxmlformats.org/officeDocument/2006/relationships/image" Target="../media/image11.gif"/><Relationship Id="rId1" Type="http://schemas.openxmlformats.org/officeDocument/2006/relationships/hyperlink" Target="http://www.ti.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594360</xdr:colOff>
          <xdr:row>30</xdr:row>
          <xdr:rowOff>91440</xdr:rowOff>
        </xdr:from>
        <xdr:to>
          <xdr:col>16</xdr:col>
          <xdr:colOff>220980</xdr:colOff>
          <xdr:row>31</xdr:row>
          <xdr:rowOff>114300</xdr:rowOff>
        </xdr:to>
        <xdr:sp macro="" textlink="">
          <xdr:nvSpPr>
            <xdr:cNvPr id="1170" name="Drop Down 146" descr="This is just there to fix the excel issue with comments and linked pictures" hidden="1">
              <a:extLst>
                <a:ext uri="{63B3BB69-23CF-44E3-9099-C40C66FF867C}">
                  <a14:compatExt spid="_x0000_s1170"/>
                </a:ext>
                <a:ext uri="{FF2B5EF4-FFF2-40B4-BE49-F238E27FC236}">
                  <a16:creationId xmlns:a16="http://schemas.microsoft.com/office/drawing/2014/main" id="{00000000-0008-0000-0000-00009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twoCellAnchor>
    <xdr:from>
      <xdr:col>9</xdr:col>
      <xdr:colOff>22860</xdr:colOff>
      <xdr:row>50</xdr:row>
      <xdr:rowOff>1</xdr:rowOff>
    </xdr:from>
    <xdr:to>
      <xdr:col>25</xdr:col>
      <xdr:colOff>598714</xdr:colOff>
      <xdr:row>71</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74</xdr:row>
      <xdr:rowOff>7620</xdr:rowOff>
    </xdr:from>
    <xdr:to>
      <xdr:col>25</xdr:col>
      <xdr:colOff>600637</xdr:colOff>
      <xdr:row>98</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510540</xdr:colOff>
          <xdr:row>56</xdr:row>
          <xdr:rowOff>0</xdr:rowOff>
        </xdr:from>
        <xdr:to>
          <xdr:col>8</xdr:col>
          <xdr:colOff>15240</xdr:colOff>
          <xdr:row>58</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134501</xdr:colOff>
      <xdr:row>49</xdr:row>
      <xdr:rowOff>62752</xdr:rowOff>
    </xdr:from>
    <xdr:to>
      <xdr:col>15</xdr:col>
      <xdr:colOff>484124</xdr:colOff>
      <xdr:row>51</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326001" y="10338546"/>
          <a:ext cx="943535" cy="546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197245</xdr:colOff>
      <xdr:row>49</xdr:row>
      <xdr:rowOff>71718</xdr:rowOff>
    </xdr:from>
    <xdr:to>
      <xdr:col>16</xdr:col>
      <xdr:colOff>528939</xdr:colOff>
      <xdr:row>51</xdr:row>
      <xdr:rowOff>170330</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8955763" y="9538447"/>
          <a:ext cx="941294" cy="493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5</a:t>
          </a:fld>
          <a:endParaRPr lang="en-US" sz="2400"/>
        </a:p>
      </xdr:txBody>
    </xdr:sp>
    <xdr:clientData/>
  </xdr:twoCellAnchor>
  <xdr:twoCellAnchor>
    <xdr:from>
      <xdr:col>15</xdr:col>
      <xdr:colOff>568726</xdr:colOff>
      <xdr:row>49</xdr:row>
      <xdr:rowOff>62752</xdr:rowOff>
    </xdr:from>
    <xdr:to>
      <xdr:col>17</xdr:col>
      <xdr:colOff>318274</xdr:colOff>
      <xdr:row>51</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354138" y="10338546"/>
          <a:ext cx="937371" cy="546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74</xdr:row>
      <xdr:rowOff>26894</xdr:rowOff>
    </xdr:from>
    <xdr:to>
      <xdr:col>13</xdr:col>
      <xdr:colOff>116540</xdr:colOff>
      <xdr:row>76</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12</xdr:col>
      <xdr:colOff>439261</xdr:colOff>
      <xdr:row>74</xdr:row>
      <xdr:rowOff>35860</xdr:rowOff>
    </xdr:from>
    <xdr:to>
      <xdr:col>14</xdr:col>
      <xdr:colOff>161355</xdr:colOff>
      <xdr:row>76</xdr:row>
      <xdr:rowOff>143437</xdr:rowOff>
    </xdr:to>
    <xdr:sp macro="" textlink="VIN_nom">
      <xdr:nvSpPr>
        <xdr:cNvPr id="10" name="TextBox 9">
          <a:extLst>
            <a:ext uri="{FF2B5EF4-FFF2-40B4-BE49-F238E27FC236}">
              <a16:creationId xmlns:a16="http://schemas.microsoft.com/office/drawing/2014/main" id="{00000000-0008-0000-0000-00000A000000}"/>
            </a:ext>
          </a:extLst>
        </xdr:cNvPr>
        <xdr:cNvSpPr txBox="1"/>
      </xdr:nvSpPr>
      <xdr:spPr>
        <a:xfrm>
          <a:off x="7368979" y="14388354"/>
          <a:ext cx="941294" cy="493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5</a:t>
          </a:fld>
          <a:endParaRPr lang="en-US" sz="2400"/>
        </a:p>
      </xdr:txBody>
    </xdr:sp>
    <xdr:clientData/>
  </xdr:twoCellAnchor>
  <xdr:twoCellAnchor>
    <xdr:from>
      <xdr:col>13</xdr:col>
      <xdr:colOff>233079</xdr:colOff>
      <xdr:row>74</xdr:row>
      <xdr:rowOff>26894</xdr:rowOff>
    </xdr:from>
    <xdr:to>
      <xdr:col>14</xdr:col>
      <xdr:colOff>582702</xdr:colOff>
      <xdr:row>76</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7772397"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99097</xdr:colOff>
      <xdr:row>67</xdr:row>
      <xdr:rowOff>155530</xdr:rowOff>
    </xdr:from>
    <xdr:to>
      <xdr:col>13</xdr:col>
      <xdr:colOff>150962</xdr:colOff>
      <xdr:row>68</xdr:row>
      <xdr:rowOff>132991</xdr:rowOff>
    </xdr:to>
    <xdr:sp macro="" textlink="Loop_Modeling!A69">
      <xdr:nvSpPr>
        <xdr:cNvPr id="14" name="TextBox 13">
          <a:extLst>
            <a:ext uri="{FF2B5EF4-FFF2-40B4-BE49-F238E27FC236}">
              <a16:creationId xmlns:a16="http://schemas.microsoft.com/office/drawing/2014/main" id="{00000000-0008-0000-0000-00000E000000}"/>
            </a:ext>
          </a:extLst>
        </xdr:cNvPr>
        <xdr:cNvSpPr txBox="1"/>
      </xdr:nvSpPr>
      <xdr:spPr>
        <a:xfrm>
          <a:off x="6475455" y="14328011"/>
          <a:ext cx="1230809" cy="1787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96E2E744-8A5D-4458-A426-E4363EDE50C7}" type="TxLink">
            <a:rPr lang="en-US" sz="1100" b="1" i="0" u="none" strike="noStrike">
              <a:solidFill>
                <a:schemeClr val="accent1">
                  <a:lumMod val="75000"/>
                </a:schemeClr>
              </a:solidFill>
              <a:latin typeface="Calibri"/>
              <a:cs typeface="Calibri"/>
            </a:rPr>
            <a:pPr/>
            <a:t>Phase Margin = 89°</a:t>
          </a:fld>
          <a:endParaRPr lang="en-US" sz="2400" b="1">
            <a:solidFill>
              <a:schemeClr val="accent1">
                <a:lumMod val="75000"/>
              </a:schemeClr>
            </a:solidFill>
          </a:endParaRPr>
        </a:p>
      </xdr:txBody>
    </xdr:sp>
    <xdr:clientData/>
  </xdr:twoCellAnchor>
  <xdr:twoCellAnchor>
    <xdr:from>
      <xdr:col>11</xdr:col>
      <xdr:colOff>98632</xdr:colOff>
      <xdr:row>66</xdr:row>
      <xdr:rowOff>109818</xdr:rowOff>
    </xdr:from>
    <xdr:to>
      <xdr:col>15</xdr:col>
      <xdr:colOff>224116</xdr:colOff>
      <xdr:row>67</xdr:row>
      <xdr:rowOff>123265</xdr:rowOff>
    </xdr:to>
    <xdr:sp macro="" textlink="Loop_Modeling!A68">
      <xdr:nvSpPr>
        <xdr:cNvPr id="15" name="TextBox 14">
          <a:extLst>
            <a:ext uri="{FF2B5EF4-FFF2-40B4-BE49-F238E27FC236}">
              <a16:creationId xmlns:a16="http://schemas.microsoft.com/office/drawing/2014/main" id="{00000000-0008-0000-0000-00000F000000}"/>
            </a:ext>
          </a:extLst>
        </xdr:cNvPr>
        <xdr:cNvSpPr txBox="1"/>
      </xdr:nvSpPr>
      <xdr:spPr>
        <a:xfrm>
          <a:off x="6508397" y="13982700"/>
          <a:ext cx="2501131" cy="2039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EF506B42-A944-4597-8E98-BD1D41977E0E}" type="TxLink">
            <a:rPr lang="en-US" sz="1100" b="1" i="0" u="none" strike="noStrike">
              <a:solidFill>
                <a:srgbClr val="C00000"/>
              </a:solidFill>
              <a:latin typeface="+mn-lt"/>
              <a:cs typeface="Arial" panose="020B0604020202020204" pitchFamily="34" charset="0"/>
            </a:rPr>
            <a:pPr/>
            <a:t>Crossover Frequency = 0.2 kHz</a:t>
          </a:fld>
          <a:endParaRPr lang="en-US" sz="2400" b="1">
            <a:solidFill>
              <a:srgbClr val="C00000"/>
            </a:solidFill>
            <a:latin typeface="+mn-lt"/>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10</xdr:col>
          <xdr:colOff>18648</xdr:colOff>
          <xdr:row>6</xdr:row>
          <xdr:rowOff>9525</xdr:rowOff>
        </xdr:from>
        <xdr:to>
          <xdr:col>25</xdr:col>
          <xdr:colOff>417820</xdr:colOff>
          <xdr:row>36</xdr:row>
          <xdr:rowOff>167640</xdr:rowOff>
        </xdr:to>
        <xdr:pic>
          <xdr:nvPicPr>
            <xdr:cNvPr id="18" name="Picture 17">
              <a:extLst>
                <a:ext uri="{FF2B5EF4-FFF2-40B4-BE49-F238E27FC236}">
                  <a16:creationId xmlns:a16="http://schemas.microsoft.com/office/drawing/2014/main" id="{00000000-0008-0000-0000-000012000000}"/>
                </a:ext>
              </a:extLst>
            </xdr:cNvPr>
            <xdr:cNvPicPr>
              <a:picLocks noChangeAspect="1"/>
              <a:extLst>
                <a:ext uri="{84589F7E-364E-4C9E-8A38-B11213B215E9}">
                  <a14:cameraTool cellRange="display_SCH" spid="_x0000_s1278"/>
                </a:ext>
              </a:extLst>
            </xdr:cNvPicPr>
          </xdr:nvPicPr>
          <xdr:blipFill rotWithShape="1">
            <a:blip xmlns:r="http://schemas.openxmlformats.org/officeDocument/2006/relationships" r:embed="rId3"/>
            <a:srcRect/>
            <a:stretch>
              <a:fillRect/>
            </a:stretch>
          </xdr:blipFill>
          <xdr:spPr>
            <a:xfrm>
              <a:off x="5834501" y="1567143"/>
              <a:ext cx="9195790" cy="6116058"/>
            </a:xfrm>
            <a:prstGeom prst="rect">
              <a:avLst/>
            </a:prstGeom>
            <a:solidFill>
              <a:schemeClr val="bg1"/>
            </a:solidFill>
          </xdr:spPr>
        </xdr:pic>
        <xdr:clientData/>
      </xdr:twoCellAnchor>
    </mc:Choice>
    <mc:Fallback/>
  </mc:AlternateContent>
  <xdr:twoCellAnchor>
    <xdr:from>
      <xdr:col>14</xdr:col>
      <xdr:colOff>333375</xdr:colOff>
      <xdr:row>16</xdr:row>
      <xdr:rowOff>85724</xdr:rowOff>
    </xdr:from>
    <xdr:to>
      <xdr:col>16</xdr:col>
      <xdr:colOff>428625</xdr:colOff>
      <xdr:row>18</xdr:row>
      <xdr:rowOff>57149</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8486775" y="3543299"/>
          <a:ext cx="1276350"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latin typeface="Arial" panose="020B0604020202020204" pitchFamily="34" charset="0"/>
              <a:cs typeface="Arial" panose="020B0604020202020204" pitchFamily="34" charset="0"/>
            </a:rPr>
            <a:t>LM5155/56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851647</xdr:colOff>
      <xdr:row>215</xdr:row>
      <xdr:rowOff>170330</xdr:rowOff>
    </xdr:from>
    <xdr:to>
      <xdr:col>14</xdr:col>
      <xdr:colOff>484094</xdr:colOff>
      <xdr:row>223</xdr:row>
      <xdr:rowOff>71719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807388" y="26544495"/>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60960</xdr:colOff>
          <xdr:row>154</xdr:row>
          <xdr:rowOff>137160</xdr:rowOff>
        </xdr:from>
        <xdr:to>
          <xdr:col>12</xdr:col>
          <xdr:colOff>396240</xdr:colOff>
          <xdr:row>157</xdr:row>
          <xdr:rowOff>22860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8</xdr:col>
      <xdr:colOff>842683</xdr:colOff>
      <xdr:row>186</xdr:row>
      <xdr:rowOff>17930</xdr:rowOff>
    </xdr:from>
    <xdr:to>
      <xdr:col>14</xdr:col>
      <xdr:colOff>475130</xdr:colOff>
      <xdr:row>195</xdr:row>
      <xdr:rowOff>98613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voltage range</a:t>
          </a:r>
          <a:endParaRPr lang="en-US" sz="1100"/>
        </a:p>
      </xdr:txBody>
    </xdr:sp>
    <xdr:clientData/>
  </xdr:twoCellAnchor>
  <xdr:twoCellAnchor>
    <xdr:from>
      <xdr:col>14</xdr:col>
      <xdr:colOff>11205</xdr:colOff>
      <xdr:row>33</xdr:row>
      <xdr:rowOff>100853</xdr:rowOff>
    </xdr:from>
    <xdr:to>
      <xdr:col>18</xdr:col>
      <xdr:colOff>582705</xdr:colOff>
      <xdr:row>38</xdr:row>
      <xdr:rowOff>78441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2920381" y="6555441"/>
          <a:ext cx="2991971" cy="930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Lm is </a:t>
          </a:r>
        </a:p>
        <a:p>
          <a:r>
            <a:rPr lang="en-US" sz="1100" baseline="0"/>
            <a:t>lower then each of them -&gt; CCM</a:t>
          </a:r>
        </a:p>
        <a:p>
          <a:r>
            <a:rPr lang="en-US" sz="1100" baseline="0"/>
            <a:t>Higher </a:t>
          </a:r>
          <a:r>
            <a:rPr lang="en-US" sz="1100" baseline="0">
              <a:solidFill>
                <a:schemeClr val="dk1"/>
              </a:solidFill>
              <a:effectLst/>
              <a:latin typeface="+mn-lt"/>
              <a:ea typeface="+mn-ea"/>
              <a:cs typeface="+mn-cs"/>
            </a:rPr>
            <a:t>lower then each of them </a:t>
          </a:r>
          <a:r>
            <a:rPr lang="en-US" sz="1100" baseline="0"/>
            <a:t> -&gt; DCM</a:t>
          </a:r>
        </a:p>
        <a:p>
          <a:r>
            <a:rPr lang="en-US" sz="1100" baseline="0"/>
            <a:t>else CCM and DCM </a:t>
          </a:r>
          <a:endParaRPr lang="en-US" sz="1100"/>
        </a:p>
      </xdr:txBody>
    </xdr:sp>
    <xdr:clientData/>
  </xdr:twoCellAnchor>
  <xdr:twoCellAnchor>
    <xdr:from>
      <xdr:col>13</xdr:col>
      <xdr:colOff>268941</xdr:colOff>
      <xdr:row>23</xdr:row>
      <xdr:rowOff>112059</xdr:rowOff>
    </xdr:from>
    <xdr:to>
      <xdr:col>16</xdr:col>
      <xdr:colOff>571500</xdr:colOff>
      <xdr:row>28</xdr:row>
      <xdr:rowOff>168088</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920382" y="4661647"/>
          <a:ext cx="2330824" cy="1008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Check</a:t>
          </a:r>
          <a:r>
            <a:rPr lang="en-US" sz="1100" baseline="0"/>
            <a:t> if DC for DCM would be less the DC for CCM -&gt; in this case it would run in DCM mode</a:t>
          </a:r>
        </a:p>
        <a:p>
          <a:r>
            <a:rPr lang="en-US" sz="1100" baseline="0"/>
            <a:t>Check if at the 3 points CCM or DCM would be used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21</xdr:col>
      <xdr:colOff>528917</xdr:colOff>
      <xdr:row>67</xdr:row>
      <xdr:rowOff>89006</xdr:rowOff>
    </xdr:from>
    <xdr:to>
      <xdr:col>30</xdr:col>
      <xdr:colOff>79513</xdr:colOff>
      <xdr:row>86</xdr:row>
      <xdr:rowOff>92765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32</xdr:col>
      <xdr:colOff>186690</xdr:colOff>
      <xdr:row>39</xdr:row>
      <xdr:rowOff>167640</xdr:rowOff>
    </xdr:from>
    <xdr:to>
      <xdr:col>34</xdr:col>
      <xdr:colOff>530487</xdr:colOff>
      <xdr:row>45</xdr:row>
      <xdr:rowOff>56599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34</xdr:col>
      <xdr:colOff>247650</xdr:colOff>
      <xdr:row>40</xdr:row>
      <xdr:rowOff>60960</xdr:rowOff>
    </xdr:from>
    <xdr:to>
      <xdr:col>38</xdr:col>
      <xdr:colOff>567929</xdr:colOff>
      <xdr:row>44</xdr:row>
      <xdr:rowOff>148662</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31</xdr:col>
      <xdr:colOff>30480</xdr:colOff>
      <xdr:row>49</xdr:row>
      <xdr:rowOff>64770</xdr:rowOff>
    </xdr:from>
    <xdr:to>
      <xdr:col>42</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317182</xdr:colOff>
      <xdr:row>23</xdr:row>
      <xdr:rowOff>62388</xdr:rowOff>
    </xdr:from>
    <xdr:to>
      <xdr:col>24</xdr:col>
      <xdr:colOff>450532</xdr:colOff>
      <xdr:row>47</xdr:row>
      <xdr:rowOff>20478</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38</xdr:row>
      <xdr:rowOff>8964</xdr:rowOff>
    </xdr:from>
    <xdr:to>
      <xdr:col>11</xdr:col>
      <xdr:colOff>591031</xdr:colOff>
      <xdr:row>46</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187669" y="7533714"/>
          <a:ext cx="2571050" cy="1646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 points</a:t>
          </a:r>
          <a:r>
            <a:rPr lang="en-US" sz="1100" baseline="0"/>
            <a:t> later to show where the pole and zerDc_Mode_Loopos of the loops are at. Similar to the LM5175 QS</a:t>
          </a:r>
        </a:p>
        <a:p>
          <a:endParaRPr lang="en-US" sz="1100" baseline="0"/>
        </a:p>
        <a:p>
          <a:r>
            <a:rPr lang="en-US" sz="1100" baseline="0"/>
            <a:t>Should also update to the more accurate equation of the DC gain. See Mathcad and Sheehan paper.</a:t>
          </a:r>
          <a:endParaRPr lang="en-US" sz="1100"/>
        </a:p>
      </xdr:txBody>
    </xdr:sp>
    <xdr:clientData/>
  </xdr:twoCellAnchor>
  <xdr:twoCellAnchor>
    <xdr:from>
      <xdr:col>8</xdr:col>
      <xdr:colOff>0</xdr:colOff>
      <xdr:row>52</xdr:row>
      <xdr:rowOff>13855</xdr:rowOff>
    </xdr:from>
    <xdr:to>
      <xdr:col>12</xdr:col>
      <xdr:colOff>83127</xdr:colOff>
      <xdr:row>63</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Next</a:t>
          </a:r>
          <a:r>
            <a:rPr lang="en-US" sz="1100" baseline="0"/>
            <a:t> Revision additions</a:t>
          </a:r>
        </a:p>
        <a:p>
          <a:r>
            <a:rPr lang="en-US" sz="1100" baseline="0"/>
            <a:t>- Add the effect of the EA output resistance and capacitance</a:t>
          </a:r>
        </a:p>
      </xdr:txBody>
    </xdr:sp>
    <xdr:clientData/>
  </xdr:twoCellAnchor>
  <xdr:twoCellAnchor>
    <xdr:from>
      <xdr:col>8</xdr:col>
      <xdr:colOff>291694</xdr:colOff>
      <xdr:row>12</xdr:row>
      <xdr:rowOff>113739</xdr:rowOff>
    </xdr:from>
    <xdr:to>
      <xdr:col>12</xdr:col>
      <xdr:colOff>267182</xdr:colOff>
      <xdr:row>20</xdr:row>
      <xdr:rowOff>188419</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6471038" y="2637864"/>
          <a:ext cx="2571050" cy="1646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Duty Cycle</a:t>
          </a:r>
          <a:r>
            <a:rPr lang="en-US" sz="1100" baseline="0"/>
            <a:t> mode for </a:t>
          </a:r>
          <a:r>
            <a:rPr lang="en-US" sz="1100"/>
            <a:t>Loop Comenstation is fixed to</a:t>
          </a:r>
          <a:r>
            <a:rPr lang="en-US" sz="1100" baseline="0"/>
            <a:t> CCM as it stable in DCM when stable in CCM but if required could be also set to selected mode on variable Management page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1</xdr:row>
      <xdr:rowOff>0</xdr:rowOff>
    </xdr:from>
    <xdr:to>
      <xdr:col>1</xdr:col>
      <xdr:colOff>5057640</xdr:colOff>
      <xdr:row>1</xdr:row>
      <xdr:rowOff>2762250</xdr:rowOff>
    </xdr:to>
    <xdr:pic>
      <xdr:nvPicPr>
        <xdr:cNvPr id="7" name="Picture 6">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599" y="190500"/>
          <a:ext cx="5057641"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609599</xdr:colOff>
      <xdr:row>3</xdr:row>
      <xdr:rowOff>0</xdr:rowOff>
    </xdr:from>
    <xdr:to>
      <xdr:col>1</xdr:col>
      <xdr:colOff>5057640</xdr:colOff>
      <xdr:row>3</xdr:row>
      <xdr:rowOff>2762250</xdr:rowOff>
    </xdr:to>
    <xdr:pic>
      <xdr:nvPicPr>
        <xdr:cNvPr id="8" name="Picture 7">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599" y="3771900"/>
          <a:ext cx="5057641"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1</xdr:col>
      <xdr:colOff>592455</xdr:colOff>
      <xdr:row>2</xdr:row>
      <xdr:rowOff>93296</xdr:rowOff>
    </xdr:to>
    <xdr:pic>
      <xdr:nvPicPr>
        <xdr:cNvPr id="2" name="Picture 1" descr="ti logo">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5240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200025</xdr:colOff>
      <xdr:row>0</xdr:row>
      <xdr:rowOff>114300</xdr:rowOff>
    </xdr:from>
    <xdr:ext cx="3752850" cy="381708"/>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914525" y="114300"/>
          <a:ext cx="3752850"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About this tool...</a:t>
          </a:r>
        </a:p>
      </xdr:txBody>
    </xdr:sp>
    <xdr:clientData/>
  </xdr:oneCellAnchor>
  <xdr:oneCellAnchor>
    <xdr:from>
      <xdr:col>3</xdr:col>
      <xdr:colOff>323850</xdr:colOff>
      <xdr:row>1</xdr:row>
      <xdr:rowOff>28575</xdr:rowOff>
    </xdr:from>
    <xdr:ext cx="4719497" cy="254557"/>
    <xdr:sp macro="" textlink="">
      <xdr:nvSpPr>
        <xdr:cNvPr id="4" name="TextBox 3">
          <a:hlinkClick xmlns:r="http://schemas.openxmlformats.org/officeDocument/2006/relationships" r:id="rId3"/>
          <a:extLst>
            <a:ext uri="{FF2B5EF4-FFF2-40B4-BE49-F238E27FC236}">
              <a16:creationId xmlns:a16="http://schemas.microsoft.com/office/drawing/2014/main" id="{00000000-0008-0000-0800-000004000000}"/>
            </a:ext>
          </a:extLst>
        </xdr:cNvPr>
        <xdr:cNvSpPr txBox="1"/>
      </xdr:nvSpPr>
      <xdr:spPr>
        <a:xfrm>
          <a:off x="6419850" y="209550"/>
          <a:ext cx="471949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Arial" panose="020B0604020202020204" pitchFamily="34" charset="0"/>
              <a:ea typeface="+mn-ea"/>
              <a:cs typeface="Arial" panose="020B0604020202020204" pitchFamily="34" charset="0"/>
              <a:hlinkClick xmlns:r="http://schemas.openxmlformats.org/officeDocument/2006/relationships" r:id=""/>
            </a:rPr>
            <a:t>© Copyright 2021</a:t>
          </a:r>
          <a:r>
            <a:rPr lang="en-US" sz="1100" b="0" i="0">
              <a:solidFill>
                <a:schemeClr val="tx1"/>
              </a:solidFill>
              <a:effectLst/>
              <a:latin typeface="Arial" panose="020B0604020202020204" pitchFamily="34" charset="0"/>
              <a:ea typeface="+mn-ea"/>
              <a:cs typeface="Arial" panose="020B0604020202020204" pitchFamily="34" charset="0"/>
            </a:rPr>
            <a:t> Texas Instruments Incorporated. All rights reserved.</a:t>
          </a:r>
          <a:endParaRPr lang="en-US" sz="1100" b="0">
            <a:latin typeface="Arial" panose="020B0604020202020204" pitchFamily="34" charset="0"/>
            <a:cs typeface="Arial" panose="020B0604020202020204" pitchFamily="34" charset="0"/>
          </a:endParaRPr>
        </a:p>
      </xdr:txBody>
    </xdr:sp>
    <xdr:clientData/>
  </xdr:oneCellAnchor>
  <xdr:oneCellAnchor>
    <xdr:from>
      <xdr:col>0</xdr:col>
      <xdr:colOff>95247</xdr:colOff>
      <xdr:row>6</xdr:row>
      <xdr:rowOff>47623</xdr:rowOff>
    </xdr:from>
    <xdr:ext cx="11229977" cy="4086227"/>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95247" y="1114423"/>
          <a:ext cx="11229977" cy="4086227"/>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1">
              <a:latin typeface="Arial" panose="020B0604020202020204" pitchFamily="34" charset="0"/>
              <a:cs typeface="Arial" panose="020B0604020202020204" pitchFamily="34" charset="0"/>
            </a:rPr>
            <a:t>LICENSE INFORMATION:</a:t>
          </a:r>
        </a:p>
        <a:p>
          <a:r>
            <a:rPr lang="en-US" sz="900">
              <a:solidFill>
                <a:schemeClr val="tx1"/>
              </a:solidFill>
              <a:effectLst/>
              <a:latin typeface="Arial" panose="020B0604020202020204" pitchFamily="34" charset="0"/>
              <a:ea typeface="+mn-ea"/>
              <a:cs typeface="Arial" panose="020B0604020202020204" pitchFamily="34" charset="0"/>
            </a:rPr>
            <a:t>Copyright (c) 2021 Texas Instruments Incorporated</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All rights reserved not granted herein.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Limited License.  </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Redistributions must preserve existing copyright notices and reproduce this license (including the above copyright notice and the disclaimer and (if applicable) source code license limitations below) in the documentation and/or other materials provided with the distribution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 and use in binary form, without modification,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No reverse engineering, decompilation, or disassembly of this software is permitted with respect to any software provided in binary form. </a:t>
          </a:r>
        </a:p>
        <a:p>
          <a:r>
            <a:rPr lang="en-US" sz="900">
              <a:solidFill>
                <a:schemeClr val="tx1"/>
              </a:solidFill>
              <a:effectLst/>
              <a:latin typeface="Arial" panose="020B0604020202020204" pitchFamily="34" charset="0"/>
              <a:ea typeface="+mn-ea"/>
              <a:cs typeface="Arial" panose="020B0604020202020204" pitchFamily="34" charset="0"/>
            </a:rPr>
            <a:t>*	Any redistribution and use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Nothing shall obligate TI to provide you with source code for the software licensed and provided to you in object code.</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If software source code is provided to you, modification and redistribution of the source code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the source code, including any resulting derivative works,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any object code compiled from the source code and any resulting derivative works, are licensed by TI for use only with TI Devices.</a:t>
          </a:r>
        </a:p>
        <a:p>
          <a:endParaRPr lang="en-US" sz="900">
            <a:solidFill>
              <a:schemeClr val="tx1"/>
            </a:solidFill>
            <a:effectLst/>
            <a:latin typeface="Arial" panose="020B0604020202020204" pitchFamily="34" charset="0"/>
            <a:ea typeface="+mn-ea"/>
            <a:cs typeface="Arial" panose="020B0604020202020204" pitchFamily="34" charset="0"/>
          </a:endParaRPr>
        </a:p>
        <a:p>
          <a:r>
            <a:rPr lang="en-US" sz="900">
              <a:solidFill>
                <a:schemeClr val="tx1"/>
              </a:solidFill>
              <a:effectLst/>
              <a:latin typeface="Arial" panose="020B0604020202020204" pitchFamily="34" charset="0"/>
              <a:ea typeface="+mn-ea"/>
              <a:cs typeface="Arial" panose="020B0604020202020204" pitchFamily="34" charset="0"/>
            </a:rPr>
            <a:t>Neither the name of Texas Instruments Incorporated nor the names of its suppliers may be used to endorse or promote products derived from this software without specific prior written permission.</a:t>
          </a:r>
          <a:endParaRPr lang="en-US" sz="1000" b="1">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1" baseline="0">
              <a:latin typeface="Arial" panose="020B0604020202020204" pitchFamily="34" charset="0"/>
              <a:cs typeface="Arial" panose="020B0604020202020204" pitchFamily="34" charset="0"/>
            </a:rPr>
            <a:t>DISCLAMER:</a:t>
          </a:r>
        </a:p>
        <a:p>
          <a:pPr marL="0" marR="0" indent="0" defTabSz="914400" eaLnBrk="1" fontAlgn="auto" latinLnBrk="0" hangingPunct="1">
            <a:lnSpc>
              <a:spcPct val="100000"/>
            </a:lnSpc>
            <a:spcBef>
              <a:spcPts val="0"/>
            </a:spcBef>
            <a:spcAft>
              <a:spcPts val="0"/>
            </a:spcAft>
            <a:buClrTx/>
            <a:buSzTx/>
            <a:buFontTx/>
            <a:buNone/>
            <a:tabLst/>
            <a:defRPr/>
          </a:pPr>
          <a:r>
            <a:rPr lang="en-US" sz="800" baseline="0">
              <a:latin typeface="Arial" panose="020B0604020202020204" pitchFamily="34" charset="0"/>
              <a:cs typeface="Arial" panose="020B0604020202020204" pitchFamily="34" charset="0"/>
            </a:rPr>
            <a:t>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a:t>
          </a:r>
        </a:p>
      </xdr:txBody>
    </xdr:sp>
    <xdr:clientData/>
  </xdr:oneCellAnchor>
  <xdr:oneCellAnchor>
    <xdr:from>
      <xdr:col>0</xdr:col>
      <xdr:colOff>95247</xdr:colOff>
      <xdr:row>29</xdr:row>
      <xdr:rowOff>47623</xdr:rowOff>
    </xdr:from>
    <xdr:ext cx="11229977" cy="809627"/>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95247" y="5276848"/>
          <a:ext cx="11229977" cy="80962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IMPORTANT</a:t>
          </a:r>
          <a:r>
            <a:rPr lang="en-US" sz="1100" b="1" baseline="0">
              <a:solidFill>
                <a:schemeClr val="tx1"/>
              </a:solidFill>
              <a:effectLst/>
              <a:latin typeface="+mn-lt"/>
              <a:ea typeface="+mn-ea"/>
              <a:cs typeface="+mn-cs"/>
            </a:rPr>
            <a:t>:   </a:t>
          </a:r>
          <a:endParaRPr lang="en-US" sz="800">
            <a:effectLst/>
          </a:endParaRPr>
        </a:p>
        <a:p>
          <a:r>
            <a:rPr lang="en-US" sz="1100" baseline="0">
              <a:solidFill>
                <a:schemeClr val="tx1"/>
              </a:solidFill>
              <a:effectLst/>
              <a:latin typeface="+mn-lt"/>
              <a:ea typeface="+mn-ea"/>
              <a:cs typeface="+mn-cs"/>
            </a:rPr>
            <a:t>1.  Do not delete this worksheet!</a:t>
          </a:r>
          <a:endParaRPr lang="en-US" sz="800">
            <a:effectLst/>
          </a:endParaRPr>
        </a:p>
        <a:p>
          <a:pPr eaLnBrk="1" fontAlgn="auto" latinLnBrk="0" hangingPunct="1"/>
          <a:r>
            <a:rPr lang="en-US" sz="1100" baseline="0">
              <a:solidFill>
                <a:schemeClr val="tx1"/>
              </a:solidFill>
              <a:effectLst/>
              <a:latin typeface="+mn-lt"/>
              <a:ea typeface="+mn-ea"/>
              <a:cs typeface="+mn-cs"/>
            </a:rPr>
            <a:t>2.  Redistributions must retain the above copyright and the following disclaimer.</a:t>
          </a:r>
          <a:endParaRPr lang="en-US" sz="800">
            <a:effectLst/>
          </a:endParaRPr>
        </a:p>
        <a:p>
          <a:endParaRPr lang="en-US" sz="800" baseline="0">
            <a:latin typeface="Arial" panose="020B0604020202020204" pitchFamily="34" charset="0"/>
            <a:cs typeface="Arial" panose="020B0604020202020204" pitchFamily="34" charset="0"/>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0196876/Downloads/ADS1235%20Design%20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of Contents "/>
      <sheetName val="Common-Mode Range"/>
      <sheetName val="Code Conversions"/>
      <sheetName val="Digital Filter"/>
      <sheetName val="STATUS"/>
      <sheetName val="CRC"/>
      <sheetName val="About"/>
      <sheetName val="Help"/>
    </sheetNames>
    <sheetDataSet>
      <sheetData sheetId="0" refreshError="1"/>
      <sheetData sheetId="1" refreshError="1"/>
      <sheetData sheetId="2" refreshError="1"/>
      <sheetData sheetId="3">
        <row r="84">
          <cell r="T84" t="b">
            <v>0</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100"/>
  <sheetViews>
    <sheetView tabSelected="1" topLeftCell="A2" zoomScaleNormal="100" workbookViewId="0">
      <selection activeCell="H53" sqref="H53"/>
    </sheetView>
  </sheetViews>
  <sheetFormatPr defaultColWidth="8.88671875" defaultRowHeight="14.4" x14ac:dyDescent="0.3"/>
  <cols>
    <col min="1" max="5" width="8.88671875" style="57" customWidth="1"/>
    <col min="6" max="6" width="12.6640625" style="57" bestFit="1" customWidth="1"/>
    <col min="7" max="7" width="8.88671875" style="113" customWidth="1"/>
    <col min="8" max="8" width="12" style="57" bestFit="1" customWidth="1"/>
    <col min="9" max="9" width="4.21875" style="57" bestFit="1" customWidth="1"/>
    <col min="10" max="10" width="4.6640625" style="57" customWidth="1"/>
    <col min="11" max="21" width="8.88671875" style="57" customWidth="1"/>
    <col min="22" max="22" width="7.21875" style="57" customWidth="1"/>
    <col min="23" max="26" width="8.88671875" style="57" customWidth="1"/>
    <col min="27" max="27" width="1.6640625" style="114" customWidth="1"/>
    <col min="28" max="16384" width="8.88671875" style="57"/>
  </cols>
  <sheetData>
    <row r="1" spans="1:27" ht="46.95" customHeight="1" x14ac:dyDescent="0.3">
      <c r="A1" s="53"/>
      <c r="B1" s="53"/>
      <c r="C1" s="53"/>
      <c r="D1" s="53"/>
      <c r="E1" s="54" t="s">
        <v>579</v>
      </c>
      <c r="F1" s="53"/>
      <c r="G1" s="55"/>
      <c r="H1" s="53"/>
      <c r="I1" s="53"/>
      <c r="J1" s="53"/>
      <c r="K1" s="53"/>
      <c r="L1" s="53"/>
      <c r="M1" s="53"/>
      <c r="N1" s="53"/>
      <c r="O1" s="53"/>
      <c r="P1" s="53"/>
      <c r="Q1" s="53"/>
      <c r="R1" s="53"/>
      <c r="S1" s="53"/>
      <c r="T1" s="53"/>
      <c r="U1" s="53"/>
      <c r="V1" s="53"/>
      <c r="W1" s="53"/>
      <c r="X1" s="53"/>
      <c r="Y1" s="53"/>
      <c r="Z1" s="53"/>
      <c r="AA1" s="56"/>
    </row>
    <row r="2" spans="1:27" x14ac:dyDescent="0.3">
      <c r="A2" s="58"/>
      <c r="B2" s="58"/>
      <c r="C2" s="58"/>
      <c r="D2" s="58"/>
      <c r="E2" s="58"/>
      <c r="F2" s="58"/>
      <c r="G2" s="59"/>
      <c r="H2" s="58"/>
      <c r="I2" s="58"/>
      <c r="J2" s="58"/>
      <c r="K2" s="58"/>
      <c r="L2" s="58"/>
      <c r="M2" s="58"/>
      <c r="N2" s="58"/>
      <c r="O2" s="58"/>
      <c r="P2" s="58"/>
      <c r="Q2" s="58"/>
      <c r="R2" s="58"/>
      <c r="S2" s="58"/>
      <c r="T2" s="58"/>
      <c r="U2" s="58"/>
      <c r="V2" s="58"/>
      <c r="W2" s="58"/>
      <c r="X2" s="58"/>
      <c r="Y2" s="58"/>
      <c r="Z2" s="58"/>
      <c r="AA2" s="56"/>
    </row>
    <row r="3" spans="1:27" x14ac:dyDescent="0.3">
      <c r="A3" s="60" t="s">
        <v>1</v>
      </c>
      <c r="B3" s="58"/>
      <c r="C3" s="58"/>
      <c r="D3" s="58"/>
      <c r="E3" s="61"/>
      <c r="F3" s="62" t="s">
        <v>2</v>
      </c>
      <c r="G3" s="59"/>
      <c r="H3" s="58"/>
      <c r="I3" s="58"/>
      <c r="J3" s="58"/>
      <c r="K3" s="58"/>
      <c r="L3" s="58"/>
      <c r="M3" s="58"/>
      <c r="N3" s="228" t="s">
        <v>0</v>
      </c>
      <c r="O3" s="228"/>
      <c r="P3" s="58"/>
      <c r="Q3" s="58"/>
      <c r="R3" s="58"/>
      <c r="S3" s="58"/>
      <c r="T3" s="58"/>
      <c r="U3" s="58"/>
      <c r="V3" s="58"/>
      <c r="W3" s="58"/>
      <c r="X3" s="58"/>
      <c r="Y3" s="58"/>
      <c r="Z3" s="58"/>
      <c r="AA3" s="56"/>
    </row>
    <row r="4" spans="1:27" s="66" customFormat="1" x14ac:dyDescent="0.3">
      <c r="A4" s="63"/>
      <c r="B4" s="63"/>
      <c r="C4" s="63"/>
      <c r="D4" s="63"/>
      <c r="E4" s="63"/>
      <c r="F4" s="63"/>
      <c r="G4" s="64"/>
      <c r="H4" s="63"/>
      <c r="I4" s="63"/>
      <c r="J4" s="63"/>
      <c r="K4" s="63"/>
      <c r="L4" s="63"/>
      <c r="M4" s="63"/>
      <c r="N4" s="63"/>
      <c r="O4" s="63"/>
      <c r="P4" s="63"/>
      <c r="Q4" s="63"/>
      <c r="R4" s="63"/>
      <c r="S4" s="63"/>
      <c r="T4" s="63"/>
      <c r="U4" s="63"/>
      <c r="V4" s="63"/>
      <c r="W4" s="63"/>
      <c r="X4" s="63"/>
      <c r="Y4" s="63"/>
      <c r="Z4" s="63"/>
      <c r="AA4" s="65"/>
    </row>
    <row r="5" spans="1:27" x14ac:dyDescent="0.3">
      <c r="A5" s="67"/>
      <c r="B5" s="67"/>
      <c r="C5" s="67"/>
      <c r="D5" s="67"/>
      <c r="E5" s="67"/>
      <c r="F5" s="67"/>
      <c r="G5" s="68"/>
      <c r="H5" s="67"/>
      <c r="I5" s="67"/>
      <c r="J5" s="67"/>
      <c r="K5" s="67"/>
      <c r="L5" s="67"/>
      <c r="M5" s="67"/>
      <c r="N5" s="67" t="s">
        <v>577</v>
      </c>
      <c r="O5" s="69" t="s">
        <v>578</v>
      </c>
      <c r="P5" s="67"/>
      <c r="Q5" s="67"/>
      <c r="R5" s="67"/>
      <c r="S5" s="67"/>
      <c r="T5" s="67"/>
      <c r="U5" s="67"/>
      <c r="V5" s="67"/>
      <c r="W5" s="67"/>
      <c r="X5" s="67"/>
      <c r="Y5" s="67"/>
      <c r="Z5" s="67"/>
      <c r="AA5" s="56"/>
    </row>
    <row r="6" spans="1:27" ht="15" thickBot="1" x14ac:dyDescent="0.35">
      <c r="A6" s="70" t="s">
        <v>3</v>
      </c>
      <c r="B6" s="67"/>
      <c r="C6" s="67"/>
      <c r="D6" s="67"/>
      <c r="E6" s="67"/>
      <c r="F6" s="67"/>
      <c r="G6" s="68"/>
      <c r="H6" s="67"/>
      <c r="I6" s="67"/>
      <c r="J6" s="67"/>
      <c r="K6" s="67"/>
      <c r="L6" s="67"/>
      <c r="M6" s="67"/>
      <c r="N6" s="67"/>
      <c r="O6" s="67"/>
      <c r="P6" s="67"/>
      <c r="Q6" s="67"/>
      <c r="R6" s="67"/>
      <c r="S6" s="67"/>
      <c r="T6" s="67"/>
      <c r="U6" s="67"/>
      <c r="V6" s="67"/>
      <c r="W6" s="67"/>
      <c r="X6" s="67"/>
      <c r="Y6" s="67"/>
      <c r="Z6" s="67"/>
      <c r="AA6" s="56"/>
    </row>
    <row r="7" spans="1:27" ht="15" x14ac:dyDescent="0.35">
      <c r="A7" s="71"/>
      <c r="B7" s="72"/>
      <c r="C7" s="72"/>
      <c r="D7" s="72"/>
      <c r="E7" s="72"/>
      <c r="F7" s="72"/>
      <c r="G7" s="73" t="s">
        <v>4</v>
      </c>
      <c r="H7" s="116">
        <v>4.7</v>
      </c>
      <c r="I7" s="74" t="s">
        <v>10</v>
      </c>
      <c r="J7" s="67"/>
      <c r="K7" s="67"/>
      <c r="L7" s="67"/>
      <c r="M7" s="67"/>
      <c r="N7" s="67"/>
      <c r="O7" s="67"/>
      <c r="P7" s="67"/>
      <c r="Q7" s="67"/>
      <c r="R7" s="67"/>
      <c r="S7" s="67"/>
      <c r="T7" s="67"/>
      <c r="U7" s="67"/>
      <c r="V7" s="67"/>
      <c r="W7" s="67"/>
      <c r="X7" s="67"/>
      <c r="Y7" s="67"/>
      <c r="Z7" s="67"/>
      <c r="AA7" s="56"/>
    </row>
    <row r="8" spans="1:27" ht="15" x14ac:dyDescent="0.35">
      <c r="A8" s="75"/>
      <c r="B8" s="67"/>
      <c r="C8" s="67"/>
      <c r="D8" s="67"/>
      <c r="E8" s="67"/>
      <c r="F8" s="67"/>
      <c r="G8" s="76" t="s">
        <v>5</v>
      </c>
      <c r="H8" s="117">
        <v>5</v>
      </c>
      <c r="I8" s="77" t="s">
        <v>10</v>
      </c>
      <c r="J8" s="67"/>
      <c r="K8" s="67"/>
      <c r="L8" s="67"/>
      <c r="M8" s="67"/>
      <c r="N8" s="67"/>
      <c r="O8" s="67"/>
      <c r="P8" s="67"/>
      <c r="Q8" s="67"/>
      <c r="R8" s="67"/>
      <c r="S8" s="67"/>
      <c r="T8" s="67"/>
      <c r="U8" s="67"/>
      <c r="V8" s="67"/>
      <c r="W8" s="67"/>
      <c r="X8" s="67"/>
      <c r="Y8" s="67"/>
      <c r="Z8" s="67"/>
      <c r="AA8" s="56"/>
    </row>
    <row r="9" spans="1:27" ht="15" x14ac:dyDescent="0.35">
      <c r="A9" s="75"/>
      <c r="B9" s="67"/>
      <c r="C9" s="67"/>
      <c r="D9" s="67"/>
      <c r="E9" s="67"/>
      <c r="F9" s="67"/>
      <c r="G9" s="76" t="s">
        <v>6</v>
      </c>
      <c r="H9" s="117">
        <v>5.3</v>
      </c>
      <c r="I9" s="77" t="s">
        <v>10</v>
      </c>
      <c r="J9" s="67"/>
      <c r="K9" s="67"/>
      <c r="L9" s="67"/>
      <c r="M9" s="67"/>
      <c r="N9" s="67"/>
      <c r="O9" s="67"/>
      <c r="P9" s="67"/>
      <c r="Q9" s="67"/>
      <c r="R9" s="67"/>
      <c r="S9" s="67"/>
      <c r="T9" s="67"/>
      <c r="U9" s="67"/>
      <c r="V9" s="67"/>
      <c r="W9" s="67"/>
      <c r="X9" s="67"/>
      <c r="Y9" s="67"/>
      <c r="Z9" s="67"/>
      <c r="AA9" s="56"/>
    </row>
    <row r="10" spans="1:27" ht="15" x14ac:dyDescent="0.35">
      <c r="A10" s="75"/>
      <c r="B10" s="67"/>
      <c r="C10" s="67"/>
      <c r="D10" s="67"/>
      <c r="E10" s="67"/>
      <c r="F10" s="67"/>
      <c r="G10" s="76" t="s">
        <v>540</v>
      </c>
      <c r="H10" s="117">
        <v>20</v>
      </c>
      <c r="I10" s="77" t="s">
        <v>10</v>
      </c>
      <c r="J10" s="67"/>
      <c r="K10" s="67"/>
      <c r="L10" s="67"/>
      <c r="M10" s="67"/>
      <c r="N10" s="67"/>
      <c r="O10" s="67"/>
      <c r="P10" s="67"/>
      <c r="Q10" s="67"/>
      <c r="R10" s="67"/>
      <c r="S10" s="67"/>
      <c r="T10" s="67"/>
      <c r="U10" s="67"/>
      <c r="V10" s="67"/>
      <c r="W10" s="67"/>
      <c r="X10" s="67"/>
      <c r="Y10" s="67"/>
      <c r="Z10" s="67"/>
      <c r="AA10" s="56"/>
    </row>
    <row r="11" spans="1:27" ht="15" x14ac:dyDescent="0.35">
      <c r="A11" s="75"/>
      <c r="B11" s="67"/>
      <c r="C11" s="67"/>
      <c r="D11" s="67"/>
      <c r="E11" s="67"/>
      <c r="F11" s="67"/>
      <c r="G11" s="76" t="s">
        <v>7</v>
      </c>
      <c r="H11" s="117">
        <f>210/20*12*0.0025/0.72</f>
        <v>0.4375</v>
      </c>
      <c r="I11" s="77" t="s">
        <v>11</v>
      </c>
      <c r="J11" s="67"/>
      <c r="K11" s="67"/>
      <c r="L11" s="67"/>
      <c r="M11" s="67"/>
      <c r="N11" s="67"/>
      <c r="O11" s="67"/>
      <c r="P11" s="67"/>
      <c r="Q11" s="67"/>
      <c r="R11" s="67"/>
      <c r="S11" s="67"/>
      <c r="T11" s="67"/>
      <c r="U11" s="67"/>
      <c r="V11" s="67"/>
      <c r="W11" s="67"/>
      <c r="X11" s="67"/>
      <c r="Y11" s="67"/>
      <c r="Z11" s="67"/>
      <c r="AA11" s="56"/>
    </row>
    <row r="12" spans="1:27" ht="15" x14ac:dyDescent="0.35">
      <c r="A12" s="75"/>
      <c r="B12" s="67"/>
      <c r="C12" s="67"/>
      <c r="D12" s="67"/>
      <c r="E12" s="67"/>
      <c r="F12" s="67"/>
      <c r="G12" s="76" t="s">
        <v>8</v>
      </c>
      <c r="H12" s="117">
        <v>219</v>
      </c>
      <c r="I12" s="77" t="s">
        <v>12</v>
      </c>
      <c r="J12" s="67"/>
      <c r="K12" s="67"/>
      <c r="L12" s="67"/>
      <c r="M12" s="67"/>
      <c r="N12" s="67"/>
      <c r="O12" s="67"/>
      <c r="P12" s="67"/>
      <c r="Q12" s="67"/>
      <c r="R12" s="67"/>
      <c r="S12" s="67"/>
      <c r="T12" s="67"/>
      <c r="U12" s="67"/>
      <c r="V12" s="67"/>
      <c r="W12" s="67"/>
      <c r="X12" s="67"/>
      <c r="Y12" s="67"/>
      <c r="Z12" s="67"/>
      <c r="AA12" s="56"/>
    </row>
    <row r="13" spans="1:27" ht="15" x14ac:dyDescent="0.35">
      <c r="A13" s="75"/>
      <c r="B13" s="67"/>
      <c r="C13" s="67"/>
      <c r="D13" s="67"/>
      <c r="E13" s="67"/>
      <c r="F13" s="67"/>
      <c r="G13" s="76" t="s">
        <v>75</v>
      </c>
      <c r="H13" s="118">
        <f>RT/1000</f>
        <v>99.95824200913242</v>
      </c>
      <c r="I13" s="77" t="s">
        <v>76</v>
      </c>
      <c r="J13" s="67"/>
      <c r="K13" s="67"/>
      <c r="L13" s="67"/>
      <c r="M13" s="67"/>
      <c r="N13" s="67"/>
      <c r="O13" s="67"/>
      <c r="P13" s="67"/>
      <c r="Q13" s="67"/>
      <c r="R13" s="67"/>
      <c r="S13" s="67"/>
      <c r="T13" s="67"/>
      <c r="U13" s="67"/>
      <c r="V13" s="67"/>
      <c r="W13" s="67"/>
      <c r="X13" s="67"/>
      <c r="Y13" s="67"/>
      <c r="Z13" s="67"/>
      <c r="AA13" s="56"/>
    </row>
    <row r="14" spans="1:27" x14ac:dyDescent="0.3">
      <c r="A14" s="75"/>
      <c r="B14" s="67"/>
      <c r="C14" s="67"/>
      <c r="D14" s="67"/>
      <c r="E14" s="67"/>
      <c r="F14" s="67"/>
      <c r="G14" s="76" t="s">
        <v>9</v>
      </c>
      <c r="H14" s="117">
        <v>90</v>
      </c>
      <c r="I14" s="77" t="s">
        <v>13</v>
      </c>
      <c r="J14" s="67"/>
      <c r="K14" s="67"/>
      <c r="L14" s="67"/>
      <c r="M14" s="67"/>
      <c r="N14" s="67"/>
      <c r="O14" s="67"/>
      <c r="P14" s="67"/>
      <c r="Q14" s="67"/>
      <c r="R14" s="67"/>
      <c r="S14" s="67"/>
      <c r="T14" s="67"/>
      <c r="U14" s="67"/>
      <c r="V14" s="67"/>
      <c r="W14" s="67"/>
      <c r="X14" s="67"/>
      <c r="Y14" s="67"/>
      <c r="Z14" s="67"/>
      <c r="AA14" s="56"/>
    </row>
    <row r="15" spans="1:27" ht="15" x14ac:dyDescent="0.35">
      <c r="A15" s="75"/>
      <c r="B15" s="67"/>
      <c r="C15" s="67"/>
      <c r="D15" s="67"/>
      <c r="E15" s="67"/>
      <c r="F15" s="67"/>
      <c r="G15" s="76" t="s">
        <v>14</v>
      </c>
      <c r="H15" s="119">
        <f>POUT</f>
        <v>8.75</v>
      </c>
      <c r="I15" s="77" t="s">
        <v>38</v>
      </c>
      <c r="J15" s="67"/>
      <c r="K15" s="67"/>
      <c r="L15" s="67"/>
      <c r="M15" s="67"/>
      <c r="N15" s="67"/>
      <c r="O15" s="67"/>
      <c r="P15" s="67"/>
      <c r="Q15" s="67"/>
      <c r="R15" s="67"/>
      <c r="S15" s="67"/>
      <c r="T15" s="67"/>
      <c r="U15" s="67"/>
      <c r="V15" s="67"/>
      <c r="W15" s="67"/>
      <c r="X15" s="67"/>
      <c r="Y15" s="67"/>
      <c r="Z15" s="67"/>
      <c r="AA15" s="56"/>
    </row>
    <row r="16" spans="1:27" ht="15" x14ac:dyDescent="0.35">
      <c r="A16" s="78"/>
      <c r="B16" s="79"/>
      <c r="C16" s="79"/>
      <c r="D16" s="79"/>
      <c r="E16" s="79"/>
      <c r="F16" s="67"/>
      <c r="G16" s="80" t="s">
        <v>486</v>
      </c>
      <c r="H16" s="119">
        <f>Dc_max_IC*100</f>
        <v>93</v>
      </c>
      <c r="I16" s="77" t="s">
        <v>13</v>
      </c>
      <c r="J16" s="67"/>
      <c r="K16" s="67"/>
      <c r="L16" s="67"/>
      <c r="M16" s="67"/>
      <c r="N16" s="67"/>
      <c r="O16" s="67"/>
      <c r="P16" s="67"/>
      <c r="Q16" s="67"/>
      <c r="R16" s="67"/>
      <c r="S16" s="67"/>
      <c r="T16" s="67"/>
      <c r="U16" s="67"/>
      <c r="V16" s="67"/>
      <c r="W16" s="67"/>
      <c r="X16" s="67"/>
      <c r="Y16" s="67"/>
      <c r="Z16" s="67"/>
      <c r="AA16" s="56"/>
    </row>
    <row r="17" spans="1:27" ht="15" thickBot="1" x14ac:dyDescent="0.35">
      <c r="A17" s="78"/>
      <c r="B17" s="79"/>
      <c r="C17" s="79"/>
      <c r="D17" s="79"/>
      <c r="E17" s="79"/>
      <c r="F17" s="67"/>
      <c r="G17" s="80" t="s">
        <v>518</v>
      </c>
      <c r="H17" s="142">
        <f>Variable_Management!B39*100</f>
        <v>76.5</v>
      </c>
      <c r="I17" s="77" t="s">
        <v>13</v>
      </c>
      <c r="J17" s="67"/>
      <c r="K17" s="67"/>
      <c r="L17" s="67"/>
      <c r="M17" s="67"/>
      <c r="N17" s="67"/>
      <c r="O17" s="67"/>
      <c r="P17" s="67"/>
      <c r="Q17" s="67"/>
      <c r="R17" s="67"/>
      <c r="S17" s="67"/>
      <c r="T17" s="67"/>
      <c r="U17" s="67"/>
      <c r="V17" s="67"/>
      <c r="W17" s="67"/>
      <c r="X17" s="67"/>
      <c r="Y17" s="67"/>
      <c r="Z17" s="67"/>
      <c r="AA17" s="56"/>
    </row>
    <row r="18" spans="1:27" ht="15" thickBot="1" x14ac:dyDescent="0.35">
      <c r="A18" s="81"/>
      <c r="B18" s="82"/>
      <c r="C18" s="82"/>
      <c r="D18" s="82"/>
      <c r="E18" s="82"/>
      <c r="F18" s="83"/>
      <c r="G18" s="84" t="s">
        <v>522</v>
      </c>
      <c r="H18" s="138" t="s">
        <v>495</v>
      </c>
      <c r="I18" s="85"/>
      <c r="J18" s="67"/>
      <c r="K18" s="67"/>
      <c r="L18" s="67"/>
      <c r="M18" s="67"/>
      <c r="N18" s="67"/>
      <c r="O18" s="67"/>
      <c r="P18" s="67"/>
      <c r="Q18" s="67"/>
      <c r="R18" s="67"/>
      <c r="S18" s="67"/>
      <c r="T18" s="67"/>
      <c r="U18" s="67"/>
      <c r="V18" s="67"/>
      <c r="W18" s="67"/>
      <c r="X18" s="67"/>
      <c r="Y18" s="67"/>
      <c r="Z18" s="67"/>
      <c r="AA18" s="56"/>
    </row>
    <row r="19" spans="1:27" x14ac:dyDescent="0.3">
      <c r="A19" s="79"/>
      <c r="B19" s="79"/>
      <c r="C19" s="79"/>
      <c r="D19" s="79"/>
      <c r="E19" s="79"/>
      <c r="F19" s="67"/>
      <c r="G19" s="68"/>
      <c r="H19" s="67"/>
      <c r="I19" s="67"/>
      <c r="J19" s="67"/>
      <c r="K19" s="67"/>
      <c r="L19" s="67"/>
      <c r="M19" s="67"/>
      <c r="N19" s="67"/>
      <c r="O19" s="67"/>
      <c r="P19" s="67"/>
      <c r="Q19" s="67"/>
      <c r="R19" s="67"/>
      <c r="S19" s="67"/>
      <c r="T19" s="67"/>
      <c r="U19" s="67"/>
      <c r="V19" s="67"/>
      <c r="W19" s="67"/>
      <c r="X19" s="67"/>
      <c r="Y19" s="67"/>
      <c r="Z19" s="67"/>
      <c r="AA19" s="56"/>
    </row>
    <row r="20" spans="1:27" ht="15" thickBot="1" x14ac:dyDescent="0.35">
      <c r="A20" s="70" t="s">
        <v>77</v>
      </c>
      <c r="B20" s="79"/>
      <c r="C20" s="79"/>
      <c r="D20" s="79"/>
      <c r="E20" s="79"/>
      <c r="F20" s="67"/>
      <c r="G20" s="68"/>
      <c r="H20" s="67"/>
      <c r="I20" s="67"/>
      <c r="J20" s="67"/>
      <c r="K20" s="67"/>
      <c r="L20" s="67"/>
      <c r="M20" s="67"/>
      <c r="N20" s="67"/>
      <c r="O20" s="67"/>
      <c r="P20" s="67"/>
      <c r="Q20" s="67"/>
      <c r="R20" s="67"/>
      <c r="S20" s="67"/>
      <c r="T20" s="67"/>
      <c r="U20" s="67"/>
      <c r="V20" s="67"/>
      <c r="W20" s="67"/>
      <c r="X20" s="67"/>
      <c r="Y20" s="67"/>
      <c r="Z20" s="67"/>
      <c r="AA20" s="56"/>
    </row>
    <row r="21" spans="1:27" ht="15" x14ac:dyDescent="0.35">
      <c r="A21" s="86"/>
      <c r="B21" s="87"/>
      <c r="C21" s="87"/>
      <c r="D21" s="87"/>
      <c r="E21" s="87"/>
      <c r="F21" s="72"/>
      <c r="G21" s="73" t="s">
        <v>487</v>
      </c>
      <c r="H21" s="116">
        <v>60</v>
      </c>
      <c r="I21" s="74" t="s">
        <v>13</v>
      </c>
      <c r="J21" s="67"/>
      <c r="K21" s="67"/>
      <c r="L21" s="67"/>
      <c r="M21" s="67"/>
      <c r="N21" s="67"/>
      <c r="O21" s="67"/>
      <c r="P21" s="67"/>
      <c r="Q21" s="67"/>
      <c r="R21" s="67"/>
      <c r="S21" s="67"/>
      <c r="T21" s="67"/>
      <c r="U21" s="67"/>
      <c r="V21" s="67"/>
      <c r="W21" s="67"/>
      <c r="X21" s="67"/>
      <c r="Y21" s="67"/>
      <c r="Z21" s="67"/>
      <c r="AA21" s="56"/>
    </row>
    <row r="22" spans="1:27" ht="15" x14ac:dyDescent="0.35">
      <c r="A22" s="75"/>
      <c r="B22" s="67"/>
      <c r="C22" s="67"/>
      <c r="D22" s="67"/>
      <c r="E22" s="67"/>
      <c r="F22" s="67"/>
      <c r="G22" s="76" t="s">
        <v>459</v>
      </c>
      <c r="H22" s="120">
        <f>IF(H18="CCM",Lopt_2*10^6,L_DCM*10^6)</f>
        <v>8.0623613829093301</v>
      </c>
      <c r="I22" s="77" t="s">
        <v>542</v>
      </c>
      <c r="J22" s="67"/>
      <c r="K22" s="67"/>
      <c r="L22" s="67"/>
      <c r="M22" s="67"/>
      <c r="N22" s="67"/>
      <c r="O22" s="67"/>
      <c r="P22" s="67"/>
      <c r="Q22" s="67"/>
      <c r="R22" s="67"/>
      <c r="S22" s="67"/>
      <c r="T22" s="67"/>
      <c r="U22" s="67"/>
      <c r="V22" s="67"/>
      <c r="W22" s="67"/>
      <c r="X22" s="67"/>
      <c r="Y22" s="67"/>
      <c r="Z22" s="67"/>
      <c r="AA22" s="56"/>
    </row>
    <row r="23" spans="1:27" ht="15" x14ac:dyDescent="0.35">
      <c r="A23" s="75"/>
      <c r="B23" s="67"/>
      <c r="C23" s="67"/>
      <c r="D23" s="67"/>
      <c r="E23" s="67"/>
      <c r="F23" s="67"/>
      <c r="G23" s="76" t="s">
        <v>460</v>
      </c>
      <c r="H23" s="117">
        <v>15</v>
      </c>
      <c r="I23" s="77" t="s">
        <v>542</v>
      </c>
      <c r="J23" s="67"/>
      <c r="K23" s="67"/>
      <c r="L23" s="67"/>
      <c r="M23" s="67"/>
      <c r="N23" s="67"/>
      <c r="O23" s="67"/>
      <c r="P23" s="67"/>
      <c r="Q23" s="67"/>
      <c r="R23" s="67"/>
      <c r="S23" s="67"/>
      <c r="T23" s="67"/>
      <c r="U23" s="67"/>
      <c r="V23" s="67"/>
      <c r="W23" s="67"/>
      <c r="X23" s="67"/>
      <c r="Y23" s="67"/>
      <c r="Z23" s="67"/>
      <c r="AA23" s="56"/>
    </row>
    <row r="24" spans="1:27" ht="15" x14ac:dyDescent="0.35">
      <c r="A24" s="75"/>
      <c r="B24" s="67"/>
      <c r="C24" s="67"/>
      <c r="D24" s="67"/>
      <c r="E24" s="67"/>
      <c r="F24" s="67"/>
      <c r="G24" s="76" t="s">
        <v>81</v>
      </c>
      <c r="H24" s="117">
        <v>75</v>
      </c>
      <c r="I24" s="77" t="s">
        <v>105</v>
      </c>
      <c r="J24" s="67"/>
      <c r="K24" s="67"/>
      <c r="L24" s="67"/>
      <c r="M24" s="67"/>
      <c r="N24" s="67"/>
      <c r="O24" s="67"/>
      <c r="P24" s="67"/>
      <c r="Q24" s="67"/>
      <c r="R24" s="67"/>
      <c r="S24" s="67"/>
      <c r="T24" s="67"/>
      <c r="U24" s="67"/>
      <c r="V24" s="67"/>
      <c r="W24" s="67"/>
      <c r="X24" s="67"/>
      <c r="Y24" s="67"/>
      <c r="Z24" s="67"/>
      <c r="AA24" s="56"/>
    </row>
    <row r="25" spans="1:27" ht="15.6" thickBot="1" x14ac:dyDescent="0.4">
      <c r="A25" s="88"/>
      <c r="B25" s="83"/>
      <c r="C25" s="83"/>
      <c r="D25" s="83"/>
      <c r="E25" s="83"/>
      <c r="F25" s="83"/>
      <c r="G25" s="89" t="s">
        <v>106</v>
      </c>
      <c r="H25" s="121">
        <f>ILp_VINmin</f>
        <v>2.6158181935943521</v>
      </c>
      <c r="I25" s="85" t="s">
        <v>11</v>
      </c>
      <c r="J25" s="67"/>
      <c r="K25" s="67"/>
      <c r="L25" s="67"/>
      <c r="M25" s="67"/>
      <c r="N25" s="67"/>
      <c r="O25" s="67"/>
      <c r="P25" s="67"/>
      <c r="Q25" s="67"/>
      <c r="R25" s="67"/>
      <c r="S25" s="67"/>
      <c r="T25" s="67"/>
      <c r="U25" s="67"/>
      <c r="V25" s="67"/>
      <c r="W25" s="67"/>
      <c r="X25" s="67"/>
      <c r="Y25" s="67"/>
      <c r="Z25" s="67"/>
      <c r="AA25" s="56"/>
    </row>
    <row r="26" spans="1:27" x14ac:dyDescent="0.3">
      <c r="A26" s="67"/>
      <c r="B26" s="67"/>
      <c r="C26" s="67"/>
      <c r="D26" s="67"/>
      <c r="E26" s="67"/>
      <c r="F26" s="67"/>
      <c r="G26" s="68"/>
      <c r="H26" s="67"/>
      <c r="I26" s="67"/>
      <c r="J26" s="67"/>
      <c r="K26" s="67"/>
      <c r="L26" s="67"/>
      <c r="M26" s="67"/>
      <c r="N26" s="67"/>
      <c r="O26" s="67"/>
      <c r="P26" s="67"/>
      <c r="Q26" s="67"/>
      <c r="R26" s="67"/>
      <c r="S26" s="67"/>
      <c r="T26" s="67"/>
      <c r="U26" s="67"/>
      <c r="V26" s="67"/>
      <c r="W26" s="67"/>
      <c r="X26" s="67"/>
      <c r="Y26" s="67"/>
      <c r="Z26" s="67"/>
      <c r="AA26" s="56"/>
    </row>
    <row r="27" spans="1:27" ht="15" thickBot="1" x14ac:dyDescent="0.35">
      <c r="A27" s="70" t="s">
        <v>127</v>
      </c>
      <c r="B27" s="67"/>
      <c r="C27" s="67"/>
      <c r="D27" s="67"/>
      <c r="E27" s="67"/>
      <c r="F27" s="67"/>
      <c r="G27" s="68"/>
      <c r="H27" s="67"/>
      <c r="I27" s="67"/>
      <c r="J27" s="67"/>
      <c r="K27" s="67"/>
      <c r="L27" s="67"/>
      <c r="M27" s="67"/>
      <c r="N27" s="67"/>
      <c r="O27" s="67"/>
      <c r="P27" s="67"/>
      <c r="Q27" s="67"/>
      <c r="R27" s="67"/>
      <c r="S27" s="67"/>
      <c r="T27" s="67"/>
      <c r="U27" s="67"/>
      <c r="V27" s="67"/>
      <c r="W27" s="67"/>
      <c r="X27" s="67"/>
      <c r="Y27" s="67"/>
      <c r="Z27" s="67"/>
      <c r="AA27" s="56"/>
    </row>
    <row r="28" spans="1:27" x14ac:dyDescent="0.3">
      <c r="A28" s="71"/>
      <c r="B28" s="72"/>
      <c r="C28" s="72"/>
      <c r="D28" s="72"/>
      <c r="E28" s="72"/>
      <c r="F28" s="72"/>
      <c r="G28" s="73" t="s">
        <v>488</v>
      </c>
      <c r="H28" s="116">
        <v>20</v>
      </c>
      <c r="I28" s="74" t="s">
        <v>13</v>
      </c>
      <c r="J28" s="67"/>
      <c r="K28" s="67"/>
      <c r="L28" s="67"/>
      <c r="M28" s="67"/>
      <c r="N28" s="67"/>
      <c r="O28" s="67"/>
      <c r="P28" s="67"/>
      <c r="Q28" s="67"/>
      <c r="R28" s="67"/>
      <c r="S28" s="67"/>
      <c r="T28" s="67"/>
      <c r="U28" s="67"/>
      <c r="V28" s="67"/>
      <c r="W28" s="67"/>
      <c r="X28" s="67"/>
      <c r="Y28" s="67"/>
      <c r="Z28" s="67"/>
      <c r="AA28" s="56"/>
    </row>
    <row r="29" spans="1:27" ht="15.6" x14ac:dyDescent="0.35">
      <c r="A29" s="75"/>
      <c r="B29" s="67"/>
      <c r="C29" s="67"/>
      <c r="D29" s="67"/>
      <c r="E29" s="67"/>
      <c r="F29" s="67"/>
      <c r="G29" s="68" t="s">
        <v>203</v>
      </c>
      <c r="H29" s="118">
        <f>Ipk_selected</f>
        <v>3.1389818323132226</v>
      </c>
      <c r="I29" s="77" t="s">
        <v>11</v>
      </c>
      <c r="J29" s="67"/>
      <c r="K29" s="67"/>
      <c r="L29" s="67"/>
      <c r="M29" s="67"/>
      <c r="N29" s="67"/>
      <c r="O29" s="67"/>
      <c r="P29" s="67"/>
      <c r="Q29" s="67"/>
      <c r="R29" s="67"/>
      <c r="S29" s="67"/>
      <c r="T29" s="67"/>
      <c r="U29" s="67"/>
      <c r="V29" s="67"/>
      <c r="W29" s="67"/>
      <c r="X29" s="67"/>
      <c r="Y29" s="67"/>
      <c r="Z29" s="67"/>
      <c r="AA29" s="56"/>
    </row>
    <row r="30" spans="1:27" ht="15.6" x14ac:dyDescent="0.35">
      <c r="A30" s="75"/>
      <c r="B30" s="67"/>
      <c r="C30" s="67"/>
      <c r="D30" s="67"/>
      <c r="E30" s="67"/>
      <c r="F30" s="67"/>
      <c r="G30" s="68" t="s">
        <v>493</v>
      </c>
      <c r="H30" s="118">
        <f>Variable_Management!B135*1000</f>
        <v>21.384140093950773</v>
      </c>
      <c r="I30" s="77" t="s">
        <v>105</v>
      </c>
      <c r="J30" s="67"/>
      <c r="K30" s="67"/>
      <c r="L30" s="67"/>
      <c r="M30" s="67"/>
      <c r="N30" s="67"/>
      <c r="O30" s="67"/>
      <c r="P30" s="67"/>
      <c r="Q30" s="67"/>
      <c r="R30" s="67"/>
      <c r="S30" s="67"/>
      <c r="T30" s="67"/>
      <c r="U30" s="67"/>
      <c r="V30" s="67"/>
      <c r="W30" s="67"/>
      <c r="X30" s="67"/>
      <c r="Y30" s="67"/>
      <c r="Z30" s="67"/>
      <c r="AA30" s="56"/>
    </row>
    <row r="31" spans="1:27" ht="15.6" x14ac:dyDescent="0.35">
      <c r="A31" s="75"/>
      <c r="B31" s="67"/>
      <c r="C31" s="67"/>
      <c r="D31" s="67"/>
      <c r="E31" s="67"/>
      <c r="F31" s="67"/>
      <c r="G31" s="68" t="s">
        <v>166</v>
      </c>
      <c r="H31" s="122">
        <f>Variable_Management!B136</f>
        <v>1432.4868298670051</v>
      </c>
      <c r="I31" s="90" t="s">
        <v>36</v>
      </c>
      <c r="J31" s="67"/>
      <c r="K31" s="67"/>
      <c r="L31" s="67"/>
      <c r="M31" s="67"/>
      <c r="N31" s="67"/>
      <c r="O31" s="67"/>
      <c r="P31" s="67"/>
      <c r="Q31" s="67"/>
      <c r="R31" s="67"/>
      <c r="S31" s="67"/>
      <c r="T31" s="67"/>
      <c r="U31" s="67"/>
      <c r="V31" s="67"/>
      <c r="W31" s="67"/>
      <c r="X31" s="67"/>
      <c r="Y31" s="67"/>
      <c r="Z31" s="67"/>
      <c r="AA31" s="56"/>
    </row>
    <row r="32" spans="1:27" ht="15.6" x14ac:dyDescent="0.35">
      <c r="A32" s="75"/>
      <c r="B32" s="67"/>
      <c r="C32" s="67"/>
      <c r="D32" s="67"/>
      <c r="E32" s="67"/>
      <c r="F32" s="67"/>
      <c r="G32" s="68" t="s">
        <v>494</v>
      </c>
      <c r="H32" s="117">
        <v>40</v>
      </c>
      <c r="I32" s="77" t="s">
        <v>105</v>
      </c>
      <c r="J32" s="67"/>
      <c r="K32" s="67"/>
      <c r="L32" s="67"/>
      <c r="M32" s="67"/>
      <c r="N32" s="67"/>
      <c r="O32" s="67"/>
      <c r="P32" s="67"/>
      <c r="Q32" s="67"/>
      <c r="R32" s="67"/>
      <c r="S32" s="67"/>
      <c r="T32" s="67"/>
      <c r="U32" s="67"/>
      <c r="V32" s="67"/>
      <c r="W32" s="67"/>
      <c r="X32" s="67"/>
      <c r="Y32" s="67"/>
      <c r="Z32" s="67"/>
      <c r="AA32" s="56"/>
    </row>
    <row r="33" spans="1:27" ht="15.6" x14ac:dyDescent="0.35">
      <c r="A33" s="75"/>
      <c r="B33" s="67"/>
      <c r="C33" s="67"/>
      <c r="D33" s="67"/>
      <c r="E33" s="67"/>
      <c r="F33" s="67"/>
      <c r="G33" s="68" t="s">
        <v>169</v>
      </c>
      <c r="H33" s="117">
        <v>0</v>
      </c>
      <c r="I33" s="90" t="s">
        <v>36</v>
      </c>
      <c r="J33" s="67"/>
      <c r="K33" s="67"/>
      <c r="L33" s="67"/>
      <c r="M33" s="67"/>
      <c r="N33" s="67"/>
      <c r="O33" s="67"/>
      <c r="P33" s="67"/>
      <c r="Q33" s="67"/>
      <c r="R33" s="67"/>
      <c r="S33" s="67"/>
      <c r="T33" s="67"/>
      <c r="U33" s="67"/>
      <c r="V33" s="67"/>
      <c r="W33" s="67"/>
      <c r="X33" s="67"/>
      <c r="Y33" s="67"/>
      <c r="Z33" s="67"/>
      <c r="AA33" s="56"/>
    </row>
    <row r="34" spans="1:27" x14ac:dyDescent="0.3">
      <c r="A34" s="75"/>
      <c r="B34" s="67"/>
      <c r="C34" s="67"/>
      <c r="D34" s="67"/>
      <c r="E34" s="67"/>
      <c r="F34" s="67"/>
      <c r="G34" s="68" t="s">
        <v>173</v>
      </c>
      <c r="H34" s="118">
        <f>IL_pk_max</f>
        <v>2.5</v>
      </c>
      <c r="I34" s="90" t="s">
        <v>11</v>
      </c>
      <c r="J34" s="67"/>
      <c r="K34" s="67"/>
      <c r="L34" s="67"/>
      <c r="M34" s="67"/>
      <c r="N34" s="67"/>
      <c r="O34" s="67"/>
      <c r="P34" s="67"/>
      <c r="Q34" s="67"/>
      <c r="R34" s="67"/>
      <c r="S34" s="67"/>
      <c r="T34" s="67"/>
      <c r="U34" s="67"/>
      <c r="V34" s="67"/>
      <c r="W34" s="67"/>
      <c r="X34" s="67"/>
      <c r="Y34" s="67"/>
      <c r="Z34" s="67"/>
      <c r="AA34" s="56"/>
    </row>
    <row r="35" spans="1:27" ht="15" thickBot="1" x14ac:dyDescent="0.35">
      <c r="A35" s="88"/>
      <c r="B35" s="83"/>
      <c r="C35" s="83"/>
      <c r="D35" s="83"/>
      <c r="E35" s="83"/>
      <c r="F35" s="83"/>
      <c r="G35" s="91" t="s">
        <v>191</v>
      </c>
      <c r="H35" s="123">
        <f>Variable_Management!B145</f>
        <v>2.875</v>
      </c>
      <c r="I35" s="92" t="s">
        <v>11</v>
      </c>
      <c r="J35" s="67"/>
      <c r="K35" s="67"/>
      <c r="L35" s="67"/>
      <c r="M35" s="67"/>
      <c r="N35" s="67"/>
      <c r="O35" s="67"/>
      <c r="P35" s="67"/>
      <c r="Q35" s="67"/>
      <c r="R35" s="67"/>
      <c r="S35" s="67"/>
      <c r="T35" s="67"/>
      <c r="U35" s="67"/>
      <c r="V35" s="67"/>
      <c r="W35" s="67"/>
      <c r="X35" s="67"/>
      <c r="Y35" s="67"/>
      <c r="Z35" s="67"/>
      <c r="AA35" s="56"/>
    </row>
    <row r="36" spans="1:27" x14ac:dyDescent="0.3">
      <c r="A36" s="67"/>
      <c r="B36" s="67"/>
      <c r="C36" s="67"/>
      <c r="D36" s="67"/>
      <c r="E36" s="67"/>
      <c r="F36" s="67"/>
      <c r="G36" s="68"/>
      <c r="H36" s="67"/>
      <c r="I36" s="67"/>
      <c r="J36" s="67"/>
      <c r="K36" s="67"/>
      <c r="L36" s="67"/>
      <c r="M36" s="67"/>
      <c r="N36" s="67"/>
      <c r="O36" s="67"/>
      <c r="P36" s="67"/>
      <c r="Q36" s="67"/>
      <c r="R36" s="67"/>
      <c r="S36" s="67"/>
      <c r="T36" s="67"/>
      <c r="U36" s="67"/>
      <c r="V36" s="67"/>
      <c r="W36" s="67"/>
      <c r="X36" s="67"/>
      <c r="Y36" s="67"/>
      <c r="Z36" s="67"/>
      <c r="AA36" s="56"/>
    </row>
    <row r="37" spans="1:27" ht="15" thickBot="1" x14ac:dyDescent="0.35">
      <c r="A37" s="70" t="s">
        <v>185</v>
      </c>
      <c r="B37" s="67"/>
      <c r="C37" s="67"/>
      <c r="D37" s="67"/>
      <c r="E37" s="67"/>
      <c r="F37" s="67"/>
      <c r="G37" s="68"/>
      <c r="H37" s="67"/>
      <c r="I37" s="67"/>
      <c r="J37" s="67"/>
      <c r="K37" s="67"/>
      <c r="L37" s="67"/>
      <c r="M37" s="67"/>
      <c r="N37" s="67"/>
      <c r="O37" s="67"/>
      <c r="P37" s="67"/>
      <c r="Q37" s="67"/>
      <c r="R37" s="67"/>
      <c r="S37" s="67"/>
      <c r="T37" s="67"/>
      <c r="U37" s="67"/>
      <c r="V37" s="67"/>
      <c r="W37" s="67"/>
      <c r="X37" s="67"/>
      <c r="Y37" s="67"/>
      <c r="Z37" s="67"/>
      <c r="AA37" s="56"/>
    </row>
    <row r="38" spans="1:27" ht="15.6" x14ac:dyDescent="0.35">
      <c r="A38" s="71"/>
      <c r="B38" s="72"/>
      <c r="C38" s="72"/>
      <c r="D38" s="72"/>
      <c r="E38" s="72"/>
      <c r="F38" s="72"/>
      <c r="G38" s="93" t="s">
        <v>541</v>
      </c>
      <c r="H38" s="116">
        <v>153</v>
      </c>
      <c r="I38" s="74" t="s">
        <v>186</v>
      </c>
      <c r="J38" s="67"/>
      <c r="K38" s="67"/>
      <c r="L38" s="67"/>
      <c r="M38" s="67"/>
      <c r="N38" s="67"/>
      <c r="O38" s="67"/>
      <c r="P38" s="67"/>
      <c r="Q38" s="67"/>
      <c r="R38" s="67"/>
      <c r="S38" s="67"/>
      <c r="T38" s="67"/>
      <c r="U38" s="67"/>
      <c r="V38" s="67"/>
      <c r="W38" s="67"/>
      <c r="X38" s="67"/>
      <c r="Y38" s="67"/>
      <c r="Z38" s="67"/>
      <c r="AA38" s="56"/>
    </row>
    <row r="39" spans="1:27" x14ac:dyDescent="0.3">
      <c r="A39" s="75"/>
      <c r="B39" s="67"/>
      <c r="C39" s="67"/>
      <c r="D39" s="67"/>
      <c r="E39" s="67"/>
      <c r="F39" s="67"/>
      <c r="G39" s="68" t="s">
        <v>187</v>
      </c>
      <c r="H39" s="143">
        <f>Cout_min*10^6</f>
        <v>9.9885844748858457</v>
      </c>
      <c r="I39" s="77" t="s">
        <v>543</v>
      </c>
      <c r="J39" s="67"/>
      <c r="K39" s="67"/>
      <c r="L39" s="67"/>
      <c r="M39" s="67"/>
      <c r="N39" s="67"/>
      <c r="O39" s="67"/>
      <c r="P39" s="67"/>
      <c r="Q39" s="67"/>
      <c r="R39" s="67"/>
      <c r="S39" s="67"/>
      <c r="T39" s="67"/>
      <c r="U39" s="67"/>
      <c r="V39" s="67"/>
      <c r="W39" s="67"/>
      <c r="X39" s="67"/>
      <c r="Y39" s="67"/>
      <c r="Z39" s="67"/>
      <c r="AA39" s="56"/>
    </row>
    <row r="40" spans="1:27" ht="15.6" x14ac:dyDescent="0.35">
      <c r="A40" s="75"/>
      <c r="B40" s="67"/>
      <c r="C40" s="67"/>
      <c r="D40" s="67"/>
      <c r="E40" s="67"/>
      <c r="F40" s="67"/>
      <c r="G40" s="68" t="s">
        <v>195</v>
      </c>
      <c r="H40" s="118">
        <f>IRMS_COUT</f>
        <v>0.84671708607886376</v>
      </c>
      <c r="I40" s="77" t="s">
        <v>11</v>
      </c>
      <c r="J40" s="67"/>
      <c r="K40" s="67"/>
      <c r="L40" s="67"/>
      <c r="M40" s="67"/>
      <c r="N40" s="67"/>
      <c r="O40" s="67"/>
      <c r="P40" s="67"/>
      <c r="Q40" s="67"/>
      <c r="R40" s="67"/>
      <c r="S40" s="67"/>
      <c r="T40" s="67"/>
      <c r="U40" s="67"/>
      <c r="V40" s="67"/>
      <c r="W40" s="67"/>
      <c r="X40" s="67"/>
      <c r="Y40" s="67"/>
      <c r="Z40" s="67"/>
      <c r="AA40" s="56"/>
    </row>
    <row r="41" spans="1:27" ht="15.6" x14ac:dyDescent="0.35">
      <c r="A41" s="75"/>
      <c r="B41" s="67"/>
      <c r="C41" s="67"/>
      <c r="D41" s="67"/>
      <c r="E41" s="67"/>
      <c r="F41" s="67"/>
      <c r="G41" s="68" t="s">
        <v>188</v>
      </c>
      <c r="H41" s="117">
        <v>10</v>
      </c>
      <c r="I41" s="77" t="s">
        <v>543</v>
      </c>
      <c r="J41" s="67"/>
      <c r="K41" s="67"/>
      <c r="L41" s="67"/>
      <c r="M41" s="67"/>
      <c r="N41" s="67"/>
      <c r="O41" s="67"/>
      <c r="P41" s="67"/>
      <c r="Q41" s="67"/>
      <c r="R41" s="67"/>
      <c r="S41" s="67"/>
      <c r="T41" s="67"/>
      <c r="U41" s="67"/>
      <c r="V41" s="67"/>
      <c r="W41" s="67"/>
      <c r="X41" s="67"/>
      <c r="Y41" s="67"/>
      <c r="Z41" s="67"/>
      <c r="AA41" s="56"/>
    </row>
    <row r="42" spans="1:27" ht="16.2" thickBot="1" x14ac:dyDescent="0.4">
      <c r="A42" s="88"/>
      <c r="B42" s="83"/>
      <c r="C42" s="83"/>
      <c r="D42" s="83"/>
      <c r="E42" s="83"/>
      <c r="F42" s="83"/>
      <c r="G42" s="91" t="s">
        <v>198</v>
      </c>
      <c r="H42" s="124">
        <v>2</v>
      </c>
      <c r="I42" s="85" t="s">
        <v>105</v>
      </c>
      <c r="J42" s="67"/>
      <c r="K42" s="67"/>
      <c r="L42" s="67"/>
      <c r="M42" s="67"/>
      <c r="N42" s="67"/>
      <c r="O42" s="67"/>
      <c r="P42" s="67"/>
      <c r="Q42" s="67"/>
      <c r="R42" s="67"/>
      <c r="S42" s="67"/>
      <c r="T42" s="67"/>
      <c r="U42" s="67"/>
      <c r="V42" s="67"/>
      <c r="W42" s="67"/>
      <c r="X42" s="67"/>
      <c r="Y42" s="67"/>
      <c r="Z42" s="67"/>
      <c r="AA42" s="56"/>
    </row>
    <row r="43" spans="1:27" x14ac:dyDescent="0.3">
      <c r="A43" s="67"/>
      <c r="B43" s="67"/>
      <c r="C43" s="67"/>
      <c r="D43" s="67"/>
      <c r="E43" s="67"/>
      <c r="F43" s="67"/>
      <c r="G43" s="68"/>
      <c r="H43" s="67"/>
      <c r="I43" s="67"/>
      <c r="J43" s="67"/>
      <c r="K43" s="67"/>
      <c r="L43" s="67"/>
      <c r="M43" s="67"/>
      <c r="N43" s="67"/>
      <c r="O43" s="67"/>
      <c r="P43" s="67"/>
      <c r="Q43" s="67"/>
      <c r="R43" s="67"/>
      <c r="S43" s="67"/>
      <c r="T43" s="67"/>
      <c r="U43" s="67"/>
      <c r="V43" s="67"/>
      <c r="W43" s="67"/>
      <c r="X43" s="67"/>
      <c r="Y43" s="67"/>
      <c r="Z43" s="67"/>
      <c r="AA43" s="56"/>
    </row>
    <row r="44" spans="1:27" ht="15" thickBot="1" x14ac:dyDescent="0.35">
      <c r="A44" s="70" t="s">
        <v>319</v>
      </c>
      <c r="B44" s="67"/>
      <c r="C44" s="67"/>
      <c r="D44" s="67"/>
      <c r="E44" s="67"/>
      <c r="F44" s="67"/>
      <c r="G44" s="68"/>
      <c r="H44" s="67"/>
      <c r="I44" s="67"/>
      <c r="J44" s="67"/>
      <c r="K44" s="67"/>
      <c r="L44" s="67"/>
      <c r="M44" s="67"/>
      <c r="N44" s="67"/>
      <c r="O44" s="67"/>
      <c r="P44" s="67"/>
      <c r="Q44" s="67"/>
      <c r="R44" s="67"/>
      <c r="S44" s="67"/>
      <c r="T44" s="67"/>
      <c r="U44" s="67"/>
      <c r="V44" s="67"/>
      <c r="W44" s="67"/>
      <c r="X44" s="67"/>
      <c r="Y44" s="67"/>
      <c r="Z44" s="67"/>
      <c r="AA44" s="56"/>
    </row>
    <row r="45" spans="1:27" ht="15.6" x14ac:dyDescent="0.35">
      <c r="A45" s="71"/>
      <c r="B45" s="72"/>
      <c r="C45" s="72"/>
      <c r="D45" s="72"/>
      <c r="E45" s="72"/>
      <c r="F45" s="72"/>
      <c r="G45" s="93" t="s">
        <v>342</v>
      </c>
      <c r="H45" s="126">
        <f>Variable_Management!B161*(10^9)</f>
        <v>4.5714285714285703</v>
      </c>
      <c r="I45" s="74" t="s">
        <v>218</v>
      </c>
      <c r="J45" s="67"/>
      <c r="K45" s="67"/>
      <c r="L45" s="67"/>
      <c r="M45" s="67"/>
      <c r="N45" s="67"/>
      <c r="O45" s="67"/>
      <c r="P45" s="67"/>
      <c r="Q45" s="67"/>
      <c r="R45" s="67"/>
      <c r="S45" s="67"/>
      <c r="T45" s="67"/>
      <c r="U45" s="67"/>
      <c r="V45" s="67"/>
      <c r="W45" s="67"/>
      <c r="X45" s="67"/>
      <c r="Y45" s="67"/>
      <c r="Z45" s="67"/>
      <c r="AA45" s="56"/>
    </row>
    <row r="46" spans="1:27" ht="15.6" x14ac:dyDescent="0.35">
      <c r="A46" s="75"/>
      <c r="B46" s="67"/>
      <c r="C46" s="67"/>
      <c r="D46" s="67"/>
      <c r="E46" s="67"/>
      <c r="F46" s="67"/>
      <c r="G46" s="68" t="s">
        <v>529</v>
      </c>
      <c r="H46" s="117">
        <v>8</v>
      </c>
      <c r="I46" s="77" t="s">
        <v>343</v>
      </c>
      <c r="J46" s="67"/>
      <c r="K46" s="67"/>
      <c r="L46" s="67"/>
      <c r="M46" s="67"/>
      <c r="N46" s="67"/>
      <c r="O46" s="67"/>
      <c r="P46" s="67"/>
      <c r="Q46" s="67"/>
      <c r="R46" s="67"/>
      <c r="S46" s="67"/>
      <c r="T46" s="67"/>
      <c r="U46" s="67"/>
      <c r="V46" s="67"/>
      <c r="W46" s="67"/>
      <c r="X46" s="67"/>
      <c r="Y46" s="67"/>
      <c r="Z46" s="67"/>
      <c r="AA46" s="56"/>
    </row>
    <row r="47" spans="1:27" ht="16.2" thickBot="1" x14ac:dyDescent="0.4">
      <c r="A47" s="88"/>
      <c r="B47" s="83"/>
      <c r="C47" s="83"/>
      <c r="D47" s="83"/>
      <c r="E47" s="83"/>
      <c r="F47" s="83"/>
      <c r="G47" s="91" t="s">
        <v>346</v>
      </c>
      <c r="H47" s="127">
        <f>Variable_Management!B163*(10^9)</f>
        <v>104.57516339869279</v>
      </c>
      <c r="I47" s="85" t="s">
        <v>218</v>
      </c>
      <c r="J47" s="67"/>
      <c r="K47" s="67"/>
      <c r="L47" s="67"/>
      <c r="M47" s="67"/>
      <c r="N47" s="67"/>
      <c r="O47" s="67"/>
      <c r="P47" s="67"/>
      <c r="Q47" s="67"/>
      <c r="R47" s="67"/>
      <c r="S47" s="67"/>
      <c r="T47" s="67"/>
      <c r="U47" s="67"/>
      <c r="V47" s="67"/>
      <c r="W47" s="67"/>
      <c r="X47" s="67"/>
      <c r="Y47" s="67"/>
      <c r="Z47" s="67"/>
      <c r="AA47" s="56"/>
    </row>
    <row r="48" spans="1:27" x14ac:dyDescent="0.3">
      <c r="A48" s="67"/>
      <c r="B48" s="67"/>
      <c r="C48" s="67"/>
      <c r="D48" s="67"/>
      <c r="E48" s="67"/>
      <c r="F48" s="67"/>
      <c r="G48" s="68"/>
      <c r="H48" s="67"/>
      <c r="I48" s="67"/>
      <c r="J48" s="67"/>
      <c r="K48" s="67"/>
      <c r="L48" s="67"/>
      <c r="M48" s="67"/>
      <c r="N48" s="67"/>
      <c r="O48" s="67"/>
      <c r="P48" s="67"/>
      <c r="Q48" s="67"/>
      <c r="R48" s="67"/>
      <c r="S48" s="67"/>
      <c r="T48" s="67"/>
      <c r="U48" s="67"/>
      <c r="V48" s="67"/>
      <c r="W48" s="67"/>
      <c r="X48" s="67"/>
      <c r="Y48" s="67"/>
      <c r="Z48" s="67"/>
      <c r="AA48" s="56"/>
    </row>
    <row r="49" spans="1:27" ht="15" thickBot="1" x14ac:dyDescent="0.35">
      <c r="A49" s="70" t="s">
        <v>320</v>
      </c>
      <c r="B49" s="67"/>
      <c r="C49" s="67"/>
      <c r="D49" s="67"/>
      <c r="E49" s="67"/>
      <c r="F49" s="67"/>
      <c r="G49" s="68"/>
      <c r="H49" s="67"/>
      <c r="I49" s="67"/>
      <c r="J49" s="67"/>
      <c r="K49" s="67"/>
      <c r="L49" s="67"/>
      <c r="M49" s="67"/>
      <c r="N49" s="67"/>
      <c r="O49" s="67"/>
      <c r="P49" s="67"/>
      <c r="Q49" s="67"/>
      <c r="R49" s="67"/>
      <c r="S49" s="67"/>
      <c r="T49" s="67"/>
      <c r="U49" s="67"/>
      <c r="V49" s="67"/>
      <c r="W49" s="67"/>
      <c r="X49" s="67"/>
      <c r="Y49" s="67"/>
      <c r="Z49" s="67"/>
      <c r="AA49" s="56"/>
    </row>
    <row r="50" spans="1:27" ht="15.6" x14ac:dyDescent="0.35">
      <c r="A50" s="71"/>
      <c r="B50" s="72"/>
      <c r="C50" s="72"/>
      <c r="D50" s="72"/>
      <c r="E50" s="72"/>
      <c r="F50" s="72"/>
      <c r="G50" s="93" t="s">
        <v>348</v>
      </c>
      <c r="H50" s="116">
        <v>4.5</v>
      </c>
      <c r="I50" s="74" t="s">
        <v>10</v>
      </c>
      <c r="J50" s="67"/>
      <c r="K50" s="67"/>
      <c r="L50" s="67"/>
      <c r="M50" s="67"/>
      <c r="N50" s="67"/>
      <c r="O50" s="67"/>
      <c r="P50" s="67"/>
      <c r="Q50" s="67"/>
      <c r="R50" s="67"/>
      <c r="S50" s="67"/>
      <c r="T50" s="67"/>
      <c r="U50" s="67"/>
      <c r="V50" s="67"/>
      <c r="W50" s="67"/>
      <c r="X50" s="67"/>
      <c r="Y50" s="67"/>
      <c r="Z50" s="67"/>
      <c r="AA50" s="56"/>
    </row>
    <row r="51" spans="1:27" ht="15.6" x14ac:dyDescent="0.35">
      <c r="A51" s="75"/>
      <c r="B51" s="67"/>
      <c r="C51" s="67"/>
      <c r="D51" s="67"/>
      <c r="E51" s="67"/>
      <c r="F51" s="67"/>
      <c r="G51" s="68" t="s">
        <v>347</v>
      </c>
      <c r="H51" s="117">
        <v>4</v>
      </c>
      <c r="I51" s="77" t="s">
        <v>10</v>
      </c>
      <c r="J51" s="67"/>
      <c r="K51" s="67"/>
      <c r="L51" s="67"/>
      <c r="M51" s="67"/>
      <c r="N51" s="67"/>
      <c r="O51" s="67"/>
      <c r="P51" s="67"/>
      <c r="Q51" s="115">
        <f>VIN_min</f>
        <v>4.7</v>
      </c>
      <c r="R51" s="67"/>
      <c r="S51" s="67"/>
      <c r="T51" s="67"/>
      <c r="U51" s="67"/>
      <c r="V51" s="67"/>
      <c r="W51" s="67"/>
      <c r="X51" s="67"/>
      <c r="Y51" s="67"/>
      <c r="Z51" s="67"/>
      <c r="AA51" s="56"/>
    </row>
    <row r="52" spans="1:27" ht="15.6" x14ac:dyDescent="0.35">
      <c r="A52" s="75"/>
      <c r="B52" s="67"/>
      <c r="C52" s="67"/>
      <c r="D52" s="67"/>
      <c r="E52" s="67"/>
      <c r="F52" s="67"/>
      <c r="G52" s="68" t="s">
        <v>463</v>
      </c>
      <c r="H52" s="125">
        <f>Ruvlo_top_calc/1000</f>
        <v>70.29999999999994</v>
      </c>
      <c r="I52" s="90" t="s">
        <v>215</v>
      </c>
      <c r="J52" s="67"/>
      <c r="K52" s="67"/>
      <c r="L52" s="67"/>
      <c r="M52" s="67"/>
      <c r="N52" s="67"/>
      <c r="O52" s="67"/>
      <c r="P52" s="67"/>
      <c r="Q52" s="67"/>
      <c r="R52" s="67"/>
      <c r="S52" s="67"/>
      <c r="T52" s="67"/>
      <c r="U52" s="67"/>
      <c r="V52" s="67"/>
      <c r="W52" s="67"/>
      <c r="X52" s="67"/>
      <c r="Y52" s="67"/>
      <c r="Z52" s="67"/>
      <c r="AA52" s="56"/>
    </row>
    <row r="53" spans="1:27" ht="15.6" x14ac:dyDescent="0.35">
      <c r="A53" s="75"/>
      <c r="B53" s="67"/>
      <c r="C53" s="67"/>
      <c r="D53" s="67"/>
      <c r="E53" s="67"/>
      <c r="F53" s="67"/>
      <c r="G53" s="68" t="s">
        <v>464</v>
      </c>
      <c r="H53" s="117">
        <v>62</v>
      </c>
      <c r="I53" s="90" t="s">
        <v>215</v>
      </c>
      <c r="J53" s="67"/>
      <c r="K53" s="67"/>
      <c r="L53" s="67"/>
      <c r="M53" s="67"/>
      <c r="N53" s="67"/>
      <c r="O53" s="67"/>
      <c r="P53" s="67"/>
      <c r="Q53" s="67"/>
      <c r="R53" s="67"/>
      <c r="S53" s="67"/>
      <c r="T53" s="67"/>
      <c r="U53" s="67"/>
      <c r="V53" s="67"/>
      <c r="W53" s="67"/>
      <c r="X53" s="67"/>
      <c r="Y53" s="67"/>
      <c r="Z53" s="67"/>
      <c r="AA53" s="56"/>
    </row>
    <row r="54" spans="1:27" ht="16.2" thickBot="1" x14ac:dyDescent="0.4">
      <c r="A54" s="88"/>
      <c r="B54" s="83"/>
      <c r="C54" s="83"/>
      <c r="D54" s="83"/>
      <c r="E54" s="83"/>
      <c r="F54" s="83"/>
      <c r="G54" s="91" t="s">
        <v>465</v>
      </c>
      <c r="H54" s="219">
        <f>IF(Ruvlo_bottom_calc/1000=0,"NA",Ruvlo_bottom_calc/1000)</f>
        <v>31</v>
      </c>
      <c r="I54" s="92" t="s">
        <v>215</v>
      </c>
      <c r="J54" s="67"/>
      <c r="K54" s="67"/>
      <c r="L54" s="67"/>
      <c r="M54" s="67"/>
      <c r="N54" s="67"/>
      <c r="O54" s="67"/>
      <c r="P54" s="67"/>
      <c r="Q54" s="67"/>
      <c r="R54" s="67"/>
      <c r="S54" s="67"/>
      <c r="T54" s="67"/>
      <c r="U54" s="67"/>
      <c r="V54" s="67"/>
      <c r="W54" s="67"/>
      <c r="X54" s="67"/>
      <c r="Y54" s="67"/>
      <c r="Z54" s="67"/>
      <c r="AA54" s="56"/>
    </row>
    <row r="55" spans="1:27" x14ac:dyDescent="0.3">
      <c r="A55" s="67"/>
      <c r="B55" s="67"/>
      <c r="C55" s="67"/>
      <c r="D55" s="67"/>
      <c r="E55" s="67"/>
      <c r="F55" s="67"/>
      <c r="G55" s="68"/>
      <c r="H55" s="67"/>
      <c r="I55" s="67"/>
      <c r="J55" s="67"/>
      <c r="K55" s="67"/>
      <c r="L55" s="67"/>
      <c r="M55" s="67"/>
      <c r="N55" s="67"/>
      <c r="O55" s="67"/>
      <c r="P55" s="67"/>
      <c r="Q55" s="67"/>
      <c r="R55" s="67"/>
      <c r="S55" s="67"/>
      <c r="T55" s="67"/>
      <c r="U55" s="67"/>
      <c r="V55" s="67"/>
      <c r="W55" s="67"/>
      <c r="X55" s="67"/>
      <c r="Y55" s="67"/>
      <c r="Z55" s="67"/>
      <c r="AA55" s="56"/>
    </row>
    <row r="56" spans="1:27" ht="15" thickBot="1" x14ac:dyDescent="0.35">
      <c r="A56" s="70" t="s">
        <v>371</v>
      </c>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56"/>
    </row>
    <row r="57" spans="1:27" ht="15.6" x14ac:dyDescent="0.35">
      <c r="A57" s="94"/>
      <c r="B57" s="72"/>
      <c r="C57" s="72"/>
      <c r="D57" s="72"/>
      <c r="E57" s="72"/>
      <c r="F57" s="72"/>
      <c r="G57" s="95" t="s">
        <v>489</v>
      </c>
      <c r="H57" s="128" t="str">
        <f>VIN_nom&amp;"V"</f>
        <v>5V</v>
      </c>
      <c r="I57" s="74"/>
      <c r="J57" s="67"/>
      <c r="K57" s="67"/>
      <c r="L57" s="67"/>
      <c r="M57" s="67"/>
      <c r="N57" s="67"/>
      <c r="O57" s="67"/>
      <c r="P57" s="67"/>
      <c r="Q57" s="67"/>
      <c r="R57" s="67"/>
      <c r="S57" s="67"/>
      <c r="T57" s="67"/>
      <c r="U57" s="67"/>
      <c r="V57" s="67"/>
      <c r="W57" s="67"/>
      <c r="X57" s="67"/>
      <c r="Y57" s="67"/>
      <c r="Z57" s="67"/>
      <c r="AA57" s="56"/>
    </row>
    <row r="58" spans="1:27" x14ac:dyDescent="0.3">
      <c r="A58" s="75"/>
      <c r="B58" s="67"/>
      <c r="C58" s="67"/>
      <c r="D58" s="67"/>
      <c r="E58" s="67"/>
      <c r="F58" s="67"/>
      <c r="G58" s="67"/>
      <c r="H58" s="129"/>
      <c r="I58" s="77"/>
      <c r="J58" s="67"/>
      <c r="K58" s="67"/>
      <c r="L58" s="67"/>
      <c r="M58" s="67"/>
      <c r="N58" s="67"/>
      <c r="O58" s="67"/>
      <c r="P58" s="67"/>
      <c r="Q58" s="67"/>
      <c r="R58" s="67"/>
      <c r="S58" s="67"/>
      <c r="T58" s="67"/>
      <c r="U58" s="67"/>
      <c r="V58" s="67"/>
      <c r="W58" s="67"/>
      <c r="X58" s="67"/>
      <c r="Y58" s="67"/>
      <c r="Z58" s="67"/>
      <c r="AA58" s="56"/>
    </row>
    <row r="59" spans="1:27" x14ac:dyDescent="0.3">
      <c r="A59" s="96"/>
      <c r="B59" s="67"/>
      <c r="C59" s="67"/>
      <c r="D59" s="67"/>
      <c r="E59" s="67"/>
      <c r="F59" s="67"/>
      <c r="G59" s="97" t="s">
        <v>216</v>
      </c>
      <c r="H59" s="119"/>
      <c r="I59" s="77"/>
      <c r="J59" s="67"/>
      <c r="K59" s="67"/>
      <c r="L59" s="67"/>
      <c r="M59" s="67"/>
      <c r="N59" s="67"/>
      <c r="O59" s="67"/>
      <c r="P59" s="67"/>
      <c r="Q59" s="67"/>
      <c r="R59" s="67"/>
      <c r="S59" s="67"/>
      <c r="T59" s="67"/>
      <c r="U59" s="67"/>
      <c r="V59" s="67"/>
      <c r="W59" s="67"/>
      <c r="X59" s="67"/>
      <c r="Y59" s="67"/>
      <c r="Z59" s="67"/>
      <c r="AA59" s="56"/>
    </row>
    <row r="60" spans="1:27" ht="15.6" x14ac:dyDescent="0.35">
      <c r="A60" s="96"/>
      <c r="B60" s="67"/>
      <c r="C60" s="67"/>
      <c r="D60" s="67"/>
      <c r="E60" s="67"/>
      <c r="F60" s="67"/>
      <c r="G60" s="68" t="s">
        <v>318</v>
      </c>
      <c r="H60" s="117">
        <v>100</v>
      </c>
      <c r="I60" s="90" t="s">
        <v>215</v>
      </c>
      <c r="J60" s="67"/>
      <c r="K60" s="67"/>
      <c r="L60" s="67"/>
      <c r="M60" s="67"/>
      <c r="N60" s="67"/>
      <c r="O60" s="67"/>
      <c r="P60" s="67"/>
      <c r="Q60" s="67"/>
      <c r="R60" s="67"/>
      <c r="S60" s="67"/>
      <c r="T60" s="67"/>
      <c r="U60" s="67"/>
      <c r="V60" s="67"/>
      <c r="W60" s="67"/>
      <c r="X60" s="67"/>
      <c r="Y60" s="67"/>
      <c r="Z60" s="67"/>
      <c r="AA60" s="56"/>
    </row>
    <row r="61" spans="1:27" ht="15.6" x14ac:dyDescent="0.35">
      <c r="A61" s="96"/>
      <c r="B61" s="67"/>
      <c r="C61" s="67"/>
      <c r="D61" s="67"/>
      <c r="E61" s="67"/>
      <c r="F61" s="67"/>
      <c r="G61" s="68" t="s">
        <v>294</v>
      </c>
      <c r="H61" s="125">
        <f>RFBB_calc/1000</f>
        <v>5.2631578947368425</v>
      </c>
      <c r="I61" s="90" t="s">
        <v>215</v>
      </c>
      <c r="J61" s="67"/>
      <c r="K61" s="67"/>
      <c r="L61" s="67"/>
      <c r="M61" s="67"/>
      <c r="N61" s="67"/>
      <c r="O61" s="67"/>
      <c r="P61" s="67"/>
      <c r="Q61" s="67"/>
      <c r="R61" s="67"/>
      <c r="S61" s="67"/>
      <c r="T61" s="67"/>
      <c r="U61" s="67"/>
      <c r="V61" s="67"/>
      <c r="W61" s="67"/>
      <c r="X61" s="67"/>
      <c r="Y61" s="67"/>
      <c r="Z61" s="67"/>
      <c r="AA61" s="56"/>
    </row>
    <row r="62" spans="1:27" ht="15.6" x14ac:dyDescent="0.35">
      <c r="A62" s="96"/>
      <c r="B62" s="67"/>
      <c r="C62" s="67"/>
      <c r="D62" s="67"/>
      <c r="E62" s="67"/>
      <c r="F62" s="67"/>
      <c r="G62" s="68" t="s">
        <v>530</v>
      </c>
      <c r="H62" s="117">
        <v>4.7</v>
      </c>
      <c r="I62" s="90" t="s">
        <v>215</v>
      </c>
      <c r="J62" s="67"/>
      <c r="K62" s="67"/>
      <c r="L62" s="67"/>
      <c r="M62" s="67"/>
      <c r="N62" s="67"/>
      <c r="O62" s="67"/>
      <c r="P62" s="67"/>
      <c r="Q62" s="67"/>
      <c r="R62" s="67"/>
      <c r="S62" s="67"/>
      <c r="T62" s="67"/>
      <c r="U62" s="67"/>
      <c r="V62" s="67"/>
      <c r="W62" s="67"/>
      <c r="X62" s="67"/>
      <c r="Y62" s="67"/>
      <c r="Z62" s="67"/>
      <c r="AA62" s="56"/>
    </row>
    <row r="63" spans="1:27" x14ac:dyDescent="0.3">
      <c r="A63" s="75"/>
      <c r="B63" s="67"/>
      <c r="C63" s="67"/>
      <c r="D63" s="67"/>
      <c r="E63" s="67"/>
      <c r="F63" s="67"/>
      <c r="G63" s="68"/>
      <c r="H63" s="119"/>
      <c r="I63" s="77"/>
      <c r="J63" s="67"/>
      <c r="K63" s="67"/>
      <c r="L63" s="67"/>
      <c r="M63" s="67"/>
      <c r="N63" s="67"/>
      <c r="O63" s="67"/>
      <c r="P63" s="67"/>
      <c r="Q63" s="67"/>
      <c r="R63" s="67"/>
      <c r="S63" s="67"/>
      <c r="T63" s="67"/>
      <c r="U63" s="67"/>
      <c r="V63" s="67"/>
      <c r="W63" s="67"/>
      <c r="X63" s="67"/>
      <c r="Y63" s="67"/>
      <c r="Z63" s="67"/>
      <c r="AA63" s="56"/>
    </row>
    <row r="64" spans="1:27" x14ac:dyDescent="0.3">
      <c r="A64" s="75"/>
      <c r="B64" s="67"/>
      <c r="C64" s="67"/>
      <c r="D64" s="67"/>
      <c r="E64" s="67"/>
      <c r="F64" s="67"/>
      <c r="G64" s="68"/>
      <c r="H64" s="119"/>
      <c r="I64" s="77"/>
      <c r="J64" s="67"/>
      <c r="K64" s="67"/>
      <c r="L64" s="67"/>
      <c r="M64" s="67"/>
      <c r="N64" s="67"/>
      <c r="O64" s="67"/>
      <c r="P64" s="67"/>
      <c r="Q64" s="67"/>
      <c r="R64" s="67"/>
      <c r="S64" s="67"/>
      <c r="T64" s="67"/>
      <c r="U64" s="67"/>
      <c r="V64" s="67"/>
      <c r="W64" s="67"/>
      <c r="X64" s="67"/>
      <c r="Y64" s="67"/>
      <c r="Z64" s="67"/>
      <c r="AA64" s="56"/>
    </row>
    <row r="65" spans="1:27" x14ac:dyDescent="0.3">
      <c r="A65" s="75"/>
      <c r="B65" s="67"/>
      <c r="C65" s="67"/>
      <c r="D65" s="67"/>
      <c r="E65" s="67"/>
      <c r="F65" s="67"/>
      <c r="G65" s="68" t="s">
        <v>550</v>
      </c>
      <c r="H65" s="220">
        <f>fcross_est/1000</f>
        <v>5.3573069606094768</v>
      </c>
      <c r="I65" s="77" t="s">
        <v>12</v>
      </c>
      <c r="J65" s="67"/>
      <c r="K65" s="67"/>
      <c r="L65" s="67"/>
      <c r="M65" s="67"/>
      <c r="N65" s="67"/>
      <c r="O65" s="67"/>
      <c r="P65" s="67"/>
      <c r="Q65" s="67"/>
      <c r="R65" s="67"/>
      <c r="S65" s="67"/>
      <c r="T65" s="67"/>
      <c r="U65" s="67"/>
      <c r="V65" s="67"/>
      <c r="W65" s="67"/>
      <c r="X65" s="67"/>
      <c r="Y65" s="67"/>
      <c r="Z65" s="67"/>
      <c r="AA65" s="56"/>
    </row>
    <row r="66" spans="1:27" ht="15.6" x14ac:dyDescent="0.35">
      <c r="A66" s="75"/>
      <c r="B66" s="67"/>
      <c r="C66" s="67"/>
      <c r="D66" s="67"/>
      <c r="E66" s="67"/>
      <c r="F66" s="67"/>
      <c r="G66" s="68" t="s">
        <v>551</v>
      </c>
      <c r="H66" s="117">
        <v>2.5000000000000001E-2</v>
      </c>
      <c r="I66" s="77" t="s">
        <v>12</v>
      </c>
      <c r="J66" s="67"/>
      <c r="K66" s="67"/>
      <c r="L66" s="67"/>
      <c r="M66" s="67"/>
      <c r="N66" s="67"/>
      <c r="O66" s="67"/>
      <c r="P66" s="67"/>
      <c r="Q66" s="67"/>
      <c r="R66" s="67"/>
      <c r="S66" s="67"/>
      <c r="T66" s="67"/>
      <c r="U66" s="67"/>
      <c r="V66" s="67"/>
      <c r="W66" s="67"/>
      <c r="X66" s="67"/>
      <c r="Y66" s="67"/>
      <c r="Z66" s="67"/>
      <c r="AA66" s="56"/>
    </row>
    <row r="67" spans="1:27" x14ac:dyDescent="0.3">
      <c r="A67" s="75"/>
      <c r="B67" s="67"/>
      <c r="C67" s="67"/>
      <c r="D67" s="67"/>
      <c r="E67" s="67"/>
      <c r="F67" s="67"/>
      <c r="G67" s="68"/>
      <c r="H67" s="119"/>
      <c r="I67" s="77"/>
      <c r="J67" s="67"/>
      <c r="K67" s="67"/>
      <c r="L67" s="67" t="str">
        <f>Loop_Modeling!A68</f>
        <v>Crossover Frequency = 0.2 kHz</v>
      </c>
      <c r="M67" s="67"/>
      <c r="N67" s="67"/>
      <c r="O67" s="67"/>
      <c r="P67" s="67"/>
      <c r="Q67" s="67"/>
      <c r="R67" s="67"/>
      <c r="S67" s="67"/>
      <c r="T67" s="67"/>
      <c r="U67" s="67"/>
      <c r="V67" s="67"/>
      <c r="W67" s="67"/>
      <c r="X67" s="67"/>
      <c r="Y67" s="67"/>
      <c r="Z67" s="67"/>
      <c r="AA67" s="56"/>
    </row>
    <row r="68" spans="1:27" ht="15" thickBot="1" x14ac:dyDescent="0.35">
      <c r="A68" s="75"/>
      <c r="B68" s="67"/>
      <c r="C68" s="67"/>
      <c r="D68" s="67"/>
      <c r="E68" s="67"/>
      <c r="F68" s="99" t="s">
        <v>323</v>
      </c>
      <c r="G68" s="99"/>
      <c r="H68" s="130" t="s">
        <v>324</v>
      </c>
      <c r="I68" s="100"/>
      <c r="J68" s="67"/>
      <c r="K68" s="67"/>
      <c r="L68" s="67" t="str">
        <f>Loop_Modeling!A69</f>
        <v>Phase Margin = 89°</v>
      </c>
      <c r="M68" s="67"/>
      <c r="N68" s="67"/>
      <c r="O68" s="67"/>
      <c r="P68" s="67"/>
      <c r="Q68" s="67"/>
      <c r="R68" s="67"/>
      <c r="S68" s="67"/>
      <c r="T68" s="67"/>
      <c r="U68" s="67"/>
      <c r="V68" s="67"/>
      <c r="W68" s="67"/>
      <c r="X68" s="67"/>
      <c r="Y68" s="67"/>
      <c r="Z68" s="67"/>
      <c r="AA68" s="56"/>
    </row>
    <row r="69" spans="1:27" ht="16.2" thickBot="1" x14ac:dyDescent="0.4">
      <c r="A69" s="75"/>
      <c r="B69" s="67"/>
      <c r="C69" s="67"/>
      <c r="D69" s="67"/>
      <c r="E69" s="68" t="s">
        <v>322</v>
      </c>
      <c r="F69" s="141">
        <f>Rcomp_calc/1000</f>
        <v>0.57240121062632188</v>
      </c>
      <c r="G69" s="135" t="s">
        <v>215</v>
      </c>
      <c r="H69" s="132">
        <v>0.47</v>
      </c>
      <c r="I69" s="90" t="s">
        <v>215</v>
      </c>
      <c r="J69" s="67"/>
      <c r="K69" s="67"/>
      <c r="L69" s="67"/>
      <c r="M69" s="67"/>
      <c r="N69" s="67"/>
      <c r="O69" s="67"/>
      <c r="P69" s="67"/>
      <c r="Q69" s="67"/>
      <c r="R69" s="67"/>
      <c r="S69" s="67"/>
      <c r="T69" s="67"/>
      <c r="U69" s="67"/>
      <c r="V69" s="67"/>
      <c r="W69" s="67"/>
      <c r="X69" s="67"/>
      <c r="Y69" s="67"/>
      <c r="Z69" s="67"/>
      <c r="AA69" s="56"/>
    </row>
    <row r="70" spans="1:27" ht="16.2" thickBot="1" x14ac:dyDescent="0.4">
      <c r="A70" s="75"/>
      <c r="B70" s="67"/>
      <c r="C70" s="67"/>
      <c r="D70" s="67"/>
      <c r="E70" s="68" t="s">
        <v>448</v>
      </c>
      <c r="F70" s="133">
        <f>CComp_calc*(10^9)</f>
        <v>2107.4170490734878</v>
      </c>
      <c r="G70" s="135" t="s">
        <v>218</v>
      </c>
      <c r="H70" s="132">
        <v>1000</v>
      </c>
      <c r="I70" s="77" t="s">
        <v>218</v>
      </c>
      <c r="J70" s="67"/>
      <c r="K70" s="67"/>
      <c r="L70" s="67"/>
      <c r="M70" s="67"/>
      <c r="N70" s="67"/>
      <c r="O70" s="67"/>
      <c r="P70" s="67"/>
      <c r="Q70" s="67"/>
      <c r="R70" s="67"/>
      <c r="S70" s="67"/>
      <c r="T70" s="67"/>
      <c r="U70" s="67"/>
      <c r="V70" s="67"/>
      <c r="W70" s="67"/>
      <c r="X70" s="67"/>
      <c r="Y70" s="67"/>
      <c r="Z70" s="67"/>
      <c r="AA70" s="56"/>
    </row>
    <row r="71" spans="1:27" ht="16.2" thickBot="1" x14ac:dyDescent="0.4">
      <c r="A71" s="88"/>
      <c r="B71" s="83"/>
      <c r="C71" s="83"/>
      <c r="D71" s="83"/>
      <c r="E71" s="91" t="s">
        <v>449</v>
      </c>
      <c r="F71" s="131">
        <f>Variable_Management!B231*(10^12)</f>
        <v>10431.516915092747</v>
      </c>
      <c r="G71" s="136" t="s">
        <v>217</v>
      </c>
      <c r="H71" s="124">
        <v>1000000</v>
      </c>
      <c r="I71" s="85" t="s">
        <v>217</v>
      </c>
      <c r="J71" s="67"/>
      <c r="K71" s="67"/>
      <c r="L71" s="67"/>
      <c r="M71" s="67"/>
      <c r="N71" s="67"/>
      <c r="O71" s="67"/>
      <c r="P71" s="67"/>
      <c r="Q71" s="67"/>
      <c r="R71" s="67"/>
      <c r="S71" s="67"/>
      <c r="T71" s="67"/>
      <c r="U71" s="67"/>
      <c r="V71" s="67"/>
      <c r="W71" s="67"/>
      <c r="X71" s="67"/>
      <c r="Y71" s="67"/>
      <c r="Z71" s="67"/>
      <c r="AA71" s="56"/>
    </row>
    <row r="72" spans="1:27" x14ac:dyDescent="0.3">
      <c r="A72" s="67"/>
      <c r="B72" s="67"/>
      <c r="C72" s="67"/>
      <c r="D72" s="67"/>
      <c r="E72" s="68"/>
      <c r="F72" s="101"/>
      <c r="G72" s="68"/>
      <c r="H72" s="98"/>
      <c r="I72" s="67"/>
      <c r="J72" s="67"/>
      <c r="K72" s="67"/>
      <c r="L72" s="67"/>
      <c r="M72" s="67"/>
      <c r="N72" s="67"/>
      <c r="O72" s="67"/>
      <c r="P72" s="67"/>
      <c r="Q72" s="67"/>
      <c r="R72" s="67"/>
      <c r="S72" s="67"/>
      <c r="T72" s="67"/>
      <c r="U72" s="67"/>
      <c r="V72" s="67"/>
      <c r="W72" s="67"/>
      <c r="X72" s="67"/>
      <c r="Y72" s="67"/>
      <c r="Z72" s="67"/>
      <c r="AA72" s="56"/>
    </row>
    <row r="73" spans="1:27" ht="23.4" x14ac:dyDescent="0.45">
      <c r="A73" s="102" t="s">
        <v>321</v>
      </c>
      <c r="B73" s="103"/>
      <c r="C73" s="103"/>
      <c r="D73" s="103"/>
      <c r="E73" s="103"/>
      <c r="F73" s="103"/>
      <c r="G73" s="104"/>
      <c r="H73" s="103"/>
      <c r="I73" s="103"/>
      <c r="J73" s="103"/>
      <c r="K73" s="103"/>
      <c r="L73" s="103"/>
      <c r="M73" s="103"/>
      <c r="N73" s="103"/>
      <c r="O73" s="103"/>
      <c r="P73" s="103"/>
      <c r="Q73" s="103"/>
      <c r="R73" s="103"/>
      <c r="S73" s="103"/>
      <c r="T73" s="105"/>
      <c r="U73" s="105"/>
      <c r="V73" s="105"/>
      <c r="W73" s="105"/>
      <c r="X73" s="105"/>
      <c r="Y73" s="105"/>
      <c r="Z73" s="105"/>
    </row>
    <row r="74" spans="1:27" x14ac:dyDescent="0.3">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56"/>
    </row>
    <row r="75" spans="1:27" ht="15" thickBot="1" x14ac:dyDescent="0.35">
      <c r="A75" s="106" t="s">
        <v>399</v>
      </c>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56"/>
    </row>
    <row r="76" spans="1:27" ht="15.6" x14ac:dyDescent="0.35">
      <c r="A76" s="71"/>
      <c r="B76" s="72"/>
      <c r="C76" s="72"/>
      <c r="D76" s="72"/>
      <c r="E76" s="72"/>
      <c r="F76" s="72"/>
      <c r="G76" s="107" t="s">
        <v>387</v>
      </c>
      <c r="H76" s="116">
        <v>4.9000000000000004</v>
      </c>
      <c r="I76" s="108" t="s">
        <v>394</v>
      </c>
      <c r="J76" s="98"/>
      <c r="K76" s="98"/>
      <c r="L76" s="98"/>
      <c r="M76" s="98"/>
      <c r="N76" s="98"/>
      <c r="O76" s="98"/>
      <c r="P76" s="98"/>
      <c r="Q76" s="98"/>
      <c r="R76" s="98"/>
      <c r="S76" s="98"/>
      <c r="T76" s="98"/>
      <c r="U76" s="98"/>
      <c r="V76" s="98"/>
      <c r="W76" s="98"/>
      <c r="X76" s="98"/>
      <c r="Y76" s="98"/>
      <c r="Z76" s="98"/>
      <c r="AA76" s="56"/>
    </row>
    <row r="77" spans="1:27" ht="15.6" x14ac:dyDescent="0.35">
      <c r="A77" s="96"/>
      <c r="B77" s="67"/>
      <c r="C77" s="67"/>
      <c r="D77" s="67"/>
      <c r="E77" s="67"/>
      <c r="F77" s="67"/>
      <c r="G77" s="109" t="s">
        <v>388</v>
      </c>
      <c r="H77" s="117">
        <v>4.5</v>
      </c>
      <c r="I77" s="110" t="s">
        <v>395</v>
      </c>
      <c r="J77" s="98"/>
      <c r="K77" s="98"/>
      <c r="L77" s="98"/>
      <c r="M77" s="98"/>
      <c r="N77" s="98"/>
      <c r="O77" s="98"/>
      <c r="P77" s="98"/>
      <c r="Q77" s="98"/>
      <c r="R77" s="98"/>
      <c r="S77" s="98"/>
      <c r="T77" s="98"/>
      <c r="U77" s="98"/>
      <c r="V77" s="98"/>
      <c r="W77" s="98"/>
      <c r="X77" s="98"/>
      <c r="Y77" s="98"/>
      <c r="Z77" s="98"/>
      <c r="AA77" s="56"/>
    </row>
    <row r="78" spans="1:27" ht="15.6" x14ac:dyDescent="0.35">
      <c r="A78" s="96"/>
      <c r="B78" s="67"/>
      <c r="C78" s="67"/>
      <c r="D78" s="67"/>
      <c r="E78" s="67"/>
      <c r="F78" s="67"/>
      <c r="G78" s="109" t="s">
        <v>389</v>
      </c>
      <c r="H78" s="117">
        <v>2</v>
      </c>
      <c r="I78" s="110" t="s">
        <v>395</v>
      </c>
      <c r="J78" s="98"/>
      <c r="K78" s="98"/>
      <c r="L78" s="98"/>
      <c r="M78" s="98"/>
      <c r="N78" s="98"/>
      <c r="O78" s="98"/>
      <c r="P78" s="98"/>
      <c r="Q78" s="98"/>
      <c r="R78" s="98"/>
      <c r="S78" s="98"/>
      <c r="T78" s="98"/>
      <c r="U78" s="98"/>
      <c r="V78" s="98"/>
      <c r="W78" s="98"/>
      <c r="X78" s="98"/>
      <c r="Y78" s="98"/>
      <c r="Z78" s="98"/>
      <c r="AA78" s="56"/>
    </row>
    <row r="79" spans="1:27" ht="15.6" x14ac:dyDescent="0.35">
      <c r="A79" s="75"/>
      <c r="B79" s="67"/>
      <c r="C79" s="67"/>
      <c r="D79" s="67"/>
      <c r="E79" s="67"/>
      <c r="F79" s="67"/>
      <c r="G79" s="109" t="s">
        <v>390</v>
      </c>
      <c r="H79" s="117">
        <v>0.2</v>
      </c>
      <c r="I79" s="110" t="s">
        <v>395</v>
      </c>
      <c r="J79" s="98"/>
      <c r="K79" s="98"/>
      <c r="L79" s="98"/>
      <c r="M79" s="98"/>
      <c r="N79" s="98"/>
      <c r="O79" s="98"/>
      <c r="P79" s="98"/>
      <c r="Q79" s="98"/>
      <c r="R79" s="98"/>
      <c r="S79" s="98"/>
      <c r="T79" s="98"/>
      <c r="U79" s="98"/>
      <c r="V79" s="98"/>
      <c r="W79" s="98"/>
      <c r="X79" s="98"/>
      <c r="Y79" s="98"/>
      <c r="Z79" s="98"/>
      <c r="AA79" s="56"/>
    </row>
    <row r="80" spans="1:27" ht="15.6" x14ac:dyDescent="0.35">
      <c r="A80" s="75"/>
      <c r="B80" s="67"/>
      <c r="C80" s="67"/>
      <c r="D80" s="67"/>
      <c r="E80" s="67"/>
      <c r="F80" s="67"/>
      <c r="G80" s="109" t="s">
        <v>391</v>
      </c>
      <c r="H80" s="117">
        <v>1.5</v>
      </c>
      <c r="I80" s="110" t="s">
        <v>396</v>
      </c>
      <c r="J80" s="98"/>
      <c r="K80" s="98"/>
      <c r="L80" s="98"/>
      <c r="M80" s="98"/>
      <c r="N80" s="98"/>
      <c r="O80" s="98"/>
      <c r="P80" s="98"/>
      <c r="Q80" s="98"/>
      <c r="R80" s="98"/>
      <c r="S80" s="98"/>
      <c r="T80" s="98"/>
      <c r="U80" s="98"/>
      <c r="V80" s="98"/>
      <c r="W80" s="98"/>
      <c r="X80" s="98"/>
      <c r="Y80" s="98"/>
      <c r="Z80" s="98"/>
      <c r="AA80" s="56"/>
    </row>
    <row r="81" spans="1:27" ht="15.6" x14ac:dyDescent="0.35">
      <c r="A81" s="75"/>
      <c r="B81" s="67"/>
      <c r="C81" s="67"/>
      <c r="D81" s="67"/>
      <c r="E81" s="67"/>
      <c r="F81" s="67"/>
      <c r="G81" s="109" t="s">
        <v>392</v>
      </c>
      <c r="H81" s="117">
        <v>0.38</v>
      </c>
      <c r="I81" s="110" t="s">
        <v>397</v>
      </c>
      <c r="J81" s="98"/>
      <c r="K81" s="98"/>
      <c r="L81" s="98"/>
      <c r="M81" s="98"/>
      <c r="N81" s="98"/>
      <c r="O81" s="98"/>
      <c r="P81" s="98"/>
      <c r="Q81" s="98"/>
      <c r="R81" s="98"/>
      <c r="S81" s="98"/>
      <c r="T81" s="98"/>
      <c r="U81" s="98"/>
      <c r="V81" s="98"/>
      <c r="W81" s="98"/>
      <c r="X81" s="98"/>
      <c r="Y81" s="98"/>
      <c r="Z81" s="98"/>
      <c r="AA81" s="56"/>
    </row>
    <row r="82" spans="1:27" ht="16.2" thickBot="1" x14ac:dyDescent="0.4">
      <c r="A82" s="88"/>
      <c r="B82" s="83"/>
      <c r="C82" s="83"/>
      <c r="D82" s="83"/>
      <c r="E82" s="83"/>
      <c r="F82" s="83"/>
      <c r="G82" s="111" t="s">
        <v>393</v>
      </c>
      <c r="H82" s="124">
        <v>1.4</v>
      </c>
      <c r="I82" s="112" t="s">
        <v>10</v>
      </c>
      <c r="J82" s="98"/>
      <c r="K82" s="98"/>
      <c r="L82" s="98"/>
      <c r="M82" s="98"/>
      <c r="N82" s="98"/>
      <c r="O82" s="98"/>
      <c r="P82" s="98"/>
      <c r="Q82" s="98"/>
      <c r="R82" s="98"/>
      <c r="S82" s="98"/>
      <c r="T82" s="98"/>
      <c r="U82" s="98"/>
      <c r="V82" s="98"/>
      <c r="W82" s="98"/>
      <c r="X82" s="98"/>
      <c r="Y82" s="98"/>
      <c r="Z82" s="98"/>
      <c r="AA82" s="56"/>
    </row>
    <row r="83" spans="1:27" x14ac:dyDescent="0.3">
      <c r="A83" s="67"/>
      <c r="B83" s="67"/>
      <c r="C83" s="67"/>
      <c r="D83" s="67"/>
      <c r="E83" s="67"/>
      <c r="F83" s="67"/>
      <c r="G83" s="68"/>
      <c r="H83" s="67"/>
      <c r="I83" s="67"/>
      <c r="J83" s="67"/>
      <c r="K83" s="67"/>
      <c r="L83" s="67"/>
      <c r="M83" s="67"/>
      <c r="N83" s="67"/>
      <c r="O83" s="67"/>
      <c r="P83" s="67"/>
      <c r="Q83" s="67"/>
      <c r="R83" s="67"/>
      <c r="S83" s="67"/>
      <c r="T83" s="67"/>
      <c r="U83" s="67"/>
      <c r="V83" s="67"/>
      <c r="W83" s="67"/>
      <c r="X83" s="67"/>
      <c r="Y83" s="67"/>
      <c r="Z83" s="67"/>
      <c r="AA83" s="56"/>
    </row>
    <row r="84" spans="1:27" ht="15" thickBot="1" x14ac:dyDescent="0.35">
      <c r="A84" s="106" t="s">
        <v>398</v>
      </c>
      <c r="B84" s="67"/>
      <c r="C84" s="67"/>
      <c r="D84" s="67"/>
      <c r="E84" s="67"/>
      <c r="F84" s="67"/>
      <c r="G84" s="68"/>
      <c r="H84" s="67"/>
      <c r="I84" s="67"/>
      <c r="J84" s="67"/>
      <c r="K84" s="67"/>
      <c r="L84" s="67"/>
      <c r="M84" s="67"/>
      <c r="N84" s="67"/>
      <c r="O84" s="67"/>
      <c r="P84" s="67"/>
      <c r="Q84" s="67"/>
      <c r="R84" s="67"/>
      <c r="S84" s="67"/>
      <c r="T84" s="67"/>
      <c r="U84" s="67"/>
      <c r="V84" s="67"/>
      <c r="W84" s="67"/>
      <c r="X84" s="67"/>
      <c r="Y84" s="67"/>
      <c r="Z84" s="67"/>
      <c r="AA84" s="56"/>
    </row>
    <row r="85" spans="1:27" ht="15.6" x14ac:dyDescent="0.35">
      <c r="A85" s="71"/>
      <c r="B85" s="72"/>
      <c r="C85" s="72"/>
      <c r="D85" s="72"/>
      <c r="E85" s="72"/>
      <c r="F85" s="72"/>
      <c r="G85" s="93" t="s">
        <v>492</v>
      </c>
      <c r="H85" s="134">
        <f>IOUT</f>
        <v>0.4375</v>
      </c>
      <c r="I85" s="74" t="s">
        <v>11</v>
      </c>
      <c r="J85" s="98"/>
      <c r="K85" s="98"/>
      <c r="L85" s="98"/>
      <c r="M85" s="98"/>
      <c r="N85" s="98"/>
      <c r="O85" s="98"/>
      <c r="P85" s="98"/>
      <c r="Q85" s="98"/>
      <c r="R85" s="98"/>
      <c r="S85" s="98"/>
      <c r="T85" s="98"/>
      <c r="U85" s="98"/>
      <c r="V85" s="98"/>
      <c r="W85" s="98"/>
      <c r="X85" s="98"/>
      <c r="Y85" s="98"/>
      <c r="Z85" s="98"/>
      <c r="AA85" s="56"/>
    </row>
    <row r="86" spans="1:27" ht="15.6" x14ac:dyDescent="0.35">
      <c r="A86" s="75"/>
      <c r="B86" s="67"/>
      <c r="C86" s="67"/>
      <c r="D86" s="67"/>
      <c r="E86" s="67"/>
      <c r="F86" s="67"/>
      <c r="G86" s="68" t="s">
        <v>400</v>
      </c>
      <c r="H86" s="117">
        <v>920</v>
      </c>
      <c r="I86" s="77" t="s">
        <v>186</v>
      </c>
      <c r="J86" s="98"/>
      <c r="K86" s="98"/>
      <c r="L86" s="98"/>
      <c r="M86" s="98"/>
      <c r="N86" s="98"/>
      <c r="O86" s="98"/>
      <c r="P86" s="98"/>
      <c r="Q86" s="98"/>
      <c r="R86" s="98"/>
      <c r="S86" s="98"/>
      <c r="T86" s="98"/>
      <c r="U86" s="98"/>
      <c r="V86" s="98"/>
      <c r="W86" s="98"/>
      <c r="X86" s="98"/>
      <c r="Y86" s="98"/>
      <c r="Z86" s="98"/>
      <c r="AA86" s="56"/>
    </row>
    <row r="87" spans="1:27" ht="15" thickBot="1" x14ac:dyDescent="0.35">
      <c r="A87" s="88"/>
      <c r="B87" s="83"/>
      <c r="C87" s="83"/>
      <c r="D87" s="83"/>
      <c r="E87" s="83"/>
      <c r="F87" s="83"/>
      <c r="G87" s="91" t="s">
        <v>408</v>
      </c>
      <c r="H87" s="124">
        <v>10</v>
      </c>
      <c r="I87" s="85" t="s">
        <v>395</v>
      </c>
      <c r="J87" s="98"/>
      <c r="K87" s="98"/>
      <c r="L87" s="98"/>
      <c r="M87" s="98"/>
      <c r="N87" s="98"/>
      <c r="O87" s="98"/>
      <c r="P87" s="98"/>
      <c r="Q87" s="98"/>
      <c r="R87" s="98"/>
      <c r="S87" s="98"/>
      <c r="T87" s="98"/>
      <c r="U87" s="98"/>
      <c r="V87" s="98"/>
      <c r="W87" s="98"/>
      <c r="X87" s="98"/>
      <c r="Y87" s="98"/>
      <c r="Z87" s="98"/>
      <c r="AA87" s="56"/>
    </row>
    <row r="88" spans="1:27" x14ac:dyDescent="0.3">
      <c r="A88" s="67"/>
      <c r="B88" s="67"/>
      <c r="C88" s="67"/>
      <c r="D88" s="67"/>
      <c r="E88" s="67"/>
      <c r="F88" s="67"/>
      <c r="G88" s="68"/>
      <c r="H88" s="67"/>
      <c r="I88" s="67"/>
      <c r="J88" s="67"/>
      <c r="K88" s="67"/>
      <c r="L88" s="67"/>
      <c r="M88" s="67"/>
      <c r="N88" s="67"/>
      <c r="O88" s="67"/>
      <c r="P88" s="67"/>
      <c r="Q88" s="67"/>
      <c r="R88" s="67"/>
      <c r="S88" s="67"/>
      <c r="T88" s="67"/>
      <c r="U88" s="67"/>
      <c r="V88" s="67"/>
      <c r="W88" s="67"/>
      <c r="X88" s="67"/>
      <c r="Y88" s="67"/>
      <c r="Z88" s="67"/>
      <c r="AA88" s="56"/>
    </row>
    <row r="89" spans="1:27" x14ac:dyDescent="0.3">
      <c r="A89" s="67"/>
      <c r="B89" s="67"/>
      <c r="C89" s="67"/>
      <c r="D89" s="67"/>
      <c r="E89" s="67"/>
      <c r="F89" s="67"/>
      <c r="G89" s="68"/>
      <c r="H89" s="67"/>
      <c r="I89" s="67"/>
      <c r="J89" s="67"/>
      <c r="K89" s="67"/>
      <c r="L89" s="67"/>
      <c r="M89" s="67"/>
      <c r="N89" s="67"/>
      <c r="O89" s="67"/>
      <c r="P89" s="67"/>
      <c r="Q89" s="67"/>
      <c r="R89" s="67"/>
      <c r="S89" s="67"/>
      <c r="T89" s="67"/>
      <c r="U89" s="67"/>
      <c r="V89" s="67"/>
      <c r="W89" s="67"/>
      <c r="X89" s="67"/>
      <c r="Y89" s="67"/>
      <c r="Z89" s="67"/>
      <c r="AA89" s="56"/>
    </row>
    <row r="90" spans="1:27" x14ac:dyDescent="0.3">
      <c r="A90" s="67"/>
      <c r="B90" s="67"/>
      <c r="C90" s="67"/>
      <c r="D90" s="67"/>
      <c r="E90" s="67"/>
      <c r="F90" s="67"/>
      <c r="G90" s="68"/>
      <c r="H90" s="67"/>
      <c r="I90" s="67"/>
      <c r="J90" s="67"/>
      <c r="K90" s="67"/>
      <c r="L90" s="67"/>
      <c r="M90" s="67"/>
      <c r="N90" s="67"/>
      <c r="O90" s="67"/>
      <c r="P90" s="67"/>
      <c r="Q90" s="67"/>
      <c r="R90" s="67"/>
      <c r="S90" s="67"/>
      <c r="T90" s="67"/>
      <c r="U90" s="67"/>
      <c r="V90" s="67"/>
      <c r="W90" s="67"/>
      <c r="X90" s="67"/>
      <c r="Y90" s="67"/>
      <c r="Z90" s="67"/>
      <c r="AA90" s="56"/>
    </row>
    <row r="91" spans="1:27" x14ac:dyDescent="0.3">
      <c r="A91" s="67"/>
      <c r="B91" s="67"/>
      <c r="C91" s="67"/>
      <c r="D91" s="67"/>
      <c r="E91" s="67"/>
      <c r="F91" s="67"/>
      <c r="G91" s="68"/>
      <c r="H91" s="67"/>
      <c r="I91" s="67"/>
      <c r="J91" s="67"/>
      <c r="K91" s="67"/>
      <c r="L91" s="67"/>
      <c r="M91" s="67"/>
      <c r="N91" s="67"/>
      <c r="O91" s="67"/>
      <c r="P91" s="67"/>
      <c r="Q91" s="67"/>
      <c r="R91" s="67"/>
      <c r="S91" s="67"/>
      <c r="T91" s="67"/>
      <c r="U91" s="67"/>
      <c r="V91" s="67"/>
      <c r="W91" s="67"/>
      <c r="X91" s="67"/>
      <c r="Y91" s="67"/>
      <c r="Z91" s="67"/>
      <c r="AA91" s="56"/>
    </row>
    <row r="92" spans="1:27" x14ac:dyDescent="0.3">
      <c r="A92" s="67"/>
      <c r="B92" s="67"/>
      <c r="C92" s="67"/>
      <c r="D92" s="67"/>
      <c r="E92" s="67"/>
      <c r="F92" s="67"/>
      <c r="G92" s="68"/>
      <c r="H92" s="67"/>
      <c r="I92" s="67"/>
      <c r="J92" s="67"/>
      <c r="K92" s="67"/>
      <c r="L92" s="67"/>
      <c r="M92" s="67"/>
      <c r="N92" s="67"/>
      <c r="O92" s="67"/>
      <c r="P92" s="67"/>
      <c r="Q92" s="67"/>
      <c r="R92" s="67"/>
      <c r="S92" s="67"/>
      <c r="T92" s="67"/>
      <c r="U92" s="67"/>
      <c r="V92" s="67"/>
      <c r="W92" s="67"/>
      <c r="X92" s="67"/>
      <c r="Y92" s="67"/>
      <c r="Z92" s="67"/>
      <c r="AA92" s="56"/>
    </row>
    <row r="93" spans="1:27" x14ac:dyDescent="0.3">
      <c r="A93" s="67"/>
      <c r="B93" s="67"/>
      <c r="C93" s="67"/>
      <c r="D93" s="67"/>
      <c r="E93" s="67"/>
      <c r="F93" s="67"/>
      <c r="G93" s="68"/>
      <c r="H93" s="67"/>
      <c r="I93" s="67"/>
      <c r="J93" s="67"/>
      <c r="K93" s="67"/>
      <c r="L93" s="67"/>
      <c r="M93" s="67"/>
      <c r="N93" s="67"/>
      <c r="O93" s="67"/>
      <c r="P93" s="67"/>
      <c r="Q93" s="67"/>
      <c r="R93" s="67"/>
      <c r="S93" s="67"/>
      <c r="T93" s="67"/>
      <c r="U93" s="67"/>
      <c r="V93" s="67"/>
      <c r="W93" s="67"/>
      <c r="X93" s="67"/>
      <c r="Y93" s="67"/>
      <c r="Z93" s="67"/>
      <c r="AA93" s="56"/>
    </row>
    <row r="94" spans="1:27" x14ac:dyDescent="0.3">
      <c r="A94" s="67"/>
      <c r="B94" s="67"/>
      <c r="C94" s="67"/>
      <c r="D94" s="67"/>
      <c r="E94" s="67"/>
      <c r="F94" s="67"/>
      <c r="G94" s="68"/>
      <c r="H94" s="67"/>
      <c r="I94" s="67"/>
      <c r="J94" s="67"/>
      <c r="K94" s="67"/>
      <c r="L94" s="67"/>
      <c r="M94" s="67"/>
      <c r="N94" s="67"/>
      <c r="O94" s="67"/>
      <c r="P94" s="67"/>
      <c r="Q94" s="67"/>
      <c r="R94" s="67"/>
      <c r="S94" s="67"/>
      <c r="T94" s="67"/>
      <c r="U94" s="67"/>
      <c r="V94" s="67"/>
      <c r="W94" s="67"/>
      <c r="X94" s="67"/>
      <c r="Y94" s="67"/>
      <c r="Z94" s="67"/>
      <c r="AA94" s="56"/>
    </row>
    <row r="95" spans="1:27" x14ac:dyDescent="0.3">
      <c r="A95" s="67"/>
      <c r="B95" s="67"/>
      <c r="C95" s="67"/>
      <c r="D95" s="67"/>
      <c r="E95" s="67"/>
      <c r="F95" s="67"/>
      <c r="G95" s="68"/>
      <c r="H95" s="67"/>
      <c r="I95" s="67"/>
      <c r="J95" s="67"/>
      <c r="K95" s="67"/>
      <c r="L95" s="67"/>
      <c r="M95" s="67"/>
      <c r="N95" s="67"/>
      <c r="O95" s="67"/>
      <c r="P95" s="67"/>
      <c r="Q95" s="67"/>
      <c r="R95" s="67"/>
      <c r="S95" s="67"/>
      <c r="T95" s="67"/>
      <c r="U95" s="67"/>
      <c r="V95" s="67"/>
      <c r="W95" s="67"/>
      <c r="X95" s="67"/>
      <c r="Y95" s="67"/>
      <c r="Z95" s="67"/>
      <c r="AA95" s="56"/>
    </row>
    <row r="96" spans="1:27" x14ac:dyDescent="0.3">
      <c r="A96" s="67"/>
      <c r="B96" s="67"/>
      <c r="C96" s="67"/>
      <c r="D96" s="67"/>
      <c r="E96" s="67"/>
      <c r="F96" s="67"/>
      <c r="G96" s="68"/>
      <c r="H96" s="67"/>
      <c r="I96" s="67"/>
      <c r="J96" s="67"/>
      <c r="K96" s="67"/>
      <c r="L96" s="67"/>
      <c r="M96" s="67"/>
      <c r="N96" s="67"/>
      <c r="O96" s="67"/>
      <c r="P96" s="67"/>
      <c r="Q96" s="67"/>
      <c r="R96" s="67"/>
      <c r="S96" s="67"/>
      <c r="T96" s="67"/>
      <c r="U96" s="67"/>
      <c r="V96" s="67"/>
      <c r="W96" s="67"/>
      <c r="X96" s="67"/>
      <c r="Y96" s="67"/>
      <c r="Z96" s="67"/>
      <c r="AA96" s="56"/>
    </row>
    <row r="97" spans="1:27" x14ac:dyDescent="0.3">
      <c r="A97" s="67"/>
      <c r="B97" s="67"/>
      <c r="C97" s="67"/>
      <c r="D97" s="67"/>
      <c r="E97" s="67"/>
      <c r="F97" s="67"/>
      <c r="G97" s="68"/>
      <c r="H97" s="67"/>
      <c r="I97" s="67"/>
      <c r="J97" s="67"/>
      <c r="K97" s="67"/>
      <c r="L97" s="67"/>
      <c r="M97" s="67"/>
      <c r="N97" s="67"/>
      <c r="O97" s="67"/>
      <c r="P97" s="67"/>
      <c r="Q97" s="67"/>
      <c r="R97" s="67"/>
      <c r="S97" s="67"/>
      <c r="T97" s="67"/>
      <c r="U97" s="67"/>
      <c r="V97" s="67"/>
      <c r="W97" s="67"/>
      <c r="X97" s="67"/>
      <c r="Y97" s="67"/>
      <c r="Z97" s="67"/>
      <c r="AA97" s="56"/>
    </row>
    <row r="98" spans="1:27" x14ac:dyDescent="0.3">
      <c r="A98" s="67"/>
      <c r="B98" s="67"/>
      <c r="C98" s="67"/>
      <c r="D98" s="67"/>
      <c r="E98" s="67"/>
      <c r="F98" s="67"/>
      <c r="G98" s="68"/>
      <c r="H98" s="67"/>
      <c r="I98" s="67"/>
      <c r="J98" s="67"/>
      <c r="K98" s="67"/>
      <c r="L98" s="67"/>
      <c r="M98" s="67"/>
      <c r="N98" s="67"/>
      <c r="O98" s="67"/>
      <c r="P98" s="67"/>
      <c r="Q98" s="67"/>
      <c r="R98" s="67"/>
      <c r="S98" s="67"/>
      <c r="T98" s="67"/>
      <c r="U98" s="67"/>
      <c r="V98" s="67"/>
      <c r="W98" s="67"/>
      <c r="X98" s="67"/>
      <c r="Y98" s="67"/>
      <c r="Z98" s="67"/>
      <c r="AA98" s="56"/>
    </row>
    <row r="99" spans="1:27" x14ac:dyDescent="0.3">
      <c r="A99" s="67"/>
      <c r="B99" s="67"/>
      <c r="C99" s="67"/>
      <c r="D99" s="67"/>
      <c r="E99" s="67"/>
      <c r="F99" s="67"/>
      <c r="G99" s="68"/>
      <c r="H99" s="67"/>
      <c r="I99" s="67"/>
      <c r="J99" s="67"/>
      <c r="K99" s="67"/>
      <c r="L99" s="67"/>
      <c r="M99" s="67"/>
      <c r="N99" s="67"/>
      <c r="O99" s="67"/>
      <c r="P99" s="67"/>
      <c r="Q99" s="67"/>
      <c r="R99" s="67"/>
      <c r="S99" s="67"/>
      <c r="T99" s="67"/>
      <c r="U99" s="67"/>
      <c r="V99" s="67"/>
      <c r="W99" s="67"/>
      <c r="X99" s="67"/>
      <c r="Y99" s="67"/>
      <c r="Z99" s="67"/>
      <c r="AA99" s="56"/>
    </row>
    <row r="100" spans="1:27" x14ac:dyDescent="0.3">
      <c r="A100" s="58"/>
      <c r="B100" s="58"/>
      <c r="C100" s="58"/>
      <c r="D100" s="58"/>
      <c r="E100" s="58"/>
      <c r="F100" s="58"/>
      <c r="G100" s="59"/>
      <c r="H100" s="58"/>
      <c r="I100" s="58"/>
      <c r="J100" s="58"/>
      <c r="K100" s="58"/>
      <c r="L100" s="58"/>
      <c r="M100" s="58"/>
      <c r="N100" s="58"/>
      <c r="O100" s="58"/>
      <c r="P100" s="58"/>
      <c r="Q100" s="58"/>
      <c r="R100" s="58"/>
      <c r="S100" s="58"/>
      <c r="T100" s="58"/>
      <c r="U100" s="58"/>
      <c r="V100" s="58"/>
      <c r="W100" s="58"/>
      <c r="X100" s="58"/>
      <c r="Y100" s="58"/>
      <c r="Z100" s="58"/>
      <c r="AA100" s="56"/>
    </row>
  </sheetData>
  <sheetProtection algorithmName="SHA-512" hashValue="IUA5uLyW0mrRZkyPJKKIRFc3+5hN1b0hecgM8dzHCtjOUVEzhalBCWCXogf3HWMbmjeUOfL+5zp1szCxL2zuFA==" saltValue="VgYrN/Jn0z4UXKKRqvjtkQ==" spinCount="100000" sheet="1" objects="1" scenarios="1" selectLockedCells="1"/>
  <mergeCells count="1">
    <mergeCell ref="N3:O3"/>
  </mergeCells>
  <conditionalFormatting sqref="H7">
    <cfRule type="cellIs" dxfId="10" priority="2" operator="greaterThan">
      <formula>VIN_op_max_56</formula>
    </cfRule>
    <cfRule type="cellIs" dxfId="9" priority="17" operator="greaterThan">
      <formula>VIN_op_max</formula>
    </cfRule>
    <cfRule type="cellIs" dxfId="8" priority="18" operator="lessThan">
      <formula>VIN_op_min</formula>
    </cfRule>
  </conditionalFormatting>
  <conditionalFormatting sqref="H8">
    <cfRule type="cellIs" dxfId="7" priority="16" operator="notBetween">
      <formula>$H$7</formula>
      <formula>$H$9</formula>
    </cfRule>
  </conditionalFormatting>
  <conditionalFormatting sqref="H9">
    <cfRule type="cellIs" dxfId="6" priority="1" operator="greaterThan">
      <formula>VIN_op_max_56</formula>
    </cfRule>
    <cfRule type="cellIs" dxfId="5" priority="13" operator="greaterThan">
      <formula>VIN_op_max</formula>
    </cfRule>
    <cfRule type="cellIs" dxfId="4" priority="14" operator="lessThan">
      <formula>VIN_op_min</formula>
    </cfRule>
  </conditionalFormatting>
  <conditionalFormatting sqref="H17">
    <cfRule type="cellIs" dxfId="3" priority="6" operator="greaterThan">
      <formula>$H$16</formula>
    </cfRule>
  </conditionalFormatting>
  <conditionalFormatting sqref="H57">
    <cfRule type="expression" dxfId="1" priority="11">
      <formula>$H$8&gt;$H$9</formula>
    </cfRule>
    <cfRule type="expression" dxfId="0" priority="12">
      <formula>$H$8&lt;$H$7</formula>
    </cfRule>
  </conditionalFormatting>
  <dataValidations count="1">
    <dataValidation type="list" allowBlank="1" showInputMessage="1" showErrorMessage="1" sqref="H18" xr:uid="{B6CBC9E4-52B2-4FA8-BCFD-24B327448BB5}">
      <formula1>CondMode</formula1>
    </dataValidation>
  </dataValidations>
  <hyperlinks>
    <hyperlink ref="N3" location="About!A1" display="TERMS OF USE" xr:uid="{EE270A3B-8816-419E-84BC-D008FEAD0366}"/>
    <hyperlink ref="N3:O3" location="Licenses!A1" display="TERMS OF USE" xr:uid="{7B8CA94F-4734-4CAD-88EF-98DE4E41009B}"/>
  </hyperlinks>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70" r:id="rId4" name="Drop Down 146">
              <controlPr defaultSize="0" print="0" autoLine="0" autoPict="0" altText="This is just there to fix the excel issue with comments and linked pictures">
                <anchor moveWithCells="1">
                  <from>
                    <xdr:col>14</xdr:col>
                    <xdr:colOff>594360</xdr:colOff>
                    <xdr:row>30</xdr:row>
                    <xdr:rowOff>91440</xdr:rowOff>
                  </from>
                  <to>
                    <xdr:col>16</xdr:col>
                    <xdr:colOff>220980</xdr:colOff>
                    <xdr:row>31</xdr:row>
                    <xdr:rowOff>114300</xdr:rowOff>
                  </to>
                </anchor>
              </controlPr>
            </control>
          </mc:Choice>
        </mc:AlternateContent>
        <mc:AlternateContent xmlns:mc="http://schemas.openxmlformats.org/markup-compatibility/2006">
          <mc:Choice Requires="x14">
            <control shapeId="1060" r:id="rId5" name="Spinner 36">
              <controlPr defaultSize="0" autoPict="0">
                <anchor moveWithCells="1" sizeWithCells="1">
                  <from>
                    <xdr:col>7</xdr:col>
                    <xdr:colOff>510540</xdr:colOff>
                    <xdr:row>56</xdr:row>
                    <xdr:rowOff>0</xdr:rowOff>
                  </from>
                  <to>
                    <xdr:col>8</xdr:col>
                    <xdr:colOff>15240</xdr:colOff>
                    <xdr:row>58</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 id="{AB53E77D-5294-4F50-832B-89A6F7F8A8A1}">
            <xm:f>NOT(Variable_Management!$K$30)</xm:f>
            <x14:dxf>
              <font>
                <color rgb="FFC00000"/>
              </font>
              <fill>
                <patternFill>
                  <bgColor theme="5" tint="0.59996337778862885"/>
                </patternFill>
              </fill>
            </x14:dxf>
          </x14:cfRule>
          <xm:sqref>H23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
  <sheetViews>
    <sheetView workbookViewId="0">
      <selection activeCell="C31" sqref="C31"/>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256"/>
  <sheetViews>
    <sheetView zoomScale="85" zoomScaleNormal="85" workbookViewId="0">
      <pane ySplit="5" topLeftCell="A48" activePane="bottomLeft" state="frozen"/>
      <selection activeCell="N8" sqref="N8"/>
      <selection pane="bottomLeft" activeCell="B89" sqref="B89"/>
    </sheetView>
  </sheetViews>
  <sheetFormatPr defaultRowHeight="14.4" x14ac:dyDescent="0.3"/>
  <cols>
    <col min="1" max="1" width="28.88671875" customWidth="1"/>
    <col min="2" max="2" width="19.5546875" customWidth="1"/>
    <col min="3" max="3" width="10.88671875" customWidth="1"/>
    <col min="4" max="4" width="10" bestFit="1" customWidth="1"/>
    <col min="5" max="5" width="18.6640625" customWidth="1"/>
    <col min="6" max="6" width="14.6640625" customWidth="1"/>
    <col min="7" max="7" width="15.109375" customWidth="1"/>
    <col min="8" max="9" width="12.5546875" customWidth="1"/>
    <col min="11" max="11" width="12.88671875" bestFit="1" customWidth="1"/>
    <col min="12" max="14" width="12.21875" bestFit="1" customWidth="1"/>
  </cols>
  <sheetData>
    <row r="1" spans="1:17" ht="28.2" x14ac:dyDescent="0.5">
      <c r="A1" s="229" t="s">
        <v>15</v>
      </c>
      <c r="B1" s="229"/>
      <c r="C1" s="229"/>
      <c r="D1" s="229"/>
      <c r="E1" s="229"/>
      <c r="F1" s="229"/>
      <c r="G1" s="229"/>
      <c r="H1" s="229"/>
      <c r="I1" s="229"/>
      <c r="J1" s="229"/>
    </row>
    <row r="2" spans="1:17" x14ac:dyDescent="0.3">
      <c r="A2" s="5"/>
      <c r="B2" s="5" t="s">
        <v>16</v>
      </c>
      <c r="C2" s="6"/>
      <c r="D2" s="4"/>
      <c r="E2" s="5"/>
      <c r="F2" s="5"/>
      <c r="G2" s="5"/>
      <c r="H2" s="5"/>
      <c r="I2" s="5"/>
      <c r="J2" s="5"/>
    </row>
    <row r="3" spans="1:17" x14ac:dyDescent="0.3">
      <c r="A3" s="5"/>
      <c r="B3" s="5" t="s">
        <v>17</v>
      </c>
      <c r="C3" s="7"/>
      <c r="D3" s="4"/>
      <c r="E3" s="5"/>
      <c r="F3" s="14" t="s">
        <v>63</v>
      </c>
      <c r="G3" s="15" t="s">
        <v>64</v>
      </c>
      <c r="H3" s="26" t="s">
        <v>67</v>
      </c>
      <c r="I3" s="5"/>
      <c r="J3" s="5"/>
    </row>
    <row r="4" spans="1:17" x14ac:dyDescent="0.3">
      <c r="A4" s="5"/>
      <c r="B4" s="5" t="s">
        <v>18</v>
      </c>
      <c r="C4" s="8"/>
      <c r="D4" s="4"/>
      <c r="E4" s="5"/>
      <c r="F4" s="5"/>
      <c r="G4" s="5"/>
      <c r="H4" s="5"/>
      <c r="I4" s="5"/>
      <c r="J4" s="5"/>
    </row>
    <row r="5" spans="1:17" x14ac:dyDescent="0.3">
      <c r="A5" s="9" t="s">
        <v>19</v>
      </c>
      <c r="B5" s="9" t="s">
        <v>20</v>
      </c>
      <c r="C5" s="9" t="s">
        <v>21</v>
      </c>
      <c r="D5" s="4"/>
      <c r="E5" s="230" t="s">
        <v>22</v>
      </c>
      <c r="F5" s="230"/>
      <c r="G5" s="230"/>
      <c r="H5" s="230"/>
      <c r="I5" s="5"/>
      <c r="J5" s="9" t="s">
        <v>23</v>
      </c>
      <c r="K5" s="9" t="s">
        <v>71</v>
      </c>
      <c r="L5" s="4"/>
      <c r="M5" s="4"/>
      <c r="N5" s="4"/>
      <c r="O5" s="4"/>
      <c r="P5" s="4"/>
      <c r="Q5" s="4"/>
    </row>
    <row r="6" spans="1:17" ht="15.6" x14ac:dyDescent="0.3">
      <c r="A6" s="10" t="s">
        <v>24</v>
      </c>
      <c r="B6" s="9"/>
      <c r="C6" s="9"/>
      <c r="D6" s="9"/>
      <c r="E6" s="5"/>
      <c r="F6" s="5"/>
      <c r="G6" s="5"/>
      <c r="H6" s="5"/>
      <c r="I6" s="5"/>
      <c r="J6" s="9"/>
      <c r="K6" s="4"/>
      <c r="L6" s="4"/>
      <c r="M6" s="4"/>
      <c r="N6" s="4"/>
      <c r="O6" s="4"/>
      <c r="P6" s="4"/>
      <c r="Q6" s="4"/>
    </row>
    <row r="7" spans="1:17" x14ac:dyDescent="0.3">
      <c r="A7" t="s">
        <v>25</v>
      </c>
      <c r="B7" s="3">
        <f>'Design Converter'!H7</f>
        <v>4.7</v>
      </c>
      <c r="C7" t="s">
        <v>10</v>
      </c>
      <c r="E7" t="s">
        <v>28</v>
      </c>
    </row>
    <row r="8" spans="1:17" x14ac:dyDescent="0.3">
      <c r="A8" t="s">
        <v>26</v>
      </c>
      <c r="B8" s="3">
        <f>'Design Converter'!H8</f>
        <v>5</v>
      </c>
      <c r="C8" t="s">
        <v>10</v>
      </c>
      <c r="E8" t="s">
        <v>29</v>
      </c>
      <c r="K8">
        <f>IF(VIN_min&lt;VIN_min,1,IF(VIN_nom&gt;VIN_max,1,0))</f>
        <v>0</v>
      </c>
    </row>
    <row r="9" spans="1:17" x14ac:dyDescent="0.3">
      <c r="A9" t="s">
        <v>27</v>
      </c>
      <c r="B9" s="3">
        <f>'Design Converter'!H9</f>
        <v>5.3</v>
      </c>
      <c r="C9" t="s">
        <v>10</v>
      </c>
      <c r="E9" t="s">
        <v>30</v>
      </c>
    </row>
    <row r="10" spans="1:17" x14ac:dyDescent="0.3">
      <c r="A10" t="s">
        <v>68</v>
      </c>
      <c r="B10" s="3">
        <f>'Design Converter'!H12*1000</f>
        <v>219000</v>
      </c>
      <c r="C10" t="s">
        <v>69</v>
      </c>
      <c r="E10" t="s">
        <v>70</v>
      </c>
    </row>
    <row r="11" spans="1:17" x14ac:dyDescent="0.3">
      <c r="A11" t="s">
        <v>73</v>
      </c>
      <c r="B11" s="18">
        <f>((2.21*10^10)/Fsw)-955</f>
        <v>99958.242009132417</v>
      </c>
      <c r="C11" s="2" t="s">
        <v>36</v>
      </c>
      <c r="E11" t="s">
        <v>74</v>
      </c>
    </row>
    <row r="13" spans="1:17" x14ac:dyDescent="0.3">
      <c r="A13" t="s">
        <v>31</v>
      </c>
      <c r="B13" s="3">
        <f>'Design Converter'!H10</f>
        <v>20</v>
      </c>
      <c r="C13" t="s">
        <v>10</v>
      </c>
      <c r="E13" t="s">
        <v>32</v>
      </c>
    </row>
    <row r="14" spans="1:17" x14ac:dyDescent="0.3">
      <c r="A14" t="s">
        <v>33</v>
      </c>
      <c r="B14" s="3">
        <f>'Design Converter'!H11</f>
        <v>0.4375</v>
      </c>
      <c r="C14" t="s">
        <v>11</v>
      </c>
      <c r="E14" t="s">
        <v>34</v>
      </c>
    </row>
    <row r="15" spans="1:17" x14ac:dyDescent="0.3">
      <c r="A15" t="s">
        <v>35</v>
      </c>
      <c r="B15" s="1">
        <f>VOUT/IOUT</f>
        <v>45.714285714285715</v>
      </c>
      <c r="C15" s="2" t="s">
        <v>36</v>
      </c>
      <c r="E15" t="s">
        <v>42</v>
      </c>
    </row>
    <row r="16" spans="1:17" x14ac:dyDescent="0.3">
      <c r="A16" t="s">
        <v>37</v>
      </c>
      <c r="B16" s="1">
        <f>VOUT*IOUT</f>
        <v>8.75</v>
      </c>
      <c r="C16" s="2" t="s">
        <v>38</v>
      </c>
      <c r="E16" t="s">
        <v>41</v>
      </c>
    </row>
    <row r="17" spans="1:19" x14ac:dyDescent="0.3">
      <c r="A17" t="s">
        <v>39</v>
      </c>
      <c r="B17" s="11">
        <f>'Design Converter'!H14/100</f>
        <v>0.9</v>
      </c>
      <c r="E17" t="s">
        <v>40</v>
      </c>
    </row>
    <row r="19" spans="1:19" x14ac:dyDescent="0.3">
      <c r="A19" s="33" t="s">
        <v>519</v>
      </c>
    </row>
    <row r="20" spans="1:19" x14ac:dyDescent="0.3">
      <c r="A20" t="s">
        <v>43</v>
      </c>
      <c r="B20" s="1">
        <f>IF(B$36="DCM",B55,B39)</f>
        <v>0.76500000000000001</v>
      </c>
      <c r="E20" t="s">
        <v>44</v>
      </c>
    </row>
    <row r="21" spans="1:19" x14ac:dyDescent="0.3">
      <c r="A21" t="s">
        <v>45</v>
      </c>
      <c r="B21" s="12">
        <f>Constants!B20</f>
        <v>0.93</v>
      </c>
      <c r="E21" t="s">
        <v>46</v>
      </c>
      <c r="K21">
        <f>IF(((1-D_limit_nom)/Constants!B12)&lt;Fsw,1,0)</f>
        <v>0</v>
      </c>
    </row>
    <row r="23" spans="1:19" x14ac:dyDescent="0.3">
      <c r="A23" t="s">
        <v>82</v>
      </c>
      <c r="B23" s="1">
        <f>IF(B$36="DCM",B58,B42)</f>
        <v>0.76500000000000001</v>
      </c>
      <c r="E23" t="s">
        <v>506</v>
      </c>
    </row>
    <row r="24" spans="1:19" x14ac:dyDescent="0.3">
      <c r="B24" s="13">
        <f>IF(B$36="DCM",B59,B43)</f>
        <v>3.4931506849315068E-6</v>
      </c>
      <c r="C24" t="s">
        <v>54</v>
      </c>
      <c r="E24" t="s">
        <v>333</v>
      </c>
    </row>
    <row r="25" spans="1:19" x14ac:dyDescent="0.3">
      <c r="A25" t="s">
        <v>92</v>
      </c>
      <c r="B25" s="17">
        <f>IF(B$36="DCM",B60,B44)</f>
        <v>1.8617021276595744</v>
      </c>
      <c r="C25" t="s">
        <v>11</v>
      </c>
      <c r="E25" t="s">
        <v>95</v>
      </c>
      <c r="K25" t="s">
        <v>559</v>
      </c>
      <c r="L25" t="s">
        <v>560</v>
      </c>
      <c r="M25" t="s">
        <v>572</v>
      </c>
    </row>
    <row r="26" spans="1:19" x14ac:dyDescent="0.3">
      <c r="J26" t="s">
        <v>561</v>
      </c>
      <c r="K26" t="b">
        <f>Dc_CCM_VIN_min&lt;B58</f>
        <v>1</v>
      </c>
      <c r="L26" t="b">
        <f>Dc_CCM_VIN_nom&lt;Dc_DCM_VIN_nom</f>
        <v>1</v>
      </c>
      <c r="M26" t="b">
        <f>Dc_CCM_VIN_max&lt;B66</f>
        <v>1</v>
      </c>
    </row>
    <row r="27" spans="1:19" x14ac:dyDescent="0.3">
      <c r="A27" t="s">
        <v>83</v>
      </c>
      <c r="B27" s="1">
        <f>IF(B$36="DCM",B62,B46)</f>
        <v>0.75</v>
      </c>
      <c r="E27" t="s">
        <v>507</v>
      </c>
      <c r="J27" t="s">
        <v>565</v>
      </c>
      <c r="K27" t="b">
        <f>AND(K26:M26)</f>
        <v>1</v>
      </c>
    </row>
    <row r="28" spans="1:19" x14ac:dyDescent="0.3">
      <c r="B28" s="13">
        <f>IF(B$36="DCM",B63,B47)</f>
        <v>3.4246575342465754E-6</v>
      </c>
      <c r="C28" t="s">
        <v>54</v>
      </c>
      <c r="E28" t="s">
        <v>333</v>
      </c>
      <c r="J28" t="s">
        <v>566</v>
      </c>
      <c r="K28" t="b">
        <f>NOT(OR(K26:M26))</f>
        <v>0</v>
      </c>
    </row>
    <row r="29" spans="1:19" x14ac:dyDescent="0.3">
      <c r="A29" t="s">
        <v>93</v>
      </c>
      <c r="B29" s="17">
        <f>IF(B$36="DCM",B64,B48)</f>
        <v>1.75</v>
      </c>
      <c r="C29" t="s">
        <v>11</v>
      </c>
      <c r="E29" t="s">
        <v>96</v>
      </c>
      <c r="J29" t="s">
        <v>562</v>
      </c>
      <c r="K29" t="b">
        <f>NOT(OR(K27:K28))</f>
        <v>0</v>
      </c>
    </row>
    <row r="30" spans="1:19" x14ac:dyDescent="0.3">
      <c r="J30" t="s">
        <v>567</v>
      </c>
      <c r="K30" t="b">
        <f>IF(Dc_Mode="CCM",K27,IF(Dc_Mode="DCM",K28,K29))</f>
        <v>1</v>
      </c>
      <c r="P30" t="s">
        <v>557</v>
      </c>
      <c r="Q30" t="s">
        <v>555</v>
      </c>
      <c r="R30" t="s">
        <v>556</v>
      </c>
      <c r="S30" t="s">
        <v>558</v>
      </c>
    </row>
    <row r="31" spans="1:19" x14ac:dyDescent="0.3">
      <c r="A31" t="s">
        <v>84</v>
      </c>
      <c r="B31" s="1">
        <f>IF(B$36="DCM",B66,B50)</f>
        <v>0.73499999999999999</v>
      </c>
      <c r="E31" t="s">
        <v>508</v>
      </c>
      <c r="K31" t="s">
        <v>554</v>
      </c>
      <c r="L31" s="137">
        <f>VIN_min/(Fsw*2*IOUT)*Dc_VIN_min*(1-Dc_VIN_min)</f>
        <v>4.4093542074363991E-6</v>
      </c>
      <c r="M31" s="137">
        <f>VIN_nom/(Fsw*2*IOUT)*Dc_VIN_nom*(1-Dc_VIN_nom)</f>
        <v>4.8923679060665363E-6</v>
      </c>
      <c r="N31" s="137">
        <f>VIN_max/(Fsw*2*IOUT)*Dc_VIN_max*(1-Dc_VIN_max)</f>
        <v>5.3871232876712337E-6</v>
      </c>
      <c r="P31" s="137">
        <f>Q31*0.9</f>
        <v>3.9684187866927596E-6</v>
      </c>
      <c r="Q31" s="137">
        <f>MIN(L31:N31)</f>
        <v>4.4093542074363991E-6</v>
      </c>
      <c r="R31" s="137">
        <f>MAX(L31:N31)</f>
        <v>5.3871232876712337E-6</v>
      </c>
      <c r="S31" s="137">
        <f>R31*1.1</f>
        <v>5.9258356164383579E-6</v>
      </c>
    </row>
    <row r="32" spans="1:19" x14ac:dyDescent="0.3">
      <c r="B32" s="13">
        <f>IF(B$36="DCM",B67,B51)</f>
        <v>3.3561643835616436E-6</v>
      </c>
      <c r="C32" t="s">
        <v>54</v>
      </c>
      <c r="E32" t="s">
        <v>333</v>
      </c>
    </row>
    <row r="33" spans="1:14" x14ac:dyDescent="0.3">
      <c r="A33" t="s">
        <v>94</v>
      </c>
      <c r="B33" s="17">
        <f>IF(B$36="DCM",B68,B52)</f>
        <v>1.6509433962264151</v>
      </c>
      <c r="C33" t="s">
        <v>11</v>
      </c>
      <c r="E33" t="s">
        <v>97</v>
      </c>
    </row>
    <row r="34" spans="1:14" x14ac:dyDescent="0.3">
      <c r="N34" t="s">
        <v>553</v>
      </c>
    </row>
    <row r="35" spans="1:14" x14ac:dyDescent="0.3">
      <c r="A35" t="s">
        <v>534</v>
      </c>
      <c r="B35" s="140" t="str">
        <f>IF(AND(K35&lt;Lm,L35&lt;Lm,M35&lt;Lm),"CCM",IF(AND(K35&gt;Lm,L35&gt;Lm,M35&gt;Lm),"DCM","CCM/DCM"))</f>
        <v>CCM</v>
      </c>
      <c r="E35" t="s">
        <v>517</v>
      </c>
      <c r="K35" s="137">
        <f>VIN_min/(Fsw*2*IOUT)*Dc_CCM_VIN_min*(1-Dc_CCM_VIN_min)</f>
        <v>4.4093542074363991E-6</v>
      </c>
      <c r="L35" s="137">
        <f>IF(AND(B50&lt;0.5,B42&gt;0.5),VIN_min/(Fsw*2*IOUT)*0.5*(1-0.5),VIN_min/(Fsw*2*IOUT)*Dc_CCM_VIN_nom*(1-Dc_CCM_VIN_nom))</f>
        <v>4.5988258317025445E-6</v>
      </c>
      <c r="M35" s="137">
        <f>VIN_min/(Fsw*2*IOUT)*Dc_CCM_VIN_max*(1-Dc_VIN_max)</f>
        <v>4.7772602739726032E-6</v>
      </c>
      <c r="N35" t="b">
        <f>IF(Dc_Mode="CCM",IF(Lm&lt;MAX(K35,L35,M35),TRUE,IF(Lm&gt;MIN(K35,L35,M35),TRUE,FALSE)))</f>
        <v>1</v>
      </c>
    </row>
    <row r="36" spans="1:14" x14ac:dyDescent="0.3">
      <c r="A36" t="s">
        <v>533</v>
      </c>
      <c r="B36" s="139" t="str">
        <f>'Design Converter'!H18</f>
        <v>CCM</v>
      </c>
      <c r="E36" t="s">
        <v>516</v>
      </c>
      <c r="K36" t="str">
        <f>IF(OR(B35="CCM",B35="CCM/DCM"),"CCM","DCM")</f>
        <v>CCM</v>
      </c>
      <c r="L36" t="str">
        <f>IF(B35="CCM/DCM","DCM","")</f>
        <v/>
      </c>
    </row>
    <row r="38" spans="1:14" x14ac:dyDescent="0.3">
      <c r="A38" s="33" t="s">
        <v>495</v>
      </c>
    </row>
    <row r="39" spans="1:14" x14ac:dyDescent="0.3">
      <c r="A39" t="s">
        <v>509</v>
      </c>
      <c r="B39" s="1">
        <f>1-VIN_min/VOUT</f>
        <v>0.76500000000000001</v>
      </c>
      <c r="E39" t="s">
        <v>44</v>
      </c>
    </row>
    <row r="42" spans="1:14" x14ac:dyDescent="0.3">
      <c r="A42" t="s">
        <v>510</v>
      </c>
      <c r="B42" s="1">
        <f>1-VIN_min/VOUT</f>
        <v>0.76500000000000001</v>
      </c>
      <c r="E42" t="s">
        <v>85</v>
      </c>
    </row>
    <row r="43" spans="1:14" x14ac:dyDescent="0.3">
      <c r="B43" s="13">
        <f>B42/Fsw</f>
        <v>3.4931506849315068E-6</v>
      </c>
      <c r="C43" t="s">
        <v>54</v>
      </c>
      <c r="E43" t="s">
        <v>333</v>
      </c>
    </row>
    <row r="44" spans="1:14" x14ac:dyDescent="0.3">
      <c r="A44" t="s">
        <v>511</v>
      </c>
      <c r="B44" s="17">
        <f>(VOUT*IOUT)/(VIN_min)</f>
        <v>1.8617021276595744</v>
      </c>
      <c r="C44" t="s">
        <v>11</v>
      </c>
      <c r="E44" t="s">
        <v>95</v>
      </c>
    </row>
    <row r="46" spans="1:14" x14ac:dyDescent="0.3">
      <c r="A46" t="s">
        <v>512</v>
      </c>
      <c r="B46" s="1">
        <f>1-VIN_nom/VOUT</f>
        <v>0.75</v>
      </c>
      <c r="E46" t="s">
        <v>86</v>
      </c>
    </row>
    <row r="47" spans="1:14" x14ac:dyDescent="0.3">
      <c r="B47" s="13">
        <f>B46/Fsw</f>
        <v>3.4246575342465754E-6</v>
      </c>
      <c r="C47" t="s">
        <v>54</v>
      </c>
      <c r="E47" t="s">
        <v>333</v>
      </c>
    </row>
    <row r="48" spans="1:14" x14ac:dyDescent="0.3">
      <c r="A48" t="s">
        <v>513</v>
      </c>
      <c r="B48" s="17">
        <f>(VOUT*IOUT)/(VIN_nom)</f>
        <v>1.75</v>
      </c>
      <c r="C48" t="s">
        <v>11</v>
      </c>
      <c r="E48" t="s">
        <v>96</v>
      </c>
    </row>
    <row r="50" spans="1:5" x14ac:dyDescent="0.3">
      <c r="A50" t="s">
        <v>514</v>
      </c>
      <c r="B50" s="1">
        <f>1-VIN_max/VOUT</f>
        <v>0.73499999999999999</v>
      </c>
      <c r="E50" t="s">
        <v>87</v>
      </c>
    </row>
    <row r="51" spans="1:5" x14ac:dyDescent="0.3">
      <c r="B51" s="13">
        <f>B50/Fsw</f>
        <v>3.3561643835616436E-6</v>
      </c>
      <c r="C51" t="s">
        <v>54</v>
      </c>
      <c r="E51" t="s">
        <v>333</v>
      </c>
    </row>
    <row r="52" spans="1:5" x14ac:dyDescent="0.3">
      <c r="A52" t="s">
        <v>515</v>
      </c>
      <c r="B52" s="17">
        <f>(VOUT*IOUT)/(VIN_max)</f>
        <v>1.6509433962264151</v>
      </c>
      <c r="C52" t="s">
        <v>11</v>
      </c>
      <c r="E52" t="s">
        <v>97</v>
      </c>
    </row>
    <row r="54" spans="1:5" x14ac:dyDescent="0.3">
      <c r="A54" s="33" t="s">
        <v>496</v>
      </c>
    </row>
    <row r="55" spans="1:5" x14ac:dyDescent="0.3">
      <c r="A55" t="s">
        <v>497</v>
      </c>
      <c r="B55" s="1">
        <f>1/VIN_min*SQRT(2*Lm*(VOUT-VIN_min)*Fsw*IOUT)</f>
        <v>1.4109758188681023</v>
      </c>
      <c r="E55" t="s">
        <v>44</v>
      </c>
    </row>
    <row r="58" spans="1:5" x14ac:dyDescent="0.3">
      <c r="A58" t="s">
        <v>501</v>
      </c>
      <c r="B58" s="1">
        <f>1/VIN_min*SQRT(2*Lm*(VOUT-VIN_min)*Fsw*IOUT)</f>
        <v>1.4109758188681023</v>
      </c>
      <c r="E58" t="s">
        <v>498</v>
      </c>
    </row>
    <row r="59" spans="1:5" x14ac:dyDescent="0.3">
      <c r="B59" s="13">
        <f>B58/Fsw</f>
        <v>6.4428119583018367E-6</v>
      </c>
      <c r="C59" t="s">
        <v>54</v>
      </c>
      <c r="E59" t="s">
        <v>333</v>
      </c>
    </row>
    <row r="60" spans="1:5" x14ac:dyDescent="0.3">
      <c r="A60" t="s">
        <v>502</v>
      </c>
      <c r="B60" s="17">
        <f>(VOUT*IOUT)/(VIN_min)</f>
        <v>1.8617021276595744</v>
      </c>
      <c r="C60" t="s">
        <v>11</v>
      </c>
      <c r="E60" t="s">
        <v>95</v>
      </c>
    </row>
    <row r="62" spans="1:5" x14ac:dyDescent="0.3">
      <c r="A62" t="s">
        <v>503</v>
      </c>
      <c r="B62" s="1">
        <f>1/VIN_nom*SQRT(2*Lm*(VOUT-VIN_nom)*Fsw*IOUT)</f>
        <v>1.3132497858366474</v>
      </c>
      <c r="E62" t="s">
        <v>499</v>
      </c>
    </row>
    <row r="63" spans="1:5" x14ac:dyDescent="0.3">
      <c r="B63" s="13">
        <f>B62/Fsw</f>
        <v>5.9965743645509018E-6</v>
      </c>
      <c r="C63" t="s">
        <v>54</v>
      </c>
      <c r="E63" t="s">
        <v>333</v>
      </c>
    </row>
    <row r="64" spans="1:5" x14ac:dyDescent="0.3">
      <c r="A64" t="s">
        <v>504</v>
      </c>
      <c r="B64" s="17">
        <f>(VOUT*IOUT)/(VIN_nom)</f>
        <v>1.75</v>
      </c>
      <c r="C64" t="s">
        <v>11</v>
      </c>
      <c r="E64" t="s">
        <v>96</v>
      </c>
    </row>
    <row r="66" spans="1:5" x14ac:dyDescent="0.3">
      <c r="A66" t="s">
        <v>505</v>
      </c>
      <c r="B66" s="1">
        <f>1/VIN_max*SQRT(2*Lm*(VOUT-VIN_max)*Fsw*IOUT)</f>
        <v>1.2264631703204003</v>
      </c>
      <c r="E66" t="s">
        <v>500</v>
      </c>
    </row>
    <row r="67" spans="1:5" x14ac:dyDescent="0.3">
      <c r="B67" s="13">
        <f>B66/Fsw</f>
        <v>5.6002884489515992E-6</v>
      </c>
      <c r="C67" t="s">
        <v>54</v>
      </c>
      <c r="E67" t="s">
        <v>333</v>
      </c>
    </row>
    <row r="68" spans="1:5" x14ac:dyDescent="0.3">
      <c r="A68" t="s">
        <v>94</v>
      </c>
      <c r="B68" s="17">
        <f>(VOUT*IOUT)/(VIN_max)</f>
        <v>1.6509433962264151</v>
      </c>
      <c r="C68" t="s">
        <v>11</v>
      </c>
      <c r="E68" t="s">
        <v>97</v>
      </c>
    </row>
    <row r="70" spans="1:5" x14ac:dyDescent="0.3">
      <c r="A70" s="19" t="s">
        <v>77</v>
      </c>
    </row>
    <row r="71" spans="1:5" x14ac:dyDescent="0.3">
      <c r="A71" t="s">
        <v>99</v>
      </c>
      <c r="B71" s="3">
        <f>'Design Converter'!H21/100</f>
        <v>0.6</v>
      </c>
      <c r="E71" t="s">
        <v>122</v>
      </c>
    </row>
    <row r="72" spans="1:5" x14ac:dyDescent="0.3">
      <c r="A72" s="22" t="s">
        <v>107</v>
      </c>
    </row>
    <row r="73" spans="1:5" x14ac:dyDescent="0.3">
      <c r="A73" t="s">
        <v>90</v>
      </c>
      <c r="B73" s="25">
        <f>(VIN_min*Dc_VIN_min)/(IL_avg_VIN_min*ILrip*Fsw)</f>
        <v>1.4697847358121333E-5</v>
      </c>
      <c r="C73" t="s">
        <v>98</v>
      </c>
      <c r="E73" t="s">
        <v>91</v>
      </c>
    </row>
    <row r="74" spans="1:5" x14ac:dyDescent="0.3">
      <c r="A74" t="s">
        <v>569</v>
      </c>
      <c r="B74" s="25">
        <f>(VIN_nom*Dc_VIN_nom)/(IL_avg_VIN_nom*ILrip*Fsw)</f>
        <v>1.6307893020221788E-5</v>
      </c>
      <c r="C74" t="s">
        <v>98</v>
      </c>
      <c r="E74" t="s">
        <v>570</v>
      </c>
    </row>
    <row r="75" spans="1:5" x14ac:dyDescent="0.3">
      <c r="A75" t="s">
        <v>568</v>
      </c>
      <c r="B75" s="25">
        <f>(VIN_max*Dc_VIN_max)/(IL_avg_VIN_max*ILrip*Fsw)</f>
        <v>1.7957077625570777E-5</v>
      </c>
      <c r="C75" t="s">
        <v>98</v>
      </c>
      <c r="E75" t="s">
        <v>571</v>
      </c>
    </row>
    <row r="76" spans="1:5" x14ac:dyDescent="0.3">
      <c r="A76" t="s">
        <v>100</v>
      </c>
      <c r="B76" s="25">
        <f>AVERAGE(B73:B75)</f>
        <v>1.6320939334637965E-5</v>
      </c>
      <c r="C76" t="s">
        <v>98</v>
      </c>
      <c r="E76" t="s">
        <v>101</v>
      </c>
    </row>
    <row r="78" spans="1:5" x14ac:dyDescent="0.3">
      <c r="A78" s="22" t="s">
        <v>108</v>
      </c>
    </row>
    <row r="79" spans="1:5" x14ac:dyDescent="0.3">
      <c r="A79" t="s">
        <v>133</v>
      </c>
      <c r="B79" s="12">
        <v>0.33</v>
      </c>
      <c r="C79" t="s">
        <v>13</v>
      </c>
      <c r="E79" t="s">
        <v>132</v>
      </c>
    </row>
    <row r="80" spans="1:5" x14ac:dyDescent="0.3">
      <c r="A80" t="s">
        <v>109</v>
      </c>
      <c r="B80" s="1">
        <f>IF(Dc_VIN_max&lt;Dc_rip_max,VOUT*(1-Dc_rip_max),VOUT*(1-Dc_VIN_max))</f>
        <v>5.3000000000000007</v>
      </c>
      <c r="C80" t="s">
        <v>10</v>
      </c>
      <c r="E80" t="s">
        <v>136</v>
      </c>
    </row>
    <row r="81" spans="1:5" x14ac:dyDescent="0.3">
      <c r="A81" t="s">
        <v>110</v>
      </c>
      <c r="B81" s="16">
        <f>(VOUT*IOUT)/(VIN_33)</f>
        <v>1.6509433962264148</v>
      </c>
      <c r="C81" t="s">
        <v>11</v>
      </c>
      <c r="E81" t="s">
        <v>135</v>
      </c>
    </row>
    <row r="82" spans="1:5" x14ac:dyDescent="0.3">
      <c r="A82" t="s">
        <v>111</v>
      </c>
      <c r="B82" s="25">
        <f>(VIN_33*0.33)/(IIN_33*ILrip*Fsw)</f>
        <v>8.0623613829093305E-6</v>
      </c>
      <c r="C82" t="s">
        <v>98</v>
      </c>
      <c r="E82" t="s">
        <v>134</v>
      </c>
    </row>
    <row r="84" spans="1:5" x14ac:dyDescent="0.3">
      <c r="A84" t="s">
        <v>102</v>
      </c>
      <c r="B84" s="21">
        <f>'Design Converter'!H23*10^-6</f>
        <v>1.4999999999999999E-5</v>
      </c>
      <c r="C84" t="s">
        <v>98</v>
      </c>
      <c r="E84" t="s">
        <v>103</v>
      </c>
    </row>
    <row r="85" spans="1:5" x14ac:dyDescent="0.3">
      <c r="A85" t="s">
        <v>104</v>
      </c>
      <c r="B85" s="3">
        <f>'Design Converter'!H24*10^-3</f>
        <v>7.4999999999999997E-2</v>
      </c>
      <c r="C85" s="2" t="s">
        <v>36</v>
      </c>
      <c r="E85" t="s">
        <v>137</v>
      </c>
    </row>
    <row r="86" spans="1:5" x14ac:dyDescent="0.3">
      <c r="A86" t="s">
        <v>138</v>
      </c>
      <c r="B86" s="12">
        <v>0.2</v>
      </c>
      <c r="C86" s="2"/>
      <c r="E86" t="s">
        <v>139</v>
      </c>
    </row>
    <row r="88" spans="1:5" x14ac:dyDescent="0.3">
      <c r="A88" s="22" t="s">
        <v>573</v>
      </c>
      <c r="C88" s="2"/>
    </row>
    <row r="89" spans="1:5" x14ac:dyDescent="0.3">
      <c r="A89" t="s">
        <v>574</v>
      </c>
      <c r="B89" s="227">
        <f>VIN_min/(2*Fsw*IOUT)*(1-VIN_min/VOUT)*(1-(1-VIN_min/VOUT))</f>
        <v>4.4093542074363991E-6</v>
      </c>
      <c r="C89" s="2"/>
    </row>
    <row r="90" spans="1:5" x14ac:dyDescent="0.3">
      <c r="C90" s="2"/>
    </row>
    <row r="91" spans="1:5" x14ac:dyDescent="0.3">
      <c r="A91" s="22" t="s">
        <v>495</v>
      </c>
      <c r="C91" s="2"/>
    </row>
    <row r="92" spans="1:5" x14ac:dyDescent="0.3">
      <c r="A92" t="s">
        <v>115</v>
      </c>
      <c r="B92" s="16">
        <f>(VIN_min*Dc_VIN_min)/(Lm*Fsw)</f>
        <v>1.0945205479452056</v>
      </c>
      <c r="C92" t="s">
        <v>11</v>
      </c>
      <c r="E92" t="s">
        <v>116</v>
      </c>
    </row>
    <row r="93" spans="1:5" x14ac:dyDescent="0.3">
      <c r="A93" t="s">
        <v>113</v>
      </c>
      <c r="B93" s="16">
        <f>(IL_avg_VIN_min/EFF_est)+(ILrip_VINmin/2)</f>
        <v>2.6158181935943521</v>
      </c>
      <c r="C93" t="s">
        <v>11</v>
      </c>
      <c r="E93" t="s">
        <v>114</v>
      </c>
    </row>
    <row r="95" spans="1:5" x14ac:dyDescent="0.3">
      <c r="A95" t="s">
        <v>117</v>
      </c>
      <c r="B95" s="16">
        <f>(VIN_nom*Dc_VIN_nom)/(Lm*Fsw)</f>
        <v>1.1415525114155252</v>
      </c>
      <c r="C95" t="s">
        <v>11</v>
      </c>
      <c r="E95" t="s">
        <v>123</v>
      </c>
    </row>
    <row r="96" spans="1:5" x14ac:dyDescent="0.3">
      <c r="A96" t="s">
        <v>118</v>
      </c>
      <c r="B96" s="16">
        <f>(IL_avg_VIN_nom/EFF_est)+(ILrip_VINnom/2)</f>
        <v>2.5152207001522071</v>
      </c>
      <c r="C96" t="s">
        <v>11</v>
      </c>
      <c r="E96" t="s">
        <v>124</v>
      </c>
    </row>
    <row r="98" spans="1:5" x14ac:dyDescent="0.3">
      <c r="A98" t="s">
        <v>119</v>
      </c>
      <c r="B98" s="16">
        <f>(VIN_max*Dc_VIN_max)/(Lm*Fsw)</f>
        <v>1.1858447488584476</v>
      </c>
      <c r="C98" t="s">
        <v>11</v>
      </c>
      <c r="E98" t="s">
        <v>125</v>
      </c>
    </row>
    <row r="99" spans="1:5" x14ac:dyDescent="0.3">
      <c r="A99" t="s">
        <v>120</v>
      </c>
      <c r="B99" s="16">
        <f>(IL_avg_VIN_max/EFF_est)+(ILrip_VINmax/2)</f>
        <v>2.4273039257919073</v>
      </c>
      <c r="C99" t="s">
        <v>11</v>
      </c>
      <c r="E99" t="s">
        <v>126</v>
      </c>
    </row>
    <row r="100" spans="1:5" x14ac:dyDescent="0.3">
      <c r="C100" s="2"/>
    </row>
    <row r="101" spans="1:5" x14ac:dyDescent="0.3">
      <c r="A101" s="22" t="s">
        <v>496</v>
      </c>
      <c r="C101" s="2"/>
    </row>
    <row r="102" spans="1:5" x14ac:dyDescent="0.3">
      <c r="A102" t="s">
        <v>115</v>
      </c>
      <c r="B102" s="16">
        <f>(VIN_min*Dc_VIN_min)/(Lm*Fsw)</f>
        <v>1.0945205479452056</v>
      </c>
      <c r="C102" t="s">
        <v>11</v>
      </c>
      <c r="E102" t="s">
        <v>116</v>
      </c>
    </row>
    <row r="103" spans="1:5" x14ac:dyDescent="0.3">
      <c r="A103" t="s">
        <v>113</v>
      </c>
      <c r="B103" s="16">
        <f>B102</f>
        <v>1.0945205479452056</v>
      </c>
      <c r="C103" t="s">
        <v>11</v>
      </c>
      <c r="E103" t="s">
        <v>114</v>
      </c>
    </row>
    <row r="105" spans="1:5" x14ac:dyDescent="0.3">
      <c r="A105" t="s">
        <v>117</v>
      </c>
      <c r="B105" s="16">
        <f>(VIN_nom*Dc_VIN_nom)/(Lm*Fsw)</f>
        <v>1.1415525114155252</v>
      </c>
      <c r="C105" t="s">
        <v>11</v>
      </c>
      <c r="E105" t="s">
        <v>123</v>
      </c>
    </row>
    <row r="106" spans="1:5" x14ac:dyDescent="0.3">
      <c r="A106" t="s">
        <v>118</v>
      </c>
      <c r="B106" s="16">
        <f>B105</f>
        <v>1.1415525114155252</v>
      </c>
      <c r="C106" t="s">
        <v>11</v>
      </c>
      <c r="E106" t="s">
        <v>124</v>
      </c>
    </row>
    <row r="108" spans="1:5" x14ac:dyDescent="0.3">
      <c r="A108" t="s">
        <v>119</v>
      </c>
      <c r="B108" s="16">
        <f>(VIN_max*Dc_VIN_max)/(Lm*Fsw)</f>
        <v>1.1858447488584476</v>
      </c>
      <c r="C108" t="s">
        <v>11</v>
      </c>
      <c r="E108" t="s">
        <v>125</v>
      </c>
    </row>
    <row r="109" spans="1:5" x14ac:dyDescent="0.3">
      <c r="A109" t="s">
        <v>120</v>
      </c>
      <c r="B109" s="16">
        <f>B108</f>
        <v>1.1858447488584476</v>
      </c>
      <c r="C109" t="s">
        <v>11</v>
      </c>
      <c r="E109" t="s">
        <v>126</v>
      </c>
    </row>
    <row r="110" spans="1:5" x14ac:dyDescent="0.3">
      <c r="C110" s="2"/>
    </row>
    <row r="111" spans="1:5" x14ac:dyDescent="0.3">
      <c r="A111" s="22" t="s">
        <v>324</v>
      </c>
      <c r="B111" t="s">
        <v>112</v>
      </c>
    </row>
    <row r="112" spans="1:5" x14ac:dyDescent="0.3">
      <c r="A112" t="s">
        <v>115</v>
      </c>
      <c r="B112" s="16">
        <f>IF(B$36="CCM",B92,B102)</f>
        <v>1.0945205479452056</v>
      </c>
      <c r="C112" t="s">
        <v>11</v>
      </c>
      <c r="E112" t="s">
        <v>116</v>
      </c>
    </row>
    <row r="113" spans="1:13" x14ac:dyDescent="0.3">
      <c r="A113" t="s">
        <v>113</v>
      </c>
      <c r="B113" s="16">
        <f>IF(B$36="CCM",B93,B103)</f>
        <v>2.6158181935943521</v>
      </c>
      <c r="C113" t="s">
        <v>11</v>
      </c>
      <c r="E113" t="s">
        <v>114</v>
      </c>
    </row>
    <row r="115" spans="1:13" x14ac:dyDescent="0.3">
      <c r="A115" t="s">
        <v>117</v>
      </c>
      <c r="B115" s="16">
        <f>IF(B$36="CCM",B95,B105)</f>
        <v>1.1415525114155252</v>
      </c>
      <c r="C115" t="s">
        <v>11</v>
      </c>
      <c r="E115" t="s">
        <v>123</v>
      </c>
    </row>
    <row r="116" spans="1:13" x14ac:dyDescent="0.3">
      <c r="A116" t="s">
        <v>118</v>
      </c>
      <c r="B116" s="16">
        <f>IF(B$36="CCM",B96,B106)</f>
        <v>2.5152207001522071</v>
      </c>
      <c r="C116" t="s">
        <v>11</v>
      </c>
      <c r="E116" t="s">
        <v>124</v>
      </c>
    </row>
    <row r="118" spans="1:13" x14ac:dyDescent="0.3">
      <c r="A118" t="s">
        <v>119</v>
      </c>
      <c r="B118" s="16">
        <f>IF(B$36="CCM",B98,B108)</f>
        <v>1.1858447488584476</v>
      </c>
      <c r="C118" t="s">
        <v>11</v>
      </c>
      <c r="E118" t="s">
        <v>125</v>
      </c>
    </row>
    <row r="119" spans="1:13" x14ac:dyDescent="0.3">
      <c r="A119" t="s">
        <v>120</v>
      </c>
      <c r="B119" s="16">
        <f>IF(B$36="CCM",B99,B109)</f>
        <v>2.4273039257919073</v>
      </c>
      <c r="C119" t="s">
        <v>11</v>
      </c>
      <c r="E119" t="s">
        <v>126</v>
      </c>
    </row>
    <row r="121" spans="1:13" x14ac:dyDescent="0.3">
      <c r="A121" s="19" t="s">
        <v>121</v>
      </c>
    </row>
    <row r="122" spans="1:13" x14ac:dyDescent="0.3">
      <c r="A122" t="s">
        <v>128</v>
      </c>
      <c r="B122" s="3">
        <f>'Design Converter'!H28/100</f>
        <v>0.2</v>
      </c>
      <c r="E122" t="s">
        <v>129</v>
      </c>
    </row>
    <row r="123" spans="1:13" x14ac:dyDescent="0.3">
      <c r="A123" t="s">
        <v>130</v>
      </c>
      <c r="B123" s="17">
        <f>(1+Ipk_margin)*ILp_VINmin</f>
        <v>3.1389818323132226</v>
      </c>
      <c r="C123" t="s">
        <v>11</v>
      </c>
      <c r="E123" t="s">
        <v>131</v>
      </c>
    </row>
    <row r="124" spans="1:13" x14ac:dyDescent="0.3">
      <c r="B124" s="17"/>
    </row>
    <row r="125" spans="1:13" x14ac:dyDescent="0.3">
      <c r="A125" t="s">
        <v>142</v>
      </c>
      <c r="B125" s="12">
        <v>0.6</v>
      </c>
      <c r="E125" t="s">
        <v>143</v>
      </c>
      <c r="J125">
        <f>Fsw*Isl*Rsl_int*Lm</f>
        <v>0.13136714999999999</v>
      </c>
    </row>
    <row r="126" spans="1:13" x14ac:dyDescent="0.3">
      <c r="J126">
        <f>Isl</f>
        <v>2.9999999999999997E-5</v>
      </c>
      <c r="K126">
        <f>Fsw</f>
        <v>219000</v>
      </c>
      <c r="L126">
        <f>Lm</f>
        <v>1.4999999999999999E-5</v>
      </c>
      <c r="M126">
        <f>Rsl_int</f>
        <v>1333</v>
      </c>
    </row>
    <row r="127" spans="1:13" x14ac:dyDescent="0.3">
      <c r="A127" t="s">
        <v>140</v>
      </c>
      <c r="B127" s="25">
        <f>(1/B125)*((Fsw*Isl*Rsl_int*Lm)/(VOUT-VIN_min))</f>
        <v>1.4310147058823528E-2</v>
      </c>
      <c r="C127" s="2" t="s">
        <v>36</v>
      </c>
      <c r="E127" t="s">
        <v>141</v>
      </c>
    </row>
    <row r="128" spans="1:13" x14ac:dyDescent="0.3">
      <c r="A128" t="s">
        <v>148</v>
      </c>
      <c r="B128" s="25">
        <f>Vcl/Ipk_selected</f>
        <v>3.1857463770762443E-2</v>
      </c>
      <c r="C128" s="2" t="s">
        <v>36</v>
      </c>
      <c r="E128" t="s">
        <v>149</v>
      </c>
    </row>
    <row r="130" spans="1:11" x14ac:dyDescent="0.3">
      <c r="A130" t="s">
        <v>155</v>
      </c>
      <c r="B130" s="12">
        <v>0.83299999999999996</v>
      </c>
      <c r="E130" t="s">
        <v>156</v>
      </c>
    </row>
    <row r="131" spans="1:11" x14ac:dyDescent="0.3">
      <c r="A131" t="s">
        <v>154</v>
      </c>
      <c r="B131" s="24">
        <f>(Lm*Fsw*(Vcl+(Dc_VIN_min*Isl*Rsl_int)))/((Dc_VIN_min*Kslope*VOUT)-(Dc_VIN_min*Kslope*VIN_min)+(Ipk_selected*Lm*Fsw))</f>
        <v>2.1384140093950774E-2</v>
      </c>
      <c r="C131" s="2" t="s">
        <v>36</v>
      </c>
      <c r="E131" t="s">
        <v>165</v>
      </c>
    </row>
    <row r="132" spans="1:11" x14ac:dyDescent="0.3">
      <c r="A132" t="s">
        <v>157</v>
      </c>
      <c r="B132" s="16">
        <f>(Vcl-(Ipk_selected*Rcs_w_sl))/(Isl*Dc_VIN_min)</f>
        <v>1432.4868298670051</v>
      </c>
      <c r="C132" s="2" t="s">
        <v>36</v>
      </c>
      <c r="E132" t="s">
        <v>164</v>
      </c>
    </row>
    <row r="134" spans="1:11" x14ac:dyDescent="0.3">
      <c r="A134" t="s">
        <v>152</v>
      </c>
      <c r="B134" s="1">
        <f>IF(AND(Rcs_wo_sl&gt;Rcs_max,OR(B36="CCM",B36="CCM/DCM")),1,0)</f>
        <v>1</v>
      </c>
      <c r="E134" t="s">
        <v>153</v>
      </c>
    </row>
    <row r="135" spans="1:11" x14ac:dyDescent="0.3">
      <c r="A135" t="s">
        <v>158</v>
      </c>
      <c r="B135" s="27">
        <f>IF(B134=0,Rcs_wo_sl,Rcs_w_sl)</f>
        <v>2.1384140093950774E-2</v>
      </c>
      <c r="C135" s="2" t="s">
        <v>36</v>
      </c>
      <c r="E135" t="s">
        <v>162</v>
      </c>
    </row>
    <row r="136" spans="1:11" x14ac:dyDescent="0.3">
      <c r="A136" t="s">
        <v>159</v>
      </c>
      <c r="B136" s="1">
        <f>IF(K136&gt;Rsl_max,Rsl_max,K136)</f>
        <v>1432.4868298670051</v>
      </c>
      <c r="C136" s="2" t="s">
        <v>36</v>
      </c>
      <c r="E136" t="s">
        <v>163</v>
      </c>
      <c r="K136">
        <f>IF(B134=0,0,B132)</f>
        <v>1432.4868298670051</v>
      </c>
    </row>
    <row r="138" spans="1:11" x14ac:dyDescent="0.3">
      <c r="A138" t="s">
        <v>160</v>
      </c>
      <c r="B138" s="28">
        <f>'Design Converter'!H32/1000</f>
        <v>0.04</v>
      </c>
      <c r="C138" s="2" t="s">
        <v>36</v>
      </c>
      <c r="E138" t="s">
        <v>167</v>
      </c>
    </row>
    <row r="139" spans="1:11" x14ac:dyDescent="0.3">
      <c r="A139" t="s">
        <v>161</v>
      </c>
      <c r="B139" s="3">
        <f>'Design Converter'!H33</f>
        <v>0</v>
      </c>
      <c r="C139" s="2" t="s">
        <v>36</v>
      </c>
      <c r="E139" t="s">
        <v>168</v>
      </c>
    </row>
    <row r="141" spans="1:11" x14ac:dyDescent="0.3">
      <c r="A141" t="s">
        <v>172</v>
      </c>
      <c r="B141" s="1">
        <f>(Isl*(Rsl_int+R_sl)*Fsw)/(((VOUT-VIN_min)/Lm)*R_cs)</f>
        <v>0.2146522058823529</v>
      </c>
      <c r="C141" t="s">
        <v>180</v>
      </c>
      <c r="E141" t="s">
        <v>170</v>
      </c>
      <c r="K141">
        <f>IF(B141&lt;0.5,1,0)</f>
        <v>1</v>
      </c>
    </row>
    <row r="142" spans="1:11" x14ac:dyDescent="0.3">
      <c r="A142" t="s">
        <v>174</v>
      </c>
      <c r="B142" s="17">
        <f>(Vcl-(Isl*R_sl*Dc_VIN_min))/R_cs</f>
        <v>2.5</v>
      </c>
      <c r="C142" t="s">
        <v>11</v>
      </c>
      <c r="E142" t="s">
        <v>176</v>
      </c>
      <c r="K142">
        <f>IF(IL_pk&lt;Ipk_selected,1,0)</f>
        <v>1</v>
      </c>
    </row>
    <row r="143" spans="1:11" x14ac:dyDescent="0.3">
      <c r="A143" t="s">
        <v>175</v>
      </c>
      <c r="B143" s="17">
        <f>(Vcl-(Isl*R_sl*Dc_VIN_max))/R_cs</f>
        <v>2.5</v>
      </c>
      <c r="C143" t="s">
        <v>11</v>
      </c>
      <c r="E143" t="s">
        <v>177</v>
      </c>
    </row>
    <row r="144" spans="1:11" x14ac:dyDescent="0.3">
      <c r="A144" t="s">
        <v>178</v>
      </c>
      <c r="B144" s="1">
        <f>0.15</f>
        <v>0.15</v>
      </c>
      <c r="E144" t="s">
        <v>179</v>
      </c>
    </row>
    <row r="145" spans="1:5" x14ac:dyDescent="0.3">
      <c r="A145" t="s">
        <v>181</v>
      </c>
      <c r="B145" s="16">
        <f>(1+B144)*B143</f>
        <v>2.875</v>
      </c>
      <c r="C145" t="s">
        <v>11</v>
      </c>
      <c r="E145" t="s">
        <v>182</v>
      </c>
    </row>
    <row r="147" spans="1:5" x14ac:dyDescent="0.3">
      <c r="A147" s="22" t="s">
        <v>183</v>
      </c>
    </row>
    <row r="148" spans="1:5" x14ac:dyDescent="0.3">
      <c r="A148" t="s">
        <v>184</v>
      </c>
    </row>
    <row r="150" spans="1:5" x14ac:dyDescent="0.3">
      <c r="A150" s="30" t="s">
        <v>185</v>
      </c>
    </row>
    <row r="152" spans="1:5" x14ac:dyDescent="0.3">
      <c r="A152" t="s">
        <v>190</v>
      </c>
      <c r="B152" s="31">
        <f>'Design Converter'!H38/1000</f>
        <v>0.153</v>
      </c>
      <c r="C152" t="s">
        <v>10</v>
      </c>
      <c r="E152" t="s">
        <v>189</v>
      </c>
    </row>
    <row r="153" spans="1:5" x14ac:dyDescent="0.3">
      <c r="A153" t="s">
        <v>192</v>
      </c>
      <c r="B153" s="1">
        <f>IOUT*Dc_VIN_min/(Fsw*Vout_rip_sel)</f>
        <v>9.9885844748858463E-6</v>
      </c>
      <c r="C153" t="s">
        <v>193</v>
      </c>
      <c r="E153" t="s">
        <v>194</v>
      </c>
    </row>
    <row r="154" spans="1:5" x14ac:dyDescent="0.3">
      <c r="A154" t="s">
        <v>196</v>
      </c>
      <c r="B154" s="16">
        <f>SQRT((1-Dc_VIN_min)*((IOUT^2)*(Dc_VIN_min/((1-Dc_VIN_min)^2))+((ILrip_VINmin^2)/3)))</f>
        <v>0.84671708607886376</v>
      </c>
      <c r="C154" t="s">
        <v>11</v>
      </c>
      <c r="E154" t="s">
        <v>197</v>
      </c>
    </row>
    <row r="155" spans="1:5" x14ac:dyDescent="0.3">
      <c r="A155" t="s">
        <v>202</v>
      </c>
      <c r="B155" s="3">
        <f>'Design Converter'!H41*(10^-6)</f>
        <v>9.9999999999999991E-6</v>
      </c>
      <c r="C155" t="s">
        <v>193</v>
      </c>
      <c r="E155" t="s">
        <v>200</v>
      </c>
    </row>
    <row r="156" spans="1:5" x14ac:dyDescent="0.3">
      <c r="A156" t="s">
        <v>199</v>
      </c>
      <c r="B156" s="3">
        <f>'Design Converter'!H42/1000</f>
        <v>2E-3</v>
      </c>
      <c r="C156" s="2" t="s">
        <v>36</v>
      </c>
      <c r="E156" t="s">
        <v>201</v>
      </c>
    </row>
    <row r="157" spans="1:5" x14ac:dyDescent="0.3">
      <c r="A157" t="s">
        <v>331</v>
      </c>
      <c r="B157">
        <f>SQRT((IOUT^2)+(IL_avg_VIN_min^2)-(2*IOUT*IL_avg_VIN_min)-(2*Dc_VIN_min*(IOUT^2))-(Dc_VIN_min*(IL_avg_VIN_min^2))+(2*Dc_VIN_min*IOUT*IL_avg_VIN_min))</f>
        <v>0.57466239510782668</v>
      </c>
      <c r="E157" s="38" t="s">
        <v>332</v>
      </c>
    </row>
    <row r="159" spans="1:5" x14ac:dyDescent="0.3">
      <c r="A159" s="30" t="s">
        <v>350</v>
      </c>
    </row>
    <row r="160" spans="1:5" x14ac:dyDescent="0.3">
      <c r="A160" t="s">
        <v>335</v>
      </c>
      <c r="B160" s="12">
        <f>Iss</f>
        <v>9.9999999999999991E-6</v>
      </c>
      <c r="C160" t="s">
        <v>11</v>
      </c>
      <c r="E160" t="s">
        <v>337</v>
      </c>
    </row>
    <row r="161" spans="1:5" x14ac:dyDescent="0.3">
      <c r="A161" t="s">
        <v>338</v>
      </c>
      <c r="B161" s="1">
        <f>Iss*VOUT*Cout/(Vref*IOUT)</f>
        <v>4.5714285714285705E-9</v>
      </c>
      <c r="C161" t="s">
        <v>193</v>
      </c>
      <c r="E161" t="s">
        <v>339</v>
      </c>
    </row>
    <row r="162" spans="1:5" x14ac:dyDescent="0.3">
      <c r="A162" t="s">
        <v>340</v>
      </c>
      <c r="B162" s="3">
        <f>'Design Converter'!H46*(10^-3)</f>
        <v>8.0000000000000002E-3</v>
      </c>
      <c r="C162" t="s">
        <v>54</v>
      </c>
      <c r="E162" t="s">
        <v>341</v>
      </c>
    </row>
    <row r="163" spans="1:5" x14ac:dyDescent="0.3">
      <c r="A163" t="s">
        <v>344</v>
      </c>
      <c r="B163" s="1">
        <f>(tss*Iss)/(Vref*(1-(VIN_min/VOUT)))</f>
        <v>1.0457516339869279E-7</v>
      </c>
      <c r="C163" t="s">
        <v>193</v>
      </c>
      <c r="E163" t="s">
        <v>345</v>
      </c>
    </row>
    <row r="165" spans="1:5" x14ac:dyDescent="0.3">
      <c r="A165" s="30" t="s">
        <v>349</v>
      </c>
    </row>
    <row r="166" spans="1:5" x14ac:dyDescent="0.3">
      <c r="A166" t="s">
        <v>351</v>
      </c>
      <c r="B166" s="3">
        <f>'Design Converter'!H50</f>
        <v>4.5</v>
      </c>
      <c r="C166" t="s">
        <v>10</v>
      </c>
      <c r="E166" t="s">
        <v>353</v>
      </c>
    </row>
    <row r="167" spans="1:5" x14ac:dyDescent="0.3">
      <c r="A167" t="s">
        <v>352</v>
      </c>
      <c r="B167" s="3">
        <f>'Design Converter'!H51</f>
        <v>4</v>
      </c>
      <c r="C167" t="s">
        <v>10</v>
      </c>
      <c r="E167" t="s">
        <v>354</v>
      </c>
    </row>
    <row r="168" spans="1:5" x14ac:dyDescent="0.3">
      <c r="A168" t="s">
        <v>356</v>
      </c>
      <c r="B168" s="12">
        <f>UV_rise</f>
        <v>1.5</v>
      </c>
      <c r="C168" t="s">
        <v>10</v>
      </c>
      <c r="E168" t="s">
        <v>361</v>
      </c>
    </row>
    <row r="169" spans="1:5" x14ac:dyDescent="0.3">
      <c r="A169" t="s">
        <v>357</v>
      </c>
      <c r="B169" s="12">
        <f>UV_fall</f>
        <v>1.45</v>
      </c>
      <c r="C169" t="s">
        <v>10</v>
      </c>
      <c r="E169" t="s">
        <v>360</v>
      </c>
    </row>
    <row r="170" spans="1:5" x14ac:dyDescent="0.3">
      <c r="A170" t="s">
        <v>362</v>
      </c>
      <c r="B170" s="12">
        <f>UV_I_hyst</f>
        <v>4.9999999999999996E-6</v>
      </c>
      <c r="C170" t="s">
        <v>11</v>
      </c>
      <c r="E170" t="s">
        <v>364</v>
      </c>
    </row>
    <row r="171" spans="1:5" x14ac:dyDescent="0.3">
      <c r="A171" t="s">
        <v>365</v>
      </c>
      <c r="B171" s="18">
        <f>((Vuvlo_on*0.967)-Vuvlo_off)/(UV_I_hyst)</f>
        <v>70299.999999999942</v>
      </c>
      <c r="C171" s="2" t="s">
        <v>36</v>
      </c>
      <c r="E171" t="s">
        <v>466</v>
      </c>
    </row>
    <row r="172" spans="1:5" x14ac:dyDescent="0.3">
      <c r="A172" t="s">
        <v>365</v>
      </c>
      <c r="B172" s="3">
        <f>'Design Converter'!H53*1000</f>
        <v>62000</v>
      </c>
      <c r="C172" s="2" t="s">
        <v>36</v>
      </c>
      <c r="E172" t="s">
        <v>467</v>
      </c>
    </row>
    <row r="173" spans="1:5" x14ac:dyDescent="0.3">
      <c r="A173" t="s">
        <v>366</v>
      </c>
      <c r="B173" s="18">
        <f>UV_rise*Ruvlo_top/(Vuvlo_on-UV_rise)</f>
        <v>31000</v>
      </c>
      <c r="C173" s="2" t="s">
        <v>36</v>
      </c>
      <c r="E173" t="s">
        <v>468</v>
      </c>
    </row>
    <row r="174" spans="1:5" x14ac:dyDescent="0.3">
      <c r="A174" t="s">
        <v>367</v>
      </c>
      <c r="B174" s="17">
        <f>UV_rise*(Ruvlo_top+Ruvlo_bottom_calc)/Ruvlo_bottom_calc</f>
        <v>4.5</v>
      </c>
      <c r="E174" t="s">
        <v>369</v>
      </c>
    </row>
    <row r="175" spans="1:5" x14ac:dyDescent="0.3">
      <c r="A175" t="s">
        <v>368</v>
      </c>
      <c r="B175" s="17">
        <f>Ruvlo_top*((UV_fall/Ruvlo_top)-(UV_I_hyst)+(UV_fall/Ruvlo_bottom_calc))</f>
        <v>4.04</v>
      </c>
      <c r="E175" t="s">
        <v>370</v>
      </c>
    </row>
    <row r="178" spans="1:5" x14ac:dyDescent="0.3">
      <c r="A178" s="30" t="s">
        <v>204</v>
      </c>
    </row>
    <row r="179" spans="1:5" x14ac:dyDescent="0.3">
      <c r="A179" s="34" t="s">
        <v>232</v>
      </c>
      <c r="B179" s="3" t="str">
        <f>'Design Converter'!H57</f>
        <v>5V</v>
      </c>
      <c r="C179" t="s">
        <v>10</v>
      </c>
      <c r="E179" t="s">
        <v>276</v>
      </c>
    </row>
    <row r="180" spans="1:5" x14ac:dyDescent="0.3">
      <c r="A180" s="34"/>
    </row>
    <row r="181" spans="1:5" x14ac:dyDescent="0.3">
      <c r="A181" s="33" t="s">
        <v>291</v>
      </c>
    </row>
    <row r="182" spans="1:5" x14ac:dyDescent="0.3">
      <c r="A182" t="s">
        <v>224</v>
      </c>
      <c r="B182" s="3">
        <f>'Design Converter'!H60*(10^3)</f>
        <v>100000</v>
      </c>
      <c r="C182" s="2" t="s">
        <v>36</v>
      </c>
      <c r="E182" t="s">
        <v>277</v>
      </c>
    </row>
    <row r="183" spans="1:5" x14ac:dyDescent="0.3">
      <c r="A183" t="s">
        <v>281</v>
      </c>
      <c r="B183" s="18">
        <f>(RFBT*Vref)/(VOUT-Vref)</f>
        <v>5263.1578947368425</v>
      </c>
      <c r="C183" s="2" t="s">
        <v>36</v>
      </c>
      <c r="E183" t="s">
        <v>284</v>
      </c>
    </row>
    <row r="184" spans="1:5" x14ac:dyDescent="0.3">
      <c r="A184" t="s">
        <v>225</v>
      </c>
      <c r="B184" s="3">
        <f>'Design Converter'!H62*(10^3)</f>
        <v>4700</v>
      </c>
      <c r="C184" s="2" t="s">
        <v>36</v>
      </c>
      <c r="E184" t="s">
        <v>285</v>
      </c>
    </row>
    <row r="185" spans="1:5" x14ac:dyDescent="0.3">
      <c r="A185" t="s">
        <v>286</v>
      </c>
      <c r="B185" s="1">
        <f>VOUT/(RFBB+RFBT)</f>
        <v>1.9102196752626553E-4</v>
      </c>
      <c r="C185" s="2" t="s">
        <v>11</v>
      </c>
      <c r="E185" t="s">
        <v>287</v>
      </c>
    </row>
    <row r="186" spans="1:5" x14ac:dyDescent="0.3">
      <c r="C186" s="2"/>
    </row>
    <row r="187" spans="1:5" x14ac:dyDescent="0.3">
      <c r="A187" s="33" t="s">
        <v>292</v>
      </c>
      <c r="E187" t="s">
        <v>457</v>
      </c>
    </row>
    <row r="189" spans="1:5" x14ac:dyDescent="0.3">
      <c r="A189" t="s">
        <v>470</v>
      </c>
      <c r="B189">
        <f>(Gcomp*(VIN_min/VOUT)*(VOUT/IOUT))/(2*R_cs*Acs)</f>
        <v>19.471428571428572</v>
      </c>
    </row>
    <row r="191" spans="1:5" x14ac:dyDescent="0.3">
      <c r="A191" t="s">
        <v>471</v>
      </c>
      <c r="B191" s="12">
        <f>2/(Cout*(VOUT/IOUT))</f>
        <v>4375</v>
      </c>
      <c r="C191" t="s">
        <v>454</v>
      </c>
      <c r="E191" t="s">
        <v>453</v>
      </c>
    </row>
    <row r="192" spans="1:5" x14ac:dyDescent="0.3">
      <c r="A192" t="s">
        <v>472</v>
      </c>
      <c r="B192" s="1">
        <f>B191/(2*PI())</f>
        <v>696.30287602704209</v>
      </c>
      <c r="C192" t="s">
        <v>69</v>
      </c>
      <c r="E192" t="s">
        <v>288</v>
      </c>
    </row>
    <row r="194" spans="1:5" x14ac:dyDescent="0.3">
      <c r="A194" t="s">
        <v>473</v>
      </c>
      <c r="B194" s="12">
        <f>1/(Cout*Resr)</f>
        <v>50000000.000000007</v>
      </c>
      <c r="C194" t="s">
        <v>455</v>
      </c>
      <c r="E194" t="s">
        <v>456</v>
      </c>
    </row>
    <row r="195" spans="1:5" x14ac:dyDescent="0.3">
      <c r="A195" t="s">
        <v>474</v>
      </c>
      <c r="B195" s="1">
        <f>B194/(2*PI())</f>
        <v>7957747.1545947678</v>
      </c>
      <c r="C195" t="s">
        <v>69</v>
      </c>
      <c r="E195" t="s">
        <v>290</v>
      </c>
    </row>
    <row r="197" spans="1:5" x14ac:dyDescent="0.3">
      <c r="A197" t="s">
        <v>475</v>
      </c>
      <c r="B197" s="12">
        <f>((VOUT/IOUT)*((VIN_min/VOUT)^2))/(Lm)</f>
        <v>168304.76190476195</v>
      </c>
      <c r="E197" t="s">
        <v>452</v>
      </c>
    </row>
    <row r="198" spans="1:5" x14ac:dyDescent="0.3">
      <c r="A198" t="s">
        <v>476</v>
      </c>
      <c r="B198" s="18">
        <f>B197/(2*PI())</f>
        <v>26786.534803047383</v>
      </c>
      <c r="C198" t="s">
        <v>69</v>
      </c>
      <c r="E198" t="s">
        <v>289</v>
      </c>
    </row>
    <row r="199" spans="1:5" x14ac:dyDescent="0.3">
      <c r="B199">
        <f>Fsw/10</f>
        <v>21900</v>
      </c>
      <c r="C199" t="s">
        <v>69</v>
      </c>
      <c r="E199" t="s">
        <v>297</v>
      </c>
    </row>
    <row r="200" spans="1:5" x14ac:dyDescent="0.3">
      <c r="B200">
        <f>IF((B198/5)&lt;(B199),0,1)</f>
        <v>0</v>
      </c>
      <c r="E200" t="s">
        <v>299</v>
      </c>
    </row>
    <row r="202" spans="1:5" x14ac:dyDescent="0.3">
      <c r="A202" t="s">
        <v>477</v>
      </c>
      <c r="B202" s="1">
        <f>(Isl*(Rsl_int+R_sl)*Fsw)</f>
        <v>8757.81</v>
      </c>
      <c r="C202" t="s">
        <v>180</v>
      </c>
      <c r="E202" t="s">
        <v>248</v>
      </c>
    </row>
    <row r="203" spans="1:5" x14ac:dyDescent="0.3">
      <c r="A203" t="s">
        <v>478</v>
      </c>
      <c r="B203" s="1">
        <f>(R_cs*VIN_min*Acs)/Lm</f>
        <v>12533.333333333334</v>
      </c>
      <c r="C203" t="s">
        <v>180</v>
      </c>
      <c r="E203" t="s">
        <v>249</v>
      </c>
    </row>
    <row r="204" spans="1:5" x14ac:dyDescent="0.3">
      <c r="B204" s="1"/>
    </row>
    <row r="205" spans="1:5" x14ac:dyDescent="0.3">
      <c r="A205" t="s">
        <v>479</v>
      </c>
      <c r="B205" s="1">
        <f>2*PI()*Fsw</f>
        <v>1376017.5822723294</v>
      </c>
      <c r="C205" t="s">
        <v>251</v>
      </c>
    </row>
    <row r="206" spans="1:5" x14ac:dyDescent="0.3">
      <c r="A206" t="s">
        <v>480</v>
      </c>
      <c r="B206" s="1">
        <f>1/(PI()*(((VIN_min/VOUT)*(1+(B202/B203)))-0.5))</f>
        <v>-3.1581161889606091</v>
      </c>
    </row>
    <row r="212" spans="1:5" x14ac:dyDescent="0.3">
      <c r="A212" t="s">
        <v>293</v>
      </c>
      <c r="B212" s="17">
        <f>IF(B200=0,fz_rhp/5,Fsw/10)</f>
        <v>5357.3069606094768</v>
      </c>
      <c r="C212" t="s">
        <v>69</v>
      </c>
      <c r="E212" t="s">
        <v>298</v>
      </c>
    </row>
    <row r="213" spans="1:5" x14ac:dyDescent="0.3">
      <c r="A213" t="s">
        <v>295</v>
      </c>
      <c r="B213" s="3">
        <f>'Design Converter'!H66*1000</f>
        <v>25</v>
      </c>
      <c r="C213" t="s">
        <v>69</v>
      </c>
      <c r="E213" t="s">
        <v>296</v>
      </c>
    </row>
    <row r="215" spans="1:5" x14ac:dyDescent="0.3">
      <c r="A215" t="s">
        <v>304</v>
      </c>
      <c r="B215" s="20">
        <f>Gplant_fc_dB</f>
        <v>25.782365689186051</v>
      </c>
      <c r="C215" t="s">
        <v>275</v>
      </c>
      <c r="E215" t="s">
        <v>305</v>
      </c>
    </row>
    <row r="216" spans="1:5" x14ac:dyDescent="0.3">
      <c r="A216" t="s">
        <v>300</v>
      </c>
      <c r="B216" s="20">
        <f>10^(B215/20)</f>
        <v>19.458899921180965</v>
      </c>
      <c r="C216" t="s">
        <v>180</v>
      </c>
      <c r="E216" t="s">
        <v>301</v>
      </c>
    </row>
    <row r="217" spans="1:5" x14ac:dyDescent="0.3">
      <c r="A217" t="s">
        <v>306</v>
      </c>
      <c r="B217" s="20">
        <f>1/B216</f>
        <v>5.1390366570080483E-2</v>
      </c>
      <c r="C217" t="s">
        <v>180</v>
      </c>
      <c r="E217" t="s">
        <v>307</v>
      </c>
    </row>
    <row r="219" spans="1:5" x14ac:dyDescent="0.3">
      <c r="A219" t="s">
        <v>313</v>
      </c>
      <c r="B219">
        <f>fcross/10</f>
        <v>2.5</v>
      </c>
      <c r="C219" t="s">
        <v>69</v>
      </c>
      <c r="E219" t="s">
        <v>311</v>
      </c>
    </row>
    <row r="220" spans="1:5" x14ac:dyDescent="0.3">
      <c r="A220" t="s">
        <v>314</v>
      </c>
      <c r="B220" s="35">
        <f>SQRT(B192*fcross)</f>
        <v>131.93775767639849</v>
      </c>
      <c r="C220" t="s">
        <v>69</v>
      </c>
      <c r="E220" t="s">
        <v>312</v>
      </c>
    </row>
    <row r="221" spans="1:5" x14ac:dyDescent="0.3">
      <c r="A221" t="s">
        <v>310</v>
      </c>
      <c r="B221" s="35">
        <f>B220</f>
        <v>131.93775767639849</v>
      </c>
      <c r="C221" t="s">
        <v>69</v>
      </c>
    </row>
    <row r="223" spans="1:5" x14ac:dyDescent="0.3">
      <c r="A223" t="s">
        <v>317</v>
      </c>
      <c r="B223" s="32">
        <f>fz_rhp</f>
        <v>26786.534803047383</v>
      </c>
      <c r="C223" t="s">
        <v>69</v>
      </c>
      <c r="E223" t="s">
        <v>490</v>
      </c>
    </row>
    <row r="224" spans="1:5" x14ac:dyDescent="0.3">
      <c r="E224" t="s">
        <v>491</v>
      </c>
    </row>
    <row r="227" spans="1:5" x14ac:dyDescent="0.3">
      <c r="A227" t="s">
        <v>308</v>
      </c>
      <c r="B227" s="23">
        <f>(Gea_mid_calc*(RFBT+RFBB)/(RFBB*gm_ea))</f>
        <v>572.40121062632193</v>
      </c>
      <c r="C227" s="2" t="s">
        <v>36</v>
      </c>
      <c r="E227" t="s">
        <v>309</v>
      </c>
    </row>
    <row r="228" spans="1:5" x14ac:dyDescent="0.3">
      <c r="A228" t="s">
        <v>214</v>
      </c>
      <c r="B228" s="3">
        <f>'Design Converter'!H69*1000</f>
        <v>470</v>
      </c>
      <c r="C228" s="2" t="s">
        <v>36</v>
      </c>
      <c r="E228" t="s">
        <v>221</v>
      </c>
    </row>
    <row r="229" spans="1:5" x14ac:dyDescent="0.3">
      <c r="A229" t="s">
        <v>315</v>
      </c>
      <c r="B229" s="36">
        <f>1/(2*PI()*fz_ea_est*Rcomp_calc)</f>
        <v>2.1074170490734876E-6</v>
      </c>
      <c r="C229" s="2" t="s">
        <v>193</v>
      </c>
    </row>
    <row r="230" spans="1:5" x14ac:dyDescent="0.3">
      <c r="A230" t="s">
        <v>219</v>
      </c>
      <c r="B230" s="3">
        <f>'Design Converter'!H70*(10^-9)</f>
        <v>1.0000000000000002E-6</v>
      </c>
      <c r="C230" t="s">
        <v>193</v>
      </c>
      <c r="E230" t="s">
        <v>222</v>
      </c>
    </row>
    <row r="231" spans="1:5" x14ac:dyDescent="0.3">
      <c r="A231" t="s">
        <v>316</v>
      </c>
      <c r="B231" s="36">
        <f>(CComp_calc)/((CComp_calc*Rcomp_calc*2*PI()*fp_ea_est)-1)</f>
        <v>1.0431516915092746E-8</v>
      </c>
      <c r="C231" t="s">
        <v>193</v>
      </c>
    </row>
    <row r="232" spans="1:5" x14ac:dyDescent="0.3">
      <c r="A232" t="s">
        <v>220</v>
      </c>
      <c r="B232" s="3">
        <f>'Design Converter'!H71*(10^-12)</f>
        <v>9.9999999999999995E-7</v>
      </c>
      <c r="C232" t="s">
        <v>193</v>
      </c>
      <c r="E232" t="s">
        <v>223</v>
      </c>
    </row>
    <row r="235" spans="1:5" x14ac:dyDescent="0.3">
      <c r="A235" s="30" t="s">
        <v>379</v>
      </c>
    </row>
    <row r="236" spans="1:5" x14ac:dyDescent="0.3">
      <c r="A236" s="30" t="s">
        <v>398</v>
      </c>
    </row>
    <row r="237" spans="1:5" x14ac:dyDescent="0.3">
      <c r="A237" s="52" t="s">
        <v>461</v>
      </c>
      <c r="E237" t="s">
        <v>462</v>
      </c>
    </row>
    <row r="238" spans="1:5" x14ac:dyDescent="0.3">
      <c r="A238" t="s">
        <v>380</v>
      </c>
      <c r="B238">
        <f>'Design Converter'!H86/1000</f>
        <v>0.92</v>
      </c>
      <c r="C238" t="s">
        <v>10</v>
      </c>
      <c r="E238" t="s">
        <v>381</v>
      </c>
    </row>
    <row r="239" spans="1:5" x14ac:dyDescent="0.3">
      <c r="A239" t="s">
        <v>411</v>
      </c>
      <c r="B239">
        <f>'Design Converter'!H87*(10^-9)</f>
        <v>1E-8</v>
      </c>
      <c r="C239" t="s">
        <v>409</v>
      </c>
      <c r="E239" t="s">
        <v>410</v>
      </c>
    </row>
    <row r="242" spans="1:8" x14ac:dyDescent="0.3">
      <c r="A242" s="30" t="s">
        <v>401</v>
      </c>
    </row>
    <row r="243" spans="1:8" ht="15.6" x14ac:dyDescent="0.35">
      <c r="A243" t="s">
        <v>412</v>
      </c>
      <c r="B243" s="3">
        <f>'Design Converter'!H76*(10^-3)</f>
        <v>4.9000000000000007E-3</v>
      </c>
      <c r="C243" s="2" t="s">
        <v>36</v>
      </c>
      <c r="E243" s="44" t="s">
        <v>387</v>
      </c>
    </row>
    <row r="244" spans="1:8" ht="15.6" x14ac:dyDescent="0.35">
      <c r="A244" t="s">
        <v>402</v>
      </c>
      <c r="B244" s="3">
        <f>'Design Converter'!H77*(10^-9)</f>
        <v>4.5000000000000006E-9</v>
      </c>
      <c r="C244" t="s">
        <v>193</v>
      </c>
      <c r="E244" s="44" t="s">
        <v>388</v>
      </c>
    </row>
    <row r="245" spans="1:8" ht="15.6" x14ac:dyDescent="0.35">
      <c r="A245" t="s">
        <v>404</v>
      </c>
      <c r="B245" s="3">
        <f>'Design Converter'!H78*(10^-9)</f>
        <v>2.0000000000000001E-9</v>
      </c>
      <c r="C245" t="s">
        <v>193</v>
      </c>
      <c r="E245" s="44" t="s">
        <v>389</v>
      </c>
    </row>
    <row r="246" spans="1:8" ht="15.6" x14ac:dyDescent="0.35">
      <c r="A246" t="s">
        <v>403</v>
      </c>
      <c r="B246" s="3">
        <f>'Design Converter'!H79*(10^-9)</f>
        <v>2.0000000000000003E-10</v>
      </c>
      <c r="C246" t="s">
        <v>193</v>
      </c>
      <c r="E246" s="44" t="s">
        <v>390</v>
      </c>
    </row>
    <row r="247" spans="1:8" ht="15.6" x14ac:dyDescent="0.35">
      <c r="A247" t="s">
        <v>405</v>
      </c>
      <c r="B247" s="3">
        <f>'Design Converter'!H80</f>
        <v>1.5</v>
      </c>
      <c r="C247" s="2" t="s">
        <v>36</v>
      </c>
      <c r="E247" s="44" t="s">
        <v>391</v>
      </c>
    </row>
    <row r="248" spans="1:8" x14ac:dyDescent="0.3">
      <c r="A248" t="s">
        <v>413</v>
      </c>
      <c r="B248" s="12">
        <v>1.5</v>
      </c>
      <c r="C248" s="2"/>
      <c r="E248" s="44" t="s">
        <v>414</v>
      </c>
      <c r="H248" t="s">
        <v>423</v>
      </c>
    </row>
    <row r="249" spans="1:8" ht="15.6" x14ac:dyDescent="0.35">
      <c r="A249" t="s">
        <v>406</v>
      </c>
      <c r="B249" s="3">
        <f>'Design Converter'!H81</f>
        <v>0.38</v>
      </c>
      <c r="C249" s="2" t="s">
        <v>397</v>
      </c>
      <c r="E249" s="44" t="s">
        <v>392</v>
      </c>
    </row>
    <row r="250" spans="1:8" ht="15.6" x14ac:dyDescent="0.35">
      <c r="A250" t="s">
        <v>407</v>
      </c>
      <c r="B250" s="3">
        <f>'Design Converter'!H82</f>
        <v>1.4</v>
      </c>
      <c r="C250" s="2" t="s">
        <v>10</v>
      </c>
      <c r="E250" s="44" t="s">
        <v>393</v>
      </c>
    </row>
    <row r="251" spans="1:8" x14ac:dyDescent="0.3">
      <c r="A251" t="s">
        <v>419</v>
      </c>
      <c r="B251" s="12">
        <f>Vcc</f>
        <v>6.75</v>
      </c>
      <c r="C251" s="2" t="s">
        <v>10</v>
      </c>
      <c r="E251" s="44" t="s">
        <v>424</v>
      </c>
    </row>
    <row r="252" spans="1:8" x14ac:dyDescent="0.3">
      <c r="C252" s="2"/>
      <c r="E252" s="44"/>
    </row>
    <row r="253" spans="1:8" x14ac:dyDescent="0.3">
      <c r="C253" s="2"/>
      <c r="E253" s="44"/>
    </row>
    <row r="254" spans="1:8" x14ac:dyDescent="0.3">
      <c r="A254" t="s">
        <v>415</v>
      </c>
      <c r="B254" s="27">
        <f>Vth+(((VOUT*IOUT)/VIN_min)/gfs)</f>
        <v>6.2992161254199317</v>
      </c>
      <c r="C254" s="2" t="s">
        <v>10</v>
      </c>
      <c r="E254" s="44" t="s">
        <v>416</v>
      </c>
    </row>
    <row r="255" spans="1:8" x14ac:dyDescent="0.3">
      <c r="A255" t="s">
        <v>425</v>
      </c>
      <c r="B255" s="1">
        <f>(Qgd+(Qgs/2))*((Rgate+B248)/(Vcc-B254))</f>
        <v>1.3975655198112003E-8</v>
      </c>
      <c r="C255" s="2" t="s">
        <v>54</v>
      </c>
      <c r="E255" s="44" t="s">
        <v>417</v>
      </c>
    </row>
    <row r="256" spans="1:8" ht="15" thickBot="1" x14ac:dyDescent="0.35">
      <c r="A256" t="s">
        <v>426</v>
      </c>
      <c r="B256" s="1">
        <f>(Qgd+(Qgs/2))*((B248+Rgate)/B254)</f>
        <v>1.0001244400199106E-9</v>
      </c>
      <c r="C256" t="s">
        <v>54</v>
      </c>
      <c r="E256" s="45" t="s">
        <v>418</v>
      </c>
    </row>
  </sheetData>
  <mergeCells count="2">
    <mergeCell ref="A1:J1"/>
    <mergeCell ref="E5:H5"/>
  </mergeCells>
  <pageMargins left="0.7" right="0.7" top="0.75" bottom="0.75" header="0.3" footer="0.3"/>
  <pageSetup orientation="portrait" r:id="rId1"/>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60960</xdr:colOff>
                <xdr:row>154</xdr:row>
                <xdr:rowOff>137160</xdr:rowOff>
              </from>
              <to>
                <xdr:col>12</xdr:col>
                <xdr:colOff>396240</xdr:colOff>
                <xdr:row>157</xdr:row>
                <xdr:rowOff>22860</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T157"/>
  <sheetViews>
    <sheetView topLeftCell="R1" zoomScale="85" zoomScaleNormal="85" workbookViewId="0">
      <pane ySplit="6" topLeftCell="A135" activePane="bottomLeft" state="frozen"/>
      <selection activeCell="N8" sqref="N8"/>
      <selection pane="bottomLeft" activeCell="N8" sqref="N8"/>
    </sheetView>
  </sheetViews>
  <sheetFormatPr defaultRowHeight="14.4" x14ac:dyDescent="0.3"/>
  <cols>
    <col min="10" max="10" width="10" bestFit="1" customWidth="1"/>
    <col min="25" max="25" width="12" bestFit="1" customWidth="1"/>
    <col min="39" max="39" width="11" bestFit="1" customWidth="1"/>
  </cols>
  <sheetData>
    <row r="1" spans="1:46" ht="28.2" x14ac:dyDescent="0.5">
      <c r="A1" s="229" t="s">
        <v>15</v>
      </c>
      <c r="B1" s="229"/>
      <c r="C1" s="229"/>
      <c r="D1" s="229"/>
      <c r="E1" s="229"/>
      <c r="F1" s="229"/>
      <c r="G1" s="229"/>
      <c r="H1" s="229"/>
      <c r="I1" s="229"/>
      <c r="J1" s="229"/>
      <c r="K1" s="229"/>
      <c r="L1" s="229"/>
      <c r="M1" s="229"/>
    </row>
    <row r="4" spans="1:46" ht="15" thickBot="1" x14ac:dyDescent="0.35">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row>
    <row r="5" spans="1:46" ht="28.8" x14ac:dyDescent="0.3">
      <c r="R5" s="234" t="s">
        <v>372</v>
      </c>
      <c r="S5" s="235"/>
      <c r="T5" s="235"/>
      <c r="U5" s="236"/>
      <c r="V5" s="234" t="s">
        <v>373</v>
      </c>
      <c r="W5" s="235"/>
      <c r="X5" s="236"/>
      <c r="Y5" s="234" t="s">
        <v>446</v>
      </c>
      <c r="Z5" s="235"/>
      <c r="AA5" s="235"/>
      <c r="AB5" s="235"/>
      <c r="AC5" s="235"/>
      <c r="AD5" s="236"/>
      <c r="AE5" s="234" t="s">
        <v>445</v>
      </c>
      <c r="AF5" s="235"/>
      <c r="AG5" s="235"/>
      <c r="AH5" s="235"/>
      <c r="AI5" s="236"/>
      <c r="AJ5" s="234" t="s">
        <v>447</v>
      </c>
      <c r="AK5" s="235"/>
      <c r="AL5" s="235"/>
      <c r="AM5" s="235"/>
      <c r="AN5" s="236"/>
      <c r="AO5" s="231" t="s">
        <v>442</v>
      </c>
      <c r="AP5" s="232"/>
      <c r="AQ5" s="233"/>
      <c r="AR5" s="49" t="s">
        <v>435</v>
      </c>
      <c r="AS5" s="50"/>
      <c r="AT5" s="51"/>
    </row>
    <row r="6" spans="1:46" ht="15.6" x14ac:dyDescent="0.35">
      <c r="R6" s="39" t="s">
        <v>31</v>
      </c>
      <c r="S6" s="37" t="s">
        <v>33</v>
      </c>
      <c r="T6" s="37" t="s">
        <v>327</v>
      </c>
      <c r="U6" s="40" t="s">
        <v>330</v>
      </c>
      <c r="V6" s="39" t="s">
        <v>328</v>
      </c>
      <c r="W6" s="37" t="s">
        <v>329</v>
      </c>
      <c r="X6" s="40" t="s">
        <v>377</v>
      </c>
      <c r="Y6" s="39" t="s">
        <v>374</v>
      </c>
      <c r="Z6" s="37" t="s">
        <v>376</v>
      </c>
      <c r="AA6" s="37" t="s">
        <v>375</v>
      </c>
      <c r="AB6" s="46" t="s">
        <v>383</v>
      </c>
      <c r="AC6" s="46" t="s">
        <v>384</v>
      </c>
      <c r="AD6" s="48" t="s">
        <v>433</v>
      </c>
      <c r="AE6" s="39" t="s">
        <v>427</v>
      </c>
      <c r="AF6" s="37" t="s">
        <v>428</v>
      </c>
      <c r="AG6" s="46" t="s">
        <v>430</v>
      </c>
      <c r="AH6" s="46" t="s">
        <v>429</v>
      </c>
      <c r="AI6" s="48" t="s">
        <v>431</v>
      </c>
      <c r="AJ6" s="39" t="s">
        <v>382</v>
      </c>
      <c r="AK6" s="37" t="s">
        <v>378</v>
      </c>
      <c r="AL6" s="37" t="s">
        <v>385</v>
      </c>
      <c r="AM6" s="37" t="s">
        <v>386</v>
      </c>
      <c r="AN6" s="40" t="s">
        <v>432</v>
      </c>
      <c r="AO6" s="39" t="s">
        <v>434</v>
      </c>
      <c r="AP6" s="37" t="s">
        <v>437</v>
      </c>
      <c r="AQ6" s="40" t="s">
        <v>438</v>
      </c>
      <c r="AR6" s="39" t="s">
        <v>436</v>
      </c>
      <c r="AS6" s="37" t="s">
        <v>444</v>
      </c>
      <c r="AT6" s="40" t="s">
        <v>443</v>
      </c>
    </row>
    <row r="7" spans="1:46" x14ac:dyDescent="0.3">
      <c r="Q7">
        <v>0</v>
      </c>
      <c r="R7" s="39">
        <f t="shared" ref="R7:R70" si="0">VOUT</f>
        <v>20</v>
      </c>
      <c r="S7" s="37">
        <f t="shared" ref="S7:S38" si="1">Q7*$O$12</f>
        <v>0</v>
      </c>
      <c r="T7" s="37">
        <f t="shared" ref="T7:T70" si="2">VIN_var</f>
        <v>5</v>
      </c>
      <c r="U7" s="40">
        <f t="shared" ref="U7:U38" si="3">(R7*S7)/(T7*EFF_est)</f>
        <v>0</v>
      </c>
      <c r="V7" s="39">
        <f t="shared" ref="V7:V38" si="4">IF((S7*R7/T7)&lt;((T7*(1-(T7/R7)))/(2*Lm*Fsw)),1,2)</f>
        <v>1</v>
      </c>
      <c r="W7" s="37">
        <f t="shared" ref="W7:W38" si="5">CHOOSE(V7,SQRT((2*S7*Lm*Fsw*(R7-T7))/((T7)^2)),1-(T7/R7))</f>
        <v>0</v>
      </c>
      <c r="X7" s="40">
        <f t="shared" ref="X7:X38" si="6">CHOOSE(V7,(Lm*W7*Fsw)/(R7-T7),1-W7)</f>
        <v>0</v>
      </c>
      <c r="Y7" s="39">
        <f t="shared" ref="Y7:Y38" si="7">(T7*W7)/(Lm*Fsw)</f>
        <v>0</v>
      </c>
      <c r="Z7" s="37">
        <f>CHOOSE(V7,Y7,U7+(0.5*Y7))</f>
        <v>0</v>
      </c>
      <c r="AA7" s="37">
        <f>CHOOSE(V7,Z7*SQRT((W7+X7)/3),SQRT((U7^2)+((Y7^2)/12)))</f>
        <v>0</v>
      </c>
      <c r="AB7" s="37">
        <v>0</v>
      </c>
      <c r="AC7" s="37">
        <f t="shared" ref="AC7:AC38" si="8">(AA7^2)*Rdcr</f>
        <v>0</v>
      </c>
      <c r="AD7" s="40">
        <f>AB7+AC7</f>
        <v>0</v>
      </c>
      <c r="AE7" s="39">
        <f>U7*W7</f>
        <v>0</v>
      </c>
      <c r="AF7" s="37">
        <f>CHOOSE(V7,Z7*SQRT(W7/3),SQRT(W7*((Z7^2)+((Y7^2)/3)-(Z7*Y7))))</f>
        <v>0</v>
      </c>
      <c r="AG7" s="37">
        <f t="shared" ref="AG7:AG38" si="9">(AF7^2)*RDS_on</f>
        <v>0</v>
      </c>
      <c r="AH7" s="37">
        <f t="shared" ref="AH7:AH38" si="10">((R7*U7)/2)*Fsw*(tr_sw+tf_sw)</f>
        <v>0</v>
      </c>
      <c r="AI7" s="40">
        <f>AG7+AH7</f>
        <v>0</v>
      </c>
      <c r="AJ7" s="39">
        <f>X7*U7</f>
        <v>0</v>
      </c>
      <c r="AK7" s="37">
        <f t="shared" ref="AK7:AK38" si="11">CHOOSE(V7,Z7*SQRT(X7/3),SQRT(X7*((Z7^2)+((Y7^2)/3)-(Y7*Z7))))</f>
        <v>0</v>
      </c>
      <c r="AL7" s="37">
        <f t="shared" ref="AL7:AL38" si="12">S7*Vd_rect</f>
        <v>0</v>
      </c>
      <c r="AM7" s="37">
        <f t="shared" ref="AM7:AM38" si="13">CHOOSE(V7,(R7+Vd_rect)*Qrr*Fsw,(R7+Vd_rect)*Qrr*Fsw)</f>
        <v>4.5814800000000003E-2</v>
      </c>
      <c r="AN7" s="40">
        <f>AL7+AM7</f>
        <v>4.5814800000000003E-2</v>
      </c>
      <c r="AO7" s="39">
        <f t="shared" ref="AO7:AO38" si="14">(AF7^2)*R_cs</f>
        <v>0</v>
      </c>
      <c r="AP7" s="37">
        <f t="shared" ref="AP7:AP38" si="15">Qg_tot*Vcc*Fsw</f>
        <v>6.6521250000000009E-3</v>
      </c>
      <c r="AQ7" s="40">
        <f t="shared" ref="AQ7:AQ38" si="16">IQ*T7</f>
        <v>2.2499999999999998E-3</v>
      </c>
      <c r="AR7" s="39">
        <f>AO7+AN7+AI7+AD7+AP7+AQ7</f>
        <v>5.4716925000000007E-2</v>
      </c>
      <c r="AS7" s="37">
        <f>R7*S7</f>
        <v>0</v>
      </c>
      <c r="AT7" s="40">
        <f>(AS7/(AS7+AR7))*100</f>
        <v>0</v>
      </c>
    </row>
    <row r="8" spans="1:46" x14ac:dyDescent="0.3">
      <c r="M8">
        <f>Fsw</f>
        <v>219000</v>
      </c>
      <c r="Q8">
        <v>1</v>
      </c>
      <c r="R8" s="39">
        <f t="shared" si="0"/>
        <v>20</v>
      </c>
      <c r="S8" s="37">
        <f t="shared" si="1"/>
        <v>2.9166666666666668E-3</v>
      </c>
      <c r="T8" s="37">
        <f t="shared" si="2"/>
        <v>5</v>
      </c>
      <c r="U8" s="40">
        <f t="shared" si="3"/>
        <v>1.2962962962962963E-2</v>
      </c>
      <c r="V8" s="39">
        <f t="shared" si="4"/>
        <v>1</v>
      </c>
      <c r="W8" s="37">
        <f t="shared" si="5"/>
        <v>0.1072263960039691</v>
      </c>
      <c r="X8" s="40">
        <f t="shared" si="6"/>
        <v>2.3482580724869234E-2</v>
      </c>
      <c r="Y8" s="39">
        <f t="shared" si="7"/>
        <v>0.16320608219782209</v>
      </c>
      <c r="Z8" s="37">
        <f t="shared" ref="Z8:Z15" si="17">CHOOSE(V8,Y8,U8+(0.5*Y8))</f>
        <v>0.16320608219782209</v>
      </c>
      <c r="AA8" s="37">
        <f t="shared" ref="AA8:AA15" si="18">CHOOSE(V8,Z8*SQRT((W8+X8)/3),SQRT((U8^2)+((Y8^2)/12)))</f>
        <v>3.4066570850248688E-2</v>
      </c>
      <c r="AB8" s="37">
        <v>0</v>
      </c>
      <c r="AC8" s="37">
        <f t="shared" si="8"/>
        <v>8.7039843712126021E-5</v>
      </c>
      <c r="AD8" s="40">
        <f t="shared" ref="AD8:AD71" si="19">AB8+AC8</f>
        <v>8.7039843712126021E-5</v>
      </c>
      <c r="AE8" s="39">
        <f>U8*W8</f>
        <v>1.3899718000514513E-3</v>
      </c>
      <c r="AF8" s="37">
        <f t="shared" ref="AF8:AF71" si="20">CHOOSE(V8,Z8*SQRT(W8/3),SQRT(W8*((Z8^2)+((Y8^2)/3)-(Z8*Y8))))</f>
        <v>3.085507218412065E-2</v>
      </c>
      <c r="AG8" s="37">
        <f t="shared" si="9"/>
        <v>4.6649738494877501E-6</v>
      </c>
      <c r="AH8" s="37">
        <f t="shared" si="10"/>
        <v>4.2514574417141154E-4</v>
      </c>
      <c r="AI8" s="40">
        <f t="shared" ref="AI8:AI71" si="21">AG8+AH8</f>
        <v>4.2981071802089928E-4</v>
      </c>
      <c r="AJ8" s="39">
        <f t="shared" ref="AJ8:AJ71" si="22">X8*U8</f>
        <v>3.0440382421126783E-4</v>
      </c>
      <c r="AK8" s="37">
        <f t="shared" si="11"/>
        <v>1.4439382604797124E-2</v>
      </c>
      <c r="AL8" s="37">
        <f t="shared" si="12"/>
        <v>2.6833333333333336E-3</v>
      </c>
      <c r="AM8" s="37">
        <f t="shared" si="13"/>
        <v>4.5814800000000003E-2</v>
      </c>
      <c r="AN8" s="40">
        <f t="shared" ref="AN8:AN71" si="23">AL8+AM8</f>
        <v>4.8498133333333339E-2</v>
      </c>
      <c r="AO8" s="39">
        <f t="shared" si="14"/>
        <v>3.8081419179491834E-5</v>
      </c>
      <c r="AP8" s="37">
        <f t="shared" si="15"/>
        <v>6.6521250000000009E-3</v>
      </c>
      <c r="AQ8" s="40">
        <f t="shared" si="16"/>
        <v>2.2499999999999998E-3</v>
      </c>
      <c r="AR8" s="39">
        <f t="shared" ref="AR8:AR71" si="24">AO8+AN8+AI8+AD8+AP8+AQ8</f>
        <v>5.7955190314245862E-2</v>
      </c>
      <c r="AS8" s="37">
        <f t="shared" ref="AS8:AS71" si="25">R8*S8</f>
        <v>5.8333333333333334E-2</v>
      </c>
      <c r="AT8" s="40">
        <f t="shared" ref="AT8:AT71" si="26">(AS8/(AS8+AR8))*100</f>
        <v>50.162588279232722</v>
      </c>
    </row>
    <row r="9" spans="1:46" x14ac:dyDescent="0.3">
      <c r="N9" s="37" t="s">
        <v>233</v>
      </c>
      <c r="O9" s="37">
        <f>VIN_var</f>
        <v>5</v>
      </c>
      <c r="P9" t="s">
        <v>10</v>
      </c>
      <c r="Q9">
        <v>2</v>
      </c>
      <c r="R9" s="39">
        <f t="shared" si="0"/>
        <v>20</v>
      </c>
      <c r="S9" s="37">
        <f t="shared" si="1"/>
        <v>5.8333333333333336E-3</v>
      </c>
      <c r="T9" s="37">
        <f t="shared" si="2"/>
        <v>5</v>
      </c>
      <c r="U9" s="40">
        <f t="shared" si="3"/>
        <v>2.5925925925925925E-2</v>
      </c>
      <c r="V9" s="39">
        <f t="shared" si="4"/>
        <v>1</v>
      </c>
      <c r="W9" s="37">
        <f t="shared" si="5"/>
        <v>0.15164102347320135</v>
      </c>
      <c r="X9" s="40">
        <f t="shared" si="6"/>
        <v>3.3209384140631092E-2</v>
      </c>
      <c r="Y9" s="39">
        <f t="shared" si="7"/>
        <v>0.23080825490593815</v>
      </c>
      <c r="Z9" s="37">
        <f t="shared" si="17"/>
        <v>0.23080825490593815</v>
      </c>
      <c r="AA9" s="37">
        <f t="shared" si="18"/>
        <v>5.729291461592162E-2</v>
      </c>
      <c r="AB9" s="37">
        <v>0</v>
      </c>
      <c r="AC9" s="37">
        <f t="shared" si="8"/>
        <v>2.4618585488904638E-4</v>
      </c>
      <c r="AD9" s="40">
        <f t="shared" si="19"/>
        <v>2.4618585488904638E-4</v>
      </c>
      <c r="AE9" s="39">
        <f t="shared" ref="AE9:AE72" si="27">U9*W9</f>
        <v>3.931433941897813E-3</v>
      </c>
      <c r="AF9" s="37">
        <f t="shared" si="20"/>
        <v>5.189183918404331E-2</v>
      </c>
      <c r="AG9" s="37">
        <f t="shared" si="9"/>
        <v>1.3194538572122805E-5</v>
      </c>
      <c r="AH9" s="37">
        <f t="shared" si="10"/>
        <v>8.5029148834282308E-4</v>
      </c>
      <c r="AI9" s="40">
        <f t="shared" si="21"/>
        <v>8.6348602691494586E-4</v>
      </c>
      <c r="AJ9" s="39">
        <f t="shared" si="22"/>
        <v>8.6098403327562083E-4</v>
      </c>
      <c r="AK9" s="37">
        <f t="shared" si="11"/>
        <v>2.4284050141701485E-2</v>
      </c>
      <c r="AL9" s="37">
        <f t="shared" si="12"/>
        <v>5.3666666666666672E-3</v>
      </c>
      <c r="AM9" s="37">
        <f t="shared" si="13"/>
        <v>4.5814800000000003E-2</v>
      </c>
      <c r="AN9" s="40">
        <f t="shared" si="23"/>
        <v>5.1181466666666668E-2</v>
      </c>
      <c r="AO9" s="39">
        <f t="shared" si="14"/>
        <v>1.0771051895610451E-4</v>
      </c>
      <c r="AP9" s="37">
        <f t="shared" si="15"/>
        <v>6.6521250000000009E-3</v>
      </c>
      <c r="AQ9" s="40">
        <f t="shared" si="16"/>
        <v>2.2499999999999998E-3</v>
      </c>
      <c r="AR9" s="39">
        <f t="shared" si="24"/>
        <v>6.1300974067426767E-2</v>
      </c>
      <c r="AS9" s="37">
        <f t="shared" si="25"/>
        <v>0.11666666666666667</v>
      </c>
      <c r="AT9" s="40">
        <f t="shared" si="26"/>
        <v>65.554988640312246</v>
      </c>
    </row>
    <row r="10" spans="1:46" x14ac:dyDescent="0.3">
      <c r="N10" s="37"/>
      <c r="O10" s="37"/>
      <c r="Q10">
        <v>3</v>
      </c>
      <c r="R10" s="39">
        <f t="shared" si="0"/>
        <v>20</v>
      </c>
      <c r="S10" s="37">
        <f t="shared" si="1"/>
        <v>8.7500000000000008E-3</v>
      </c>
      <c r="T10" s="37">
        <f t="shared" si="2"/>
        <v>5</v>
      </c>
      <c r="U10" s="40">
        <f t="shared" si="3"/>
        <v>3.888888888888889E-2</v>
      </c>
      <c r="V10" s="39">
        <f t="shared" si="4"/>
        <v>1</v>
      </c>
      <c r="W10" s="37">
        <f t="shared" si="5"/>
        <v>0.18572156579137492</v>
      </c>
      <c r="X10" s="40">
        <f t="shared" si="6"/>
        <v>4.0673022908311103E-2</v>
      </c>
      <c r="Y10" s="39">
        <f t="shared" si="7"/>
        <v>0.28268122647089028</v>
      </c>
      <c r="Z10" s="37">
        <f t="shared" si="17"/>
        <v>0.28268122647089028</v>
      </c>
      <c r="AA10" s="37">
        <f t="shared" si="18"/>
        <v>7.7654988659391785E-2</v>
      </c>
      <c r="AB10" s="37">
        <v>0</v>
      </c>
      <c r="AC10" s="37">
        <f t="shared" si="8"/>
        <v>4.5227229477677003E-4</v>
      </c>
      <c r="AD10" s="40">
        <f t="shared" si="19"/>
        <v>4.5227229477677003E-4</v>
      </c>
      <c r="AE10" s="39">
        <f t="shared" si="27"/>
        <v>7.2225053363312464E-3</v>
      </c>
      <c r="AF10" s="37">
        <f t="shared" si="20"/>
        <v>7.0334354786552075E-2</v>
      </c>
      <c r="AG10" s="37">
        <f t="shared" si="9"/>
        <v>2.4239915169878847E-5</v>
      </c>
      <c r="AH10" s="37">
        <f t="shared" si="10"/>
        <v>1.2754372325142348E-3</v>
      </c>
      <c r="AI10" s="40">
        <f t="shared" si="21"/>
        <v>1.2996771476841136E-3</v>
      </c>
      <c r="AJ10" s="39">
        <f t="shared" si="22"/>
        <v>1.581728668656543E-3</v>
      </c>
      <c r="AK10" s="37">
        <f t="shared" si="11"/>
        <v>3.2914674545705097E-2</v>
      </c>
      <c r="AL10" s="37">
        <f t="shared" si="12"/>
        <v>8.0500000000000016E-3</v>
      </c>
      <c r="AM10" s="37">
        <f t="shared" si="13"/>
        <v>4.5814800000000003E-2</v>
      </c>
      <c r="AN10" s="40">
        <f t="shared" si="23"/>
        <v>5.3864800000000004E-2</v>
      </c>
      <c r="AO10" s="39">
        <f t="shared" si="14"/>
        <v>1.9787685852962322E-4</v>
      </c>
      <c r="AP10" s="37">
        <f t="shared" si="15"/>
        <v>6.6521250000000009E-3</v>
      </c>
      <c r="AQ10" s="40">
        <f t="shared" si="16"/>
        <v>2.2499999999999998E-3</v>
      </c>
      <c r="AR10" s="39">
        <f t="shared" si="24"/>
        <v>6.4716751300990513E-2</v>
      </c>
      <c r="AS10" s="37">
        <f t="shared" si="25"/>
        <v>0.17500000000000002</v>
      </c>
      <c r="AT10" s="40">
        <f t="shared" si="26"/>
        <v>73.002824813134751</v>
      </c>
    </row>
    <row r="11" spans="1:46" x14ac:dyDescent="0.3">
      <c r="N11" s="37" t="s">
        <v>325</v>
      </c>
      <c r="O11" s="37">
        <v>150</v>
      </c>
      <c r="Q11">
        <v>4</v>
      </c>
      <c r="R11" s="39">
        <f t="shared" si="0"/>
        <v>20</v>
      </c>
      <c r="S11" s="37">
        <f t="shared" si="1"/>
        <v>1.1666666666666667E-2</v>
      </c>
      <c r="T11" s="37">
        <f t="shared" si="2"/>
        <v>5</v>
      </c>
      <c r="U11" s="40">
        <f t="shared" si="3"/>
        <v>5.185185185185185E-2</v>
      </c>
      <c r="V11" s="39">
        <f t="shared" si="4"/>
        <v>1</v>
      </c>
      <c r="W11" s="37">
        <f t="shared" si="5"/>
        <v>0.21445279200793821</v>
      </c>
      <c r="X11" s="40">
        <f t="shared" si="6"/>
        <v>4.6965161449738467E-2</v>
      </c>
      <c r="Y11" s="39">
        <f t="shared" si="7"/>
        <v>0.32641216439564419</v>
      </c>
      <c r="Z11" s="37">
        <f t="shared" si="17"/>
        <v>0.32641216439564419</v>
      </c>
      <c r="AA11" s="37">
        <f t="shared" si="18"/>
        <v>9.6354813039931278E-2</v>
      </c>
      <c r="AB11" s="37">
        <v>0</v>
      </c>
      <c r="AC11" s="37">
        <f t="shared" si="8"/>
        <v>6.9631874969700827E-4</v>
      </c>
      <c r="AD11" s="40">
        <f t="shared" si="19"/>
        <v>6.9631874969700827E-4</v>
      </c>
      <c r="AE11" s="39">
        <f t="shared" si="27"/>
        <v>1.1119774400411611E-2</v>
      </c>
      <c r="AF11" s="37">
        <f t="shared" si="20"/>
        <v>8.7271323101568515E-2</v>
      </c>
      <c r="AG11" s="37">
        <f t="shared" si="9"/>
        <v>3.7319790795902001E-5</v>
      </c>
      <c r="AH11" s="37">
        <f t="shared" si="10"/>
        <v>1.7005829766856462E-3</v>
      </c>
      <c r="AI11" s="40">
        <f t="shared" si="21"/>
        <v>1.7379027674815481E-3</v>
      </c>
      <c r="AJ11" s="39">
        <f t="shared" si="22"/>
        <v>2.4352305936901427E-3</v>
      </c>
      <c r="AK11" s="37">
        <f t="shared" si="11"/>
        <v>4.0840741423996477E-2</v>
      </c>
      <c r="AL11" s="37">
        <f t="shared" si="12"/>
        <v>1.0733333333333334E-2</v>
      </c>
      <c r="AM11" s="37">
        <f t="shared" si="13"/>
        <v>4.5814800000000003E-2</v>
      </c>
      <c r="AN11" s="40">
        <f t="shared" si="23"/>
        <v>5.6548133333333334E-2</v>
      </c>
      <c r="AO11" s="39">
        <f t="shared" si="14"/>
        <v>3.0465135343593467E-4</v>
      </c>
      <c r="AP11" s="37">
        <f t="shared" si="15"/>
        <v>6.6521250000000009E-3</v>
      </c>
      <c r="AQ11" s="40">
        <f t="shared" si="16"/>
        <v>2.2499999999999998E-3</v>
      </c>
      <c r="AR11" s="39">
        <f t="shared" si="24"/>
        <v>6.8189131203947831E-2</v>
      </c>
      <c r="AS11" s="37">
        <f t="shared" si="25"/>
        <v>0.23333333333333334</v>
      </c>
      <c r="AT11" s="40">
        <f t="shared" si="26"/>
        <v>77.385057757274765</v>
      </c>
    </row>
    <row r="12" spans="1:46" x14ac:dyDescent="0.3">
      <c r="N12" s="37" t="s">
        <v>326</v>
      </c>
      <c r="O12" s="37">
        <f>IOUT/(O11)</f>
        <v>2.9166666666666668E-3</v>
      </c>
      <c r="Q12">
        <v>5</v>
      </c>
      <c r="R12" s="39">
        <f t="shared" si="0"/>
        <v>20</v>
      </c>
      <c r="S12" s="37">
        <f t="shared" si="1"/>
        <v>1.4583333333333334E-2</v>
      </c>
      <c r="T12" s="37">
        <f t="shared" si="2"/>
        <v>5</v>
      </c>
      <c r="U12" s="40">
        <f t="shared" si="3"/>
        <v>6.4814814814814825E-2</v>
      </c>
      <c r="V12" s="39">
        <f t="shared" si="4"/>
        <v>1</v>
      </c>
      <c r="W12" s="37">
        <f t="shared" si="5"/>
        <v>0.23976551044718669</v>
      </c>
      <c r="X12" s="40">
        <f t="shared" si="6"/>
        <v>5.2508646787933884E-2</v>
      </c>
      <c r="Y12" s="39">
        <f t="shared" si="7"/>
        <v>0.36493989413574845</v>
      </c>
      <c r="Z12" s="37">
        <f t="shared" si="17"/>
        <v>0.36493989413574845</v>
      </c>
      <c r="AA12" s="37">
        <f t="shared" si="18"/>
        <v>0.11390844489948096</v>
      </c>
      <c r="AB12" s="37">
        <v>0</v>
      </c>
      <c r="AC12" s="37">
        <f t="shared" si="8"/>
        <v>9.7313503645635679E-4</v>
      </c>
      <c r="AD12" s="40">
        <f t="shared" si="19"/>
        <v>9.7313503645635679E-4</v>
      </c>
      <c r="AE12" s="39">
        <f t="shared" si="27"/>
        <v>1.5540357158613955E-2</v>
      </c>
      <c r="AF12" s="37">
        <f t="shared" si="20"/>
        <v>0.10317015191239177</v>
      </c>
      <c r="AG12" s="37">
        <f t="shared" si="9"/>
        <v>5.2155993203567388E-5</v>
      </c>
      <c r="AH12" s="37">
        <f t="shared" si="10"/>
        <v>2.1257287208570584E-3</v>
      </c>
      <c r="AI12" s="40">
        <f t="shared" si="21"/>
        <v>2.1778847140606259E-3</v>
      </c>
      <c r="AJ12" s="39">
        <f t="shared" si="22"/>
        <v>3.4033382177364561E-3</v>
      </c>
      <c r="AK12" s="37">
        <f t="shared" si="11"/>
        <v>4.8280985634016352E-2</v>
      </c>
      <c r="AL12" s="37">
        <f t="shared" si="12"/>
        <v>1.3416666666666667E-2</v>
      </c>
      <c r="AM12" s="37">
        <f t="shared" si="13"/>
        <v>4.5814800000000003E-2</v>
      </c>
      <c r="AN12" s="40">
        <f t="shared" si="23"/>
        <v>5.923146666666667E-2</v>
      </c>
      <c r="AO12" s="39">
        <f t="shared" si="14"/>
        <v>4.2576320982503984E-4</v>
      </c>
      <c r="AP12" s="37">
        <f t="shared" si="15"/>
        <v>6.6521250000000009E-3</v>
      </c>
      <c r="AQ12" s="40">
        <f t="shared" si="16"/>
        <v>2.2499999999999998E-3</v>
      </c>
      <c r="AR12" s="39">
        <f t="shared" si="24"/>
        <v>7.1710374627008688E-2</v>
      </c>
      <c r="AS12" s="37">
        <f t="shared" si="25"/>
        <v>0.29166666666666669</v>
      </c>
      <c r="AT12" s="40">
        <f t="shared" si="26"/>
        <v>80.265573638964838</v>
      </c>
    </row>
    <row r="13" spans="1:46" x14ac:dyDescent="0.3">
      <c r="Q13">
        <v>6</v>
      </c>
      <c r="R13" s="39">
        <f t="shared" si="0"/>
        <v>20</v>
      </c>
      <c r="S13" s="37">
        <f t="shared" si="1"/>
        <v>1.7500000000000002E-2</v>
      </c>
      <c r="T13" s="37">
        <f t="shared" si="2"/>
        <v>5</v>
      </c>
      <c r="U13" s="40">
        <f t="shared" si="3"/>
        <v>7.7777777777777779E-2</v>
      </c>
      <c r="V13" s="39">
        <f t="shared" si="4"/>
        <v>1</v>
      </c>
      <c r="W13" s="37">
        <f t="shared" si="5"/>
        <v>0.26264995716732947</v>
      </c>
      <c r="X13" s="40">
        <f t="shared" si="6"/>
        <v>5.7520340619645151E-2</v>
      </c>
      <c r="Y13" s="39">
        <f t="shared" si="7"/>
        <v>0.39977162430339347</v>
      </c>
      <c r="Z13" s="37">
        <f t="shared" si="17"/>
        <v>0.39977162430339347</v>
      </c>
      <c r="AA13" s="37">
        <f t="shared" si="18"/>
        <v>0.13059960318050085</v>
      </c>
      <c r="AB13" s="37">
        <v>0</v>
      </c>
      <c r="AC13" s="37">
        <f t="shared" si="8"/>
        <v>1.2792192263178215E-3</v>
      </c>
      <c r="AD13" s="40">
        <f t="shared" si="19"/>
        <v>1.2792192263178215E-3</v>
      </c>
      <c r="AE13" s="39">
        <f t="shared" si="27"/>
        <v>2.0428330001903403E-2</v>
      </c>
      <c r="AF13" s="37">
        <f t="shared" si="20"/>
        <v>0.11828781361838916</v>
      </c>
      <c r="AG13" s="37">
        <f t="shared" si="9"/>
        <v>6.8560833568032003E-5</v>
      </c>
      <c r="AH13" s="37">
        <f t="shared" si="10"/>
        <v>2.5508744650284696E-3</v>
      </c>
      <c r="AI13" s="40">
        <f t="shared" si="21"/>
        <v>2.6194352985965015E-3</v>
      </c>
      <c r="AJ13" s="39">
        <f t="shared" si="22"/>
        <v>4.4738042704168448E-3</v>
      </c>
      <c r="AK13" s="37">
        <f t="shared" si="11"/>
        <v>5.5355663669452208E-2</v>
      </c>
      <c r="AL13" s="37">
        <f t="shared" si="12"/>
        <v>1.6100000000000003E-2</v>
      </c>
      <c r="AM13" s="37">
        <f t="shared" si="13"/>
        <v>4.5814800000000003E-2</v>
      </c>
      <c r="AN13" s="40">
        <f t="shared" si="23"/>
        <v>6.1914800000000006E-2</v>
      </c>
      <c r="AO13" s="39">
        <f t="shared" si="14"/>
        <v>5.5968027402475092E-4</v>
      </c>
      <c r="AP13" s="37">
        <f t="shared" si="15"/>
        <v>6.6521250000000009E-3</v>
      </c>
      <c r="AQ13" s="40">
        <f t="shared" si="16"/>
        <v>2.2499999999999998E-3</v>
      </c>
      <c r="AR13" s="39">
        <f t="shared" si="24"/>
        <v>7.5275259798939079E-2</v>
      </c>
      <c r="AS13" s="37">
        <f t="shared" si="25"/>
        <v>0.35000000000000003</v>
      </c>
      <c r="AT13" s="40">
        <f t="shared" si="26"/>
        <v>82.299638160346404</v>
      </c>
    </row>
    <row r="14" spans="1:46" x14ac:dyDescent="0.3">
      <c r="Q14">
        <v>7</v>
      </c>
      <c r="R14" s="39">
        <f t="shared" si="0"/>
        <v>20</v>
      </c>
      <c r="S14" s="37">
        <f t="shared" si="1"/>
        <v>2.0416666666666666E-2</v>
      </c>
      <c r="T14" s="37">
        <f t="shared" si="2"/>
        <v>5</v>
      </c>
      <c r="U14" s="40">
        <f t="shared" si="3"/>
        <v>9.0740740740740733E-2</v>
      </c>
      <c r="V14" s="39">
        <f t="shared" si="4"/>
        <v>1</v>
      </c>
      <c r="W14" s="37">
        <f t="shared" si="5"/>
        <v>0.2836943778082322</v>
      </c>
      <c r="X14" s="40">
        <f t="shared" si="6"/>
        <v>6.2129068740002839E-2</v>
      </c>
      <c r="Y14" s="39">
        <f t="shared" si="7"/>
        <v>0.43180270594860309</v>
      </c>
      <c r="Z14" s="37">
        <f t="shared" si="17"/>
        <v>0.43180270594860309</v>
      </c>
      <c r="AA14" s="37">
        <f t="shared" si="18"/>
        <v>0.14660606919285438</v>
      </c>
      <c r="AB14" s="37">
        <v>0</v>
      </c>
      <c r="AC14" s="37">
        <f t="shared" si="8"/>
        <v>1.6120004643135003E-3</v>
      </c>
      <c r="AD14" s="40">
        <f t="shared" si="19"/>
        <v>1.6120004643135003E-3</v>
      </c>
      <c r="AE14" s="39">
        <f t="shared" si="27"/>
        <v>2.5742637986302549E-2</v>
      </c>
      <c r="AF14" s="37">
        <f t="shared" si="20"/>
        <v>0.13278532986077424</v>
      </c>
      <c r="AG14" s="37">
        <f t="shared" si="9"/>
        <v>8.6396524748549671E-5</v>
      </c>
      <c r="AH14" s="37">
        <f t="shared" si="10"/>
        <v>2.9760202091998812E-3</v>
      </c>
      <c r="AI14" s="40">
        <f t="shared" si="21"/>
        <v>3.0624167339484308E-3</v>
      </c>
      <c r="AJ14" s="39">
        <f t="shared" si="22"/>
        <v>5.6376377190002569E-3</v>
      </c>
      <c r="AK14" s="37">
        <f t="shared" si="11"/>
        <v>6.2140129529518869E-2</v>
      </c>
      <c r="AL14" s="37">
        <f t="shared" si="12"/>
        <v>1.8783333333333332E-2</v>
      </c>
      <c r="AM14" s="37">
        <f t="shared" si="13"/>
        <v>4.5814800000000003E-2</v>
      </c>
      <c r="AN14" s="40">
        <f t="shared" si="23"/>
        <v>6.4598133333333335E-2</v>
      </c>
      <c r="AO14" s="39">
        <f t="shared" si="14"/>
        <v>7.0527775304938492E-4</v>
      </c>
      <c r="AP14" s="37">
        <f t="shared" si="15"/>
        <v>6.6521250000000009E-3</v>
      </c>
      <c r="AQ14" s="40">
        <f t="shared" si="16"/>
        <v>2.2499999999999998E-3</v>
      </c>
      <c r="AR14" s="39">
        <f t="shared" si="24"/>
        <v>7.8879953284644658E-2</v>
      </c>
      <c r="AS14" s="37">
        <f t="shared" si="25"/>
        <v>0.40833333333333333</v>
      </c>
      <c r="AT14" s="40">
        <f t="shared" si="26"/>
        <v>83.809974922442109</v>
      </c>
    </row>
    <row r="15" spans="1:46" x14ac:dyDescent="0.3">
      <c r="O15">
        <f>0.205*2.5/(Lm*Fsw)</f>
        <v>0.15601217656012176</v>
      </c>
      <c r="Q15">
        <v>8</v>
      </c>
      <c r="R15" s="39">
        <f t="shared" si="0"/>
        <v>20</v>
      </c>
      <c r="S15" s="37">
        <f t="shared" si="1"/>
        <v>2.3333333333333334E-2</v>
      </c>
      <c r="T15" s="37">
        <f t="shared" si="2"/>
        <v>5</v>
      </c>
      <c r="U15" s="40">
        <f t="shared" si="3"/>
        <v>0.1037037037037037</v>
      </c>
      <c r="V15" s="39">
        <f t="shared" si="4"/>
        <v>1</v>
      </c>
      <c r="W15" s="37">
        <f t="shared" si="5"/>
        <v>0.30328204694640271</v>
      </c>
      <c r="X15" s="40">
        <f t="shared" si="6"/>
        <v>6.6418768281262183E-2</v>
      </c>
      <c r="Y15" s="39">
        <f t="shared" si="7"/>
        <v>0.4616165098118763</v>
      </c>
      <c r="Z15" s="37">
        <f t="shared" si="17"/>
        <v>0.4616165098118763</v>
      </c>
      <c r="AA15" s="37">
        <f t="shared" si="18"/>
        <v>0.16204883375544013</v>
      </c>
      <c r="AB15" s="37">
        <v>0</v>
      </c>
      <c r="AC15" s="37">
        <f t="shared" si="8"/>
        <v>1.9694868391123702E-3</v>
      </c>
      <c r="AD15" s="40">
        <f t="shared" si="19"/>
        <v>1.9694868391123702E-3</v>
      </c>
      <c r="AE15" s="39">
        <f t="shared" si="27"/>
        <v>3.1451471535182504E-2</v>
      </c>
      <c r="AF15" s="37">
        <f t="shared" si="20"/>
        <v>0.14677228550111529</v>
      </c>
      <c r="AG15" s="37">
        <f t="shared" si="9"/>
        <v>1.0555630857698241E-4</v>
      </c>
      <c r="AH15" s="37">
        <f t="shared" si="10"/>
        <v>3.4011659533712923E-3</v>
      </c>
      <c r="AI15" s="40">
        <f t="shared" si="21"/>
        <v>3.5067222619482746E-3</v>
      </c>
      <c r="AJ15" s="39">
        <f t="shared" si="22"/>
        <v>6.8878722662049667E-3</v>
      </c>
      <c r="AK15" s="37">
        <f t="shared" si="11"/>
        <v>6.8685666119485053E-2</v>
      </c>
      <c r="AL15" s="37">
        <f t="shared" si="12"/>
        <v>2.1466666666666669E-2</v>
      </c>
      <c r="AM15" s="37">
        <f t="shared" si="13"/>
        <v>4.5814800000000003E-2</v>
      </c>
      <c r="AN15" s="40">
        <f t="shared" si="23"/>
        <v>6.7281466666666678E-2</v>
      </c>
      <c r="AO15" s="39">
        <f t="shared" si="14"/>
        <v>8.6168415164883589E-4</v>
      </c>
      <c r="AP15" s="37">
        <f t="shared" si="15"/>
        <v>6.6521250000000009E-3</v>
      </c>
      <c r="AQ15" s="40">
        <f t="shared" si="16"/>
        <v>2.2499999999999998E-3</v>
      </c>
      <c r="AR15" s="39">
        <f t="shared" si="24"/>
        <v>8.2521484919376151E-2</v>
      </c>
      <c r="AS15" s="37">
        <f t="shared" si="25"/>
        <v>0.46666666666666667</v>
      </c>
      <c r="AT15" s="40">
        <f t="shared" si="26"/>
        <v>84.973913825151541</v>
      </c>
    </row>
    <row r="16" spans="1:46" x14ac:dyDescent="0.3">
      <c r="Q16">
        <v>9</v>
      </c>
      <c r="R16" s="39">
        <f t="shared" si="0"/>
        <v>20</v>
      </c>
      <c r="S16" s="37">
        <f t="shared" si="1"/>
        <v>2.6250000000000002E-2</v>
      </c>
      <c r="T16" s="37">
        <f t="shared" si="2"/>
        <v>5</v>
      </c>
      <c r="U16" s="40">
        <f t="shared" si="3"/>
        <v>0.11666666666666667</v>
      </c>
      <c r="V16" s="39">
        <f t="shared" si="4"/>
        <v>1</v>
      </c>
      <c r="W16" s="37">
        <f t="shared" si="5"/>
        <v>0.32167918801190731</v>
      </c>
      <c r="X16" s="40">
        <f t="shared" si="6"/>
        <v>7.0447742174607697E-2</v>
      </c>
      <c r="Y16" s="39">
        <f t="shared" si="7"/>
        <v>0.48961824659346631</v>
      </c>
      <c r="Z16" s="37">
        <f t="shared" ref="Z16:Z79" si="28">CHOOSE(V16,Y16,U16+(0.5*Y16))</f>
        <v>0.48961824659346631</v>
      </c>
      <c r="AA16" s="37">
        <f t="shared" ref="AA16:AA79" si="29">CHOOSE(V16,Z16*SQRT((W16+X16)/3),SQRT((U16^2)+((Y16^2)/12)))</f>
        <v>0.17701509465682683</v>
      </c>
      <c r="AB16" s="37">
        <v>0</v>
      </c>
      <c r="AC16" s="37">
        <f t="shared" si="8"/>
        <v>2.3500757802274019E-3</v>
      </c>
      <c r="AD16" s="40">
        <f t="shared" si="19"/>
        <v>2.3500757802274019E-3</v>
      </c>
      <c r="AE16" s="39">
        <f t="shared" si="27"/>
        <v>3.7529238601389188E-2</v>
      </c>
      <c r="AF16" s="37">
        <f t="shared" si="20"/>
        <v>0.16032765808230653</v>
      </c>
      <c r="AG16" s="37">
        <f t="shared" si="9"/>
        <v>1.2595429393616928E-4</v>
      </c>
      <c r="AH16" s="37">
        <f t="shared" si="10"/>
        <v>3.8263116975427048E-3</v>
      </c>
      <c r="AI16" s="40">
        <f t="shared" si="21"/>
        <v>3.9522659914788738E-3</v>
      </c>
      <c r="AJ16" s="39">
        <f t="shared" si="22"/>
        <v>8.2189032537042309E-3</v>
      </c>
      <c r="AK16" s="37">
        <f t="shared" si="11"/>
        <v>7.5029232904304577E-2</v>
      </c>
      <c r="AL16" s="37">
        <f t="shared" si="12"/>
        <v>2.4150000000000005E-2</v>
      </c>
      <c r="AM16" s="37">
        <f t="shared" si="13"/>
        <v>4.5814800000000003E-2</v>
      </c>
      <c r="AN16" s="40">
        <f t="shared" si="23"/>
        <v>6.9964800000000008E-2</v>
      </c>
      <c r="AO16" s="39">
        <f t="shared" si="14"/>
        <v>1.0281983178462798E-3</v>
      </c>
      <c r="AP16" s="37">
        <f t="shared" si="15"/>
        <v>6.6521250000000009E-3</v>
      </c>
      <c r="AQ16" s="40">
        <f t="shared" si="16"/>
        <v>2.2499999999999998E-3</v>
      </c>
      <c r="AR16" s="39">
        <f t="shared" si="24"/>
        <v>8.6197465089552561E-2</v>
      </c>
      <c r="AS16" s="37">
        <f t="shared" si="25"/>
        <v>0.52500000000000002</v>
      </c>
      <c r="AT16" s="40">
        <f t="shared" si="26"/>
        <v>85.896953110412042</v>
      </c>
    </row>
    <row r="17" spans="17:46" x14ac:dyDescent="0.3">
      <c r="Q17">
        <v>10</v>
      </c>
      <c r="R17" s="39">
        <f t="shared" si="0"/>
        <v>20</v>
      </c>
      <c r="S17" s="37">
        <f t="shared" si="1"/>
        <v>2.9166666666666667E-2</v>
      </c>
      <c r="T17" s="37">
        <f t="shared" si="2"/>
        <v>5</v>
      </c>
      <c r="U17" s="40">
        <f t="shared" si="3"/>
        <v>0.12962962962962965</v>
      </c>
      <c r="V17" s="39">
        <f t="shared" si="4"/>
        <v>1</v>
      </c>
      <c r="W17" s="37">
        <f t="shared" si="5"/>
        <v>0.33907963666371943</v>
      </c>
      <c r="X17" s="40">
        <f t="shared" si="6"/>
        <v>7.4258440429354547E-2</v>
      </c>
      <c r="Y17" s="39">
        <f t="shared" si="7"/>
        <v>0.51610294773777698</v>
      </c>
      <c r="Z17" s="37">
        <f t="shared" si="28"/>
        <v>0.51610294773777698</v>
      </c>
      <c r="AA17" s="37">
        <f t="shared" si="29"/>
        <v>0.19157040596619757</v>
      </c>
      <c r="AB17" s="37">
        <v>0</v>
      </c>
      <c r="AC17" s="37">
        <f t="shared" si="8"/>
        <v>2.7524415331540309E-3</v>
      </c>
      <c r="AD17" s="40">
        <f t="shared" si="19"/>
        <v>2.7524415331540309E-3</v>
      </c>
      <c r="AE17" s="39">
        <f t="shared" si="27"/>
        <v>4.3954767715667344E-2</v>
      </c>
      <c r="AF17" s="37">
        <f t="shared" si="20"/>
        <v>0.17351082180862282</v>
      </c>
      <c r="AG17" s="37">
        <f t="shared" si="9"/>
        <v>1.4751942589504794E-4</v>
      </c>
      <c r="AH17" s="37">
        <f t="shared" si="10"/>
        <v>4.2514574417141168E-3</v>
      </c>
      <c r="AI17" s="40">
        <f t="shared" si="21"/>
        <v>4.3989768676091648E-3</v>
      </c>
      <c r="AJ17" s="39">
        <f t="shared" si="22"/>
        <v>9.6260941297311459E-3</v>
      </c>
      <c r="AK17" s="37">
        <f t="shared" si="11"/>
        <v>8.1198615489120871E-2</v>
      </c>
      <c r="AL17" s="37">
        <f t="shared" si="12"/>
        <v>2.6833333333333334E-2</v>
      </c>
      <c r="AM17" s="37">
        <f t="shared" si="13"/>
        <v>4.5814800000000003E-2</v>
      </c>
      <c r="AN17" s="40">
        <f t="shared" si="23"/>
        <v>7.2648133333333337E-2</v>
      </c>
      <c r="AO17" s="39">
        <f t="shared" si="14"/>
        <v>1.2042402113881464E-3</v>
      </c>
      <c r="AP17" s="37">
        <f t="shared" si="15"/>
        <v>6.6521250000000009E-3</v>
      </c>
      <c r="AQ17" s="40">
        <f t="shared" si="16"/>
        <v>2.2499999999999998E-3</v>
      </c>
      <c r="AR17" s="39">
        <f t="shared" si="24"/>
        <v>8.9905916945484679E-2</v>
      </c>
      <c r="AS17" s="37">
        <f t="shared" si="25"/>
        <v>0.58333333333333337</v>
      </c>
      <c r="AT17" s="40">
        <f t="shared" si="26"/>
        <v>86.645770146608257</v>
      </c>
    </row>
    <row r="18" spans="17:46" x14ac:dyDescent="0.3">
      <c r="Q18">
        <v>11</v>
      </c>
      <c r="R18" s="39">
        <f t="shared" si="0"/>
        <v>20</v>
      </c>
      <c r="S18" s="37">
        <f t="shared" si="1"/>
        <v>3.2083333333333332E-2</v>
      </c>
      <c r="T18" s="37">
        <f t="shared" si="2"/>
        <v>5</v>
      </c>
      <c r="U18" s="40">
        <f t="shared" si="3"/>
        <v>0.14259259259259258</v>
      </c>
      <c r="V18" s="39">
        <f t="shared" si="4"/>
        <v>1</v>
      </c>
      <c r="W18" s="37">
        <f t="shared" si="5"/>
        <v>0.35562972316722907</v>
      </c>
      <c r="X18" s="40">
        <f t="shared" si="6"/>
        <v>7.788290937362316E-2</v>
      </c>
      <c r="Y18" s="39">
        <f t="shared" si="7"/>
        <v>0.54129333815407787</v>
      </c>
      <c r="Z18" s="37">
        <f t="shared" si="28"/>
        <v>0.54129333815407787</v>
      </c>
      <c r="AA18" s="37">
        <f t="shared" si="29"/>
        <v>0.20576567700330925</v>
      </c>
      <c r="AB18" s="37">
        <v>0</v>
      </c>
      <c r="AC18" s="37">
        <f t="shared" si="8"/>
        <v>3.1754635374472641E-3</v>
      </c>
      <c r="AD18" s="40">
        <f t="shared" si="19"/>
        <v>3.1754635374472641E-3</v>
      </c>
      <c r="AE18" s="39">
        <f t="shared" si="27"/>
        <v>5.0710164229401174E-2</v>
      </c>
      <c r="AF18" s="37">
        <f t="shared" si="20"/>
        <v>0.18636788671394008</v>
      </c>
      <c r="AG18" s="37">
        <f t="shared" si="9"/>
        <v>1.7019164707127803E-4</v>
      </c>
      <c r="AH18" s="37">
        <f t="shared" si="10"/>
        <v>4.6766031858855271E-3</v>
      </c>
      <c r="AI18" s="40">
        <f t="shared" si="21"/>
        <v>4.8467948329568048E-3</v>
      </c>
      <c r="AJ18" s="39">
        <f t="shared" si="22"/>
        <v>1.1105525966238856E-2</v>
      </c>
      <c r="AK18" s="37">
        <f t="shared" si="11"/>
        <v>8.7215392187446936E-2</v>
      </c>
      <c r="AL18" s="37">
        <f t="shared" si="12"/>
        <v>2.9516666666666667E-2</v>
      </c>
      <c r="AM18" s="37">
        <f t="shared" si="13"/>
        <v>4.5814800000000003E-2</v>
      </c>
      <c r="AN18" s="40">
        <f t="shared" si="23"/>
        <v>7.5331466666666666E-2</v>
      </c>
      <c r="AO18" s="39">
        <f t="shared" si="14"/>
        <v>1.3893195679288001E-3</v>
      </c>
      <c r="AP18" s="37">
        <f t="shared" si="15"/>
        <v>6.6521250000000009E-3</v>
      </c>
      <c r="AQ18" s="40">
        <f t="shared" si="16"/>
        <v>2.2499999999999998E-3</v>
      </c>
      <c r="AR18" s="39">
        <f t="shared" si="24"/>
        <v>9.3645169604999537E-2</v>
      </c>
      <c r="AS18" s="37">
        <f t="shared" si="25"/>
        <v>0.64166666666666661</v>
      </c>
      <c r="AT18" s="40">
        <f t="shared" si="26"/>
        <v>87.264563823721488</v>
      </c>
    </row>
    <row r="19" spans="17:46" x14ac:dyDescent="0.3">
      <c r="Q19">
        <v>12</v>
      </c>
      <c r="R19" s="39">
        <f t="shared" si="0"/>
        <v>20</v>
      </c>
      <c r="S19" s="37">
        <f t="shared" si="1"/>
        <v>3.5000000000000003E-2</v>
      </c>
      <c r="T19" s="37">
        <f t="shared" si="2"/>
        <v>5</v>
      </c>
      <c r="U19" s="40">
        <f t="shared" si="3"/>
        <v>0.15555555555555556</v>
      </c>
      <c r="V19" s="39">
        <f t="shared" si="4"/>
        <v>1</v>
      </c>
      <c r="W19" s="37">
        <f t="shared" si="5"/>
        <v>0.37144313158274983</v>
      </c>
      <c r="X19" s="40">
        <f t="shared" si="6"/>
        <v>8.1346045816622206E-2</v>
      </c>
      <c r="Y19" s="39">
        <f t="shared" si="7"/>
        <v>0.56536245294178056</v>
      </c>
      <c r="Z19" s="37">
        <f t="shared" si="28"/>
        <v>0.56536245294178056</v>
      </c>
      <c r="AA19" s="37">
        <f t="shared" si="29"/>
        <v>0.21964147629608149</v>
      </c>
      <c r="AB19" s="37">
        <v>0</v>
      </c>
      <c r="AC19" s="37">
        <f t="shared" si="8"/>
        <v>3.6181783582141594E-3</v>
      </c>
      <c r="AD19" s="40">
        <f t="shared" si="19"/>
        <v>3.6181783582141594E-3</v>
      </c>
      <c r="AE19" s="39">
        <f t="shared" si="27"/>
        <v>5.7780042690649971E-2</v>
      </c>
      <c r="AF19" s="37">
        <f t="shared" si="20"/>
        <v>0.19893559687980591</v>
      </c>
      <c r="AG19" s="37">
        <f t="shared" si="9"/>
        <v>1.9391932135903077E-4</v>
      </c>
      <c r="AH19" s="37">
        <f t="shared" si="10"/>
        <v>5.1017489300569391E-3</v>
      </c>
      <c r="AI19" s="40">
        <f t="shared" si="21"/>
        <v>5.2956682514159695E-3</v>
      </c>
      <c r="AJ19" s="39">
        <f t="shared" si="22"/>
        <v>1.2653829349252344E-2</v>
      </c>
      <c r="AK19" s="37">
        <f t="shared" si="11"/>
        <v>9.3096758287265283E-2</v>
      </c>
      <c r="AL19" s="37">
        <f t="shared" si="12"/>
        <v>3.2200000000000006E-2</v>
      </c>
      <c r="AM19" s="37">
        <f t="shared" si="13"/>
        <v>4.5814800000000003E-2</v>
      </c>
      <c r="AN19" s="40">
        <f t="shared" si="23"/>
        <v>7.8014800000000009E-2</v>
      </c>
      <c r="AO19" s="39">
        <f t="shared" si="14"/>
        <v>1.5830148682369858E-3</v>
      </c>
      <c r="AP19" s="37">
        <f t="shared" si="15"/>
        <v>6.6521250000000009E-3</v>
      </c>
      <c r="AQ19" s="40">
        <f t="shared" si="16"/>
        <v>2.2499999999999998E-3</v>
      </c>
      <c r="AR19" s="39">
        <f t="shared" si="24"/>
        <v>9.7413786477867123E-2</v>
      </c>
      <c r="AS19" s="37">
        <f t="shared" si="25"/>
        <v>0.70000000000000007</v>
      </c>
      <c r="AT19" s="40">
        <f t="shared" si="26"/>
        <v>87.783784513164932</v>
      </c>
    </row>
    <row r="20" spans="17:46" x14ac:dyDescent="0.3">
      <c r="Q20">
        <v>13</v>
      </c>
      <c r="R20" s="39">
        <f t="shared" si="0"/>
        <v>20</v>
      </c>
      <c r="S20" s="37">
        <f t="shared" si="1"/>
        <v>3.7916666666666668E-2</v>
      </c>
      <c r="T20" s="37">
        <f t="shared" si="2"/>
        <v>5</v>
      </c>
      <c r="U20" s="40">
        <f t="shared" si="3"/>
        <v>0.16851851851851851</v>
      </c>
      <c r="V20" s="39">
        <f t="shared" si="4"/>
        <v>1</v>
      </c>
      <c r="W20" s="37">
        <f t="shared" si="5"/>
        <v>0.38661026887551758</v>
      </c>
      <c r="X20" s="40">
        <f t="shared" si="6"/>
        <v>8.4667648883738345E-2</v>
      </c>
      <c r="Y20" s="39">
        <f t="shared" si="7"/>
        <v>0.58844789783183804</v>
      </c>
      <c r="Z20" s="37">
        <f t="shared" si="28"/>
        <v>0.58844789783183804</v>
      </c>
      <c r="AA20" s="37">
        <f t="shared" si="29"/>
        <v>0.23323081710790985</v>
      </c>
      <c r="AB20" s="37">
        <v>0</v>
      </c>
      <c r="AC20" s="37">
        <f t="shared" si="8"/>
        <v>4.0797460536617473E-3</v>
      </c>
      <c r="AD20" s="40">
        <f t="shared" si="19"/>
        <v>4.0797460536617473E-3</v>
      </c>
      <c r="AE20" s="39">
        <f t="shared" si="27"/>
        <v>6.5150989754948332E-2</v>
      </c>
      <c r="AF20" s="37">
        <f t="shared" si="20"/>
        <v>0.21124385336757387</v>
      </c>
      <c r="AG20" s="37">
        <f t="shared" si="9"/>
        <v>2.1865743136934717E-4</v>
      </c>
      <c r="AH20" s="37">
        <f t="shared" si="10"/>
        <v>5.5268946742283503E-3</v>
      </c>
      <c r="AI20" s="40">
        <f t="shared" si="21"/>
        <v>5.7455521055976974E-3</v>
      </c>
      <c r="AJ20" s="39">
        <f t="shared" si="22"/>
        <v>1.4268066756333683E-2</v>
      </c>
      <c r="AK20" s="37">
        <f t="shared" si="11"/>
        <v>9.885670671857448E-2</v>
      </c>
      <c r="AL20" s="37">
        <f t="shared" si="12"/>
        <v>3.4883333333333336E-2</v>
      </c>
      <c r="AM20" s="37">
        <f t="shared" si="13"/>
        <v>4.5814800000000003E-2</v>
      </c>
      <c r="AN20" s="40">
        <f t="shared" si="23"/>
        <v>8.0698133333333338E-2</v>
      </c>
      <c r="AO20" s="39">
        <f t="shared" si="14"/>
        <v>1.784958623423242E-3</v>
      </c>
      <c r="AP20" s="37">
        <f t="shared" si="15"/>
        <v>6.6521250000000009E-3</v>
      </c>
      <c r="AQ20" s="40">
        <f t="shared" si="16"/>
        <v>2.2499999999999998E-3</v>
      </c>
      <c r="AR20" s="39">
        <f t="shared" si="24"/>
        <v>0.10121051511601603</v>
      </c>
      <c r="AS20" s="37">
        <f t="shared" si="25"/>
        <v>0.7583333333333333</v>
      </c>
      <c r="AT20" s="40">
        <f t="shared" si="26"/>
        <v>88.2250899359464</v>
      </c>
    </row>
    <row r="21" spans="17:46" x14ac:dyDescent="0.3">
      <c r="Q21">
        <v>14</v>
      </c>
      <c r="R21" s="39">
        <f t="shared" si="0"/>
        <v>20</v>
      </c>
      <c r="S21" s="37">
        <f t="shared" si="1"/>
        <v>4.0833333333333333E-2</v>
      </c>
      <c r="T21" s="37">
        <f t="shared" si="2"/>
        <v>5</v>
      </c>
      <c r="U21" s="40">
        <f t="shared" si="3"/>
        <v>0.18148148148148147</v>
      </c>
      <c r="V21" s="39">
        <f t="shared" si="4"/>
        <v>1</v>
      </c>
      <c r="W21" s="37">
        <f t="shared" si="5"/>
        <v>0.40120443666539879</v>
      </c>
      <c r="X21" s="40">
        <f t="shared" si="6"/>
        <v>8.7863771629722337E-2</v>
      </c>
      <c r="Y21" s="39">
        <f t="shared" si="7"/>
        <v>0.61066124302191593</v>
      </c>
      <c r="Z21" s="37">
        <f t="shared" si="28"/>
        <v>0.61066124302191593</v>
      </c>
      <c r="AA21" s="37">
        <f t="shared" si="29"/>
        <v>0.24656103607741855</v>
      </c>
      <c r="AB21" s="37">
        <v>0</v>
      </c>
      <c r="AC21" s="37">
        <f t="shared" si="8"/>
        <v>4.5594258383677569E-3</v>
      </c>
      <c r="AD21" s="40">
        <f t="shared" si="19"/>
        <v>4.5594258383677569E-3</v>
      </c>
      <c r="AE21" s="39">
        <f t="shared" si="27"/>
        <v>7.2811175542979778E-2</v>
      </c>
      <c r="AF21" s="37">
        <f t="shared" si="20"/>
        <v>0.22331741575641412</v>
      </c>
      <c r="AG21" s="37">
        <f t="shared" si="9"/>
        <v>2.4436627408260333E-4</v>
      </c>
      <c r="AH21" s="37">
        <f t="shared" si="10"/>
        <v>5.9520404183997623E-3</v>
      </c>
      <c r="AI21" s="40">
        <f t="shared" si="21"/>
        <v>6.1964066924823655E-3</v>
      </c>
      <c r="AJ21" s="39">
        <f t="shared" si="22"/>
        <v>1.594564744391257E-2</v>
      </c>
      <c r="AK21" s="37">
        <f t="shared" si="11"/>
        <v>0.1045068243295478</v>
      </c>
      <c r="AL21" s="37">
        <f t="shared" si="12"/>
        <v>3.7566666666666665E-2</v>
      </c>
      <c r="AM21" s="37">
        <f t="shared" si="13"/>
        <v>4.5814800000000003E-2</v>
      </c>
      <c r="AN21" s="40">
        <f t="shared" si="23"/>
        <v>8.3381466666666668E-2</v>
      </c>
      <c r="AO21" s="39">
        <f t="shared" si="14"/>
        <v>1.9948267272049246E-3</v>
      </c>
      <c r="AP21" s="37">
        <f t="shared" si="15"/>
        <v>6.6521250000000009E-3</v>
      </c>
      <c r="AQ21" s="40">
        <f t="shared" si="16"/>
        <v>2.2499999999999998E-3</v>
      </c>
      <c r="AR21" s="39">
        <f t="shared" si="24"/>
        <v>0.10503425092472171</v>
      </c>
      <c r="AS21" s="37">
        <f t="shared" si="25"/>
        <v>0.81666666666666665</v>
      </c>
      <c r="AT21" s="40">
        <f t="shared" si="26"/>
        <v>88.604302228623155</v>
      </c>
    </row>
    <row r="22" spans="17:46" x14ac:dyDescent="0.3">
      <c r="Q22">
        <v>15</v>
      </c>
      <c r="R22" s="39">
        <f t="shared" si="0"/>
        <v>20</v>
      </c>
      <c r="S22" s="37">
        <f t="shared" si="1"/>
        <v>4.3750000000000004E-2</v>
      </c>
      <c r="T22" s="37">
        <f t="shared" si="2"/>
        <v>5</v>
      </c>
      <c r="U22" s="40">
        <f t="shared" si="3"/>
        <v>0.19444444444444448</v>
      </c>
      <c r="V22" s="39">
        <f t="shared" si="4"/>
        <v>1</v>
      </c>
      <c r="W22" s="37">
        <f t="shared" si="5"/>
        <v>0.4152860459972138</v>
      </c>
      <c r="X22" s="40">
        <f t="shared" si="6"/>
        <v>9.0947644073389816E-2</v>
      </c>
      <c r="Y22" s="39">
        <f t="shared" si="7"/>
        <v>0.63209443835192369</v>
      </c>
      <c r="Z22" s="37">
        <f t="shared" si="28"/>
        <v>0.63209443835192369</v>
      </c>
      <c r="AA22" s="37">
        <f t="shared" si="29"/>
        <v>0.25965510399511127</v>
      </c>
      <c r="AB22" s="37">
        <v>0</v>
      </c>
      <c r="AC22" s="37">
        <f t="shared" si="8"/>
        <v>5.0565579773034037E-3</v>
      </c>
      <c r="AD22" s="40">
        <f t="shared" si="19"/>
        <v>5.0565579773034037E-3</v>
      </c>
      <c r="AE22" s="39">
        <f t="shared" si="27"/>
        <v>8.0750064499458249E-2</v>
      </c>
      <c r="AF22" s="37">
        <f t="shared" si="20"/>
        <v>0.2351770893513935</v>
      </c>
      <c r="AG22" s="37">
        <f t="shared" si="9"/>
        <v>2.7101049044338731E-4</v>
      </c>
      <c r="AH22" s="37">
        <f t="shared" si="10"/>
        <v>6.3771861625711744E-3</v>
      </c>
      <c r="AI22" s="40">
        <f t="shared" si="21"/>
        <v>6.648196653014562E-3</v>
      </c>
      <c r="AJ22" s="39">
        <f t="shared" si="22"/>
        <v>1.7684264125381356E-2</v>
      </c>
      <c r="AK22" s="37">
        <f t="shared" si="11"/>
        <v>0.11005684746947252</v>
      </c>
      <c r="AL22" s="37">
        <f t="shared" si="12"/>
        <v>4.0250000000000008E-2</v>
      </c>
      <c r="AM22" s="37">
        <f t="shared" si="13"/>
        <v>4.5814800000000003E-2</v>
      </c>
      <c r="AN22" s="40">
        <f t="shared" si="23"/>
        <v>8.6064800000000011E-2</v>
      </c>
      <c r="AO22" s="39">
        <f t="shared" si="14"/>
        <v>2.2123305342317328E-3</v>
      </c>
      <c r="AP22" s="37">
        <f t="shared" si="15"/>
        <v>6.6521250000000009E-3</v>
      </c>
      <c r="AQ22" s="40">
        <f t="shared" si="16"/>
        <v>2.2499999999999998E-3</v>
      </c>
      <c r="AR22" s="39">
        <f t="shared" si="24"/>
        <v>0.10888401016454971</v>
      </c>
      <c r="AS22" s="37">
        <f t="shared" si="25"/>
        <v>0.87500000000000011</v>
      </c>
      <c r="AT22" s="40">
        <f t="shared" si="26"/>
        <v>88.933247309676332</v>
      </c>
    </row>
    <row r="23" spans="17:46" x14ac:dyDescent="0.3">
      <c r="Q23">
        <v>16</v>
      </c>
      <c r="R23" s="39">
        <f t="shared" si="0"/>
        <v>20</v>
      </c>
      <c r="S23" s="37">
        <f t="shared" si="1"/>
        <v>4.6666666666666669E-2</v>
      </c>
      <c r="T23" s="37">
        <f t="shared" si="2"/>
        <v>5</v>
      </c>
      <c r="U23" s="40">
        <f t="shared" si="3"/>
        <v>0.2074074074074074</v>
      </c>
      <c r="V23" s="39">
        <f t="shared" si="4"/>
        <v>1</v>
      </c>
      <c r="W23" s="37">
        <f t="shared" si="5"/>
        <v>0.42890558401587642</v>
      </c>
      <c r="X23" s="40">
        <f t="shared" si="6"/>
        <v>9.3930322899476934E-2</v>
      </c>
      <c r="Y23" s="39">
        <f t="shared" si="7"/>
        <v>0.65282432879128838</v>
      </c>
      <c r="Z23" s="37">
        <f t="shared" si="28"/>
        <v>0.65282432879128838</v>
      </c>
      <c r="AA23" s="37">
        <f t="shared" si="29"/>
        <v>0.27253256680198951</v>
      </c>
      <c r="AB23" s="37">
        <v>0</v>
      </c>
      <c r="AC23" s="37">
        <f t="shared" si="8"/>
        <v>5.5705499975760653E-3</v>
      </c>
      <c r="AD23" s="40">
        <f t="shared" si="19"/>
        <v>5.5705499975760653E-3</v>
      </c>
      <c r="AE23" s="39">
        <f t="shared" si="27"/>
        <v>8.8958195203292886E-2</v>
      </c>
      <c r="AF23" s="37">
        <f t="shared" si="20"/>
        <v>0.2468405774729652</v>
      </c>
      <c r="AG23" s="37">
        <f t="shared" si="9"/>
        <v>2.98558326367216E-4</v>
      </c>
      <c r="AH23" s="37">
        <f t="shared" si="10"/>
        <v>6.8023319067425847E-3</v>
      </c>
      <c r="AI23" s="40">
        <f t="shared" si="21"/>
        <v>7.1008902331098009E-3</v>
      </c>
      <c r="AJ23" s="39">
        <f t="shared" si="22"/>
        <v>1.9481844749521141E-2</v>
      </c>
      <c r="AK23" s="37">
        <f t="shared" si="11"/>
        <v>0.115515060838377</v>
      </c>
      <c r="AL23" s="37">
        <f t="shared" si="12"/>
        <v>4.2933333333333337E-2</v>
      </c>
      <c r="AM23" s="37">
        <f t="shared" si="13"/>
        <v>4.5814800000000003E-2</v>
      </c>
      <c r="AN23" s="40">
        <f t="shared" si="23"/>
        <v>8.874813333333334E-2</v>
      </c>
      <c r="AO23" s="39">
        <f t="shared" si="14"/>
        <v>2.4372108274874774E-3</v>
      </c>
      <c r="AP23" s="37">
        <f t="shared" si="15"/>
        <v>6.6521250000000009E-3</v>
      </c>
      <c r="AQ23" s="40">
        <f t="shared" si="16"/>
        <v>2.2499999999999998E-3</v>
      </c>
      <c r="AR23" s="39">
        <f t="shared" si="24"/>
        <v>0.11275890939150668</v>
      </c>
      <c r="AS23" s="37">
        <f t="shared" si="25"/>
        <v>0.93333333333333335</v>
      </c>
      <c r="AT23" s="40">
        <f t="shared" si="26"/>
        <v>89.220940105836704</v>
      </c>
    </row>
    <row r="24" spans="17:46" x14ac:dyDescent="0.3">
      <c r="Q24">
        <v>17</v>
      </c>
      <c r="R24" s="39">
        <f t="shared" si="0"/>
        <v>20</v>
      </c>
      <c r="S24" s="37">
        <f t="shared" si="1"/>
        <v>4.9583333333333333E-2</v>
      </c>
      <c r="T24" s="37">
        <f t="shared" si="2"/>
        <v>5</v>
      </c>
      <c r="U24" s="40">
        <f t="shared" si="3"/>
        <v>0.22037037037037038</v>
      </c>
      <c r="V24" s="39">
        <f t="shared" si="4"/>
        <v>1</v>
      </c>
      <c r="W24" s="37">
        <f t="shared" si="5"/>
        <v>0.44210575657867202</v>
      </c>
      <c r="X24" s="40">
        <f t="shared" si="6"/>
        <v>9.6821160690729172E-2</v>
      </c>
      <c r="Y24" s="39">
        <f t="shared" si="7"/>
        <v>0.67291591564485853</v>
      </c>
      <c r="Z24" s="37">
        <f t="shared" si="28"/>
        <v>0.67291591564485853</v>
      </c>
      <c r="AA24" s="37">
        <f t="shared" si="29"/>
        <v>0.28521023771853932</v>
      </c>
      <c r="AB24" s="37">
        <v>0</v>
      </c>
      <c r="AC24" s="37">
        <f t="shared" si="8"/>
        <v>6.1008659774599277E-3</v>
      </c>
      <c r="AD24" s="40">
        <f t="shared" si="19"/>
        <v>6.1008659774599277E-3</v>
      </c>
      <c r="AE24" s="39">
        <f t="shared" si="27"/>
        <v>9.7427009320114763E-2</v>
      </c>
      <c r="AF24" s="37">
        <f t="shared" si="20"/>
        <v>0.25832310833808209</v>
      </c>
      <c r="AG24" s="37">
        <f t="shared" si="9"/>
        <v>3.2698105867709769E-4</v>
      </c>
      <c r="AH24" s="37">
        <f t="shared" si="10"/>
        <v>7.2274776509139976E-3</v>
      </c>
      <c r="AI24" s="40">
        <f t="shared" si="21"/>
        <v>7.5544587095910951E-3</v>
      </c>
      <c r="AJ24" s="39">
        <f t="shared" si="22"/>
        <v>2.1336515041105134E-2</v>
      </c>
      <c r="AK24" s="37">
        <f t="shared" si="11"/>
        <v>0.12088859085131738</v>
      </c>
      <c r="AL24" s="37">
        <f t="shared" si="12"/>
        <v>4.5616666666666666E-2</v>
      </c>
      <c r="AM24" s="37">
        <f t="shared" si="13"/>
        <v>4.5814800000000003E-2</v>
      </c>
      <c r="AN24" s="40">
        <f t="shared" si="23"/>
        <v>9.1431466666666669E-2</v>
      </c>
      <c r="AO24" s="39">
        <f t="shared" si="14"/>
        <v>2.6692331320579401E-3</v>
      </c>
      <c r="AP24" s="37">
        <f t="shared" si="15"/>
        <v>6.6521250000000009E-3</v>
      </c>
      <c r="AQ24" s="40">
        <f t="shared" si="16"/>
        <v>2.2499999999999998E-3</v>
      </c>
      <c r="AR24" s="39">
        <f t="shared" si="24"/>
        <v>0.11665814948577563</v>
      </c>
      <c r="AS24" s="37">
        <f t="shared" si="25"/>
        <v>0.9916666666666667</v>
      </c>
      <c r="AT24" s="40">
        <f t="shared" si="26"/>
        <v>89.474371791948556</v>
      </c>
    </row>
    <row r="25" spans="17:46" x14ac:dyDescent="0.3">
      <c r="Q25">
        <v>18</v>
      </c>
      <c r="R25" s="39">
        <f t="shared" si="0"/>
        <v>20</v>
      </c>
      <c r="S25" s="37">
        <f t="shared" si="1"/>
        <v>5.2500000000000005E-2</v>
      </c>
      <c r="T25" s="37">
        <f t="shared" si="2"/>
        <v>5</v>
      </c>
      <c r="U25" s="40">
        <f t="shared" si="3"/>
        <v>0.23333333333333334</v>
      </c>
      <c r="V25" s="39">
        <f t="shared" si="4"/>
        <v>1</v>
      </c>
      <c r="W25" s="37">
        <f t="shared" si="5"/>
        <v>0.454923070419604</v>
      </c>
      <c r="X25" s="40">
        <f t="shared" si="6"/>
        <v>9.9628152421893254E-2</v>
      </c>
      <c r="Y25" s="39">
        <f t="shared" si="7"/>
        <v>0.69242476471781433</v>
      </c>
      <c r="Z25" s="37">
        <f t="shared" si="28"/>
        <v>0.69242476471781433</v>
      </c>
      <c r="AA25" s="37">
        <f t="shared" si="29"/>
        <v>0.29770271708544521</v>
      </c>
      <c r="AB25" s="37">
        <v>0</v>
      </c>
      <c r="AC25" s="37">
        <f t="shared" si="8"/>
        <v>6.6470180820042473E-3</v>
      </c>
      <c r="AD25" s="40">
        <f t="shared" si="19"/>
        <v>6.6470180820042473E-3</v>
      </c>
      <c r="AE25" s="39">
        <f t="shared" si="27"/>
        <v>0.10614871643124094</v>
      </c>
      <c r="AF25" s="37">
        <f t="shared" si="20"/>
        <v>0.26963790589486952</v>
      </c>
      <c r="AG25" s="37">
        <f t="shared" si="9"/>
        <v>3.5625254144731558E-4</v>
      </c>
      <c r="AH25" s="37">
        <f t="shared" si="10"/>
        <v>7.6526233950854096E-3</v>
      </c>
      <c r="AI25" s="40">
        <f t="shared" si="21"/>
        <v>8.008875936532725E-3</v>
      </c>
      <c r="AJ25" s="39">
        <f t="shared" si="22"/>
        <v>2.3246568898441761E-2</v>
      </c>
      <c r="AK25" s="37">
        <f t="shared" si="11"/>
        <v>0.12618362597693147</v>
      </c>
      <c r="AL25" s="37">
        <f t="shared" si="12"/>
        <v>4.830000000000001E-2</v>
      </c>
      <c r="AM25" s="37">
        <f t="shared" si="13"/>
        <v>4.5814800000000003E-2</v>
      </c>
      <c r="AN25" s="40">
        <f t="shared" si="23"/>
        <v>9.4114800000000012E-2</v>
      </c>
      <c r="AO25" s="39">
        <f t="shared" si="14"/>
        <v>2.9081840118148207E-3</v>
      </c>
      <c r="AP25" s="37">
        <f t="shared" si="15"/>
        <v>6.6521250000000009E-3</v>
      </c>
      <c r="AQ25" s="40">
        <f t="shared" si="16"/>
        <v>2.2499999999999998E-3</v>
      </c>
      <c r="AR25" s="39">
        <f t="shared" si="24"/>
        <v>0.1205810030303518</v>
      </c>
      <c r="AS25" s="37">
        <f t="shared" si="25"/>
        <v>1.05</v>
      </c>
      <c r="AT25" s="40">
        <f t="shared" si="26"/>
        <v>89.699046651346919</v>
      </c>
    </row>
    <row r="26" spans="17:46" x14ac:dyDescent="0.3">
      <c r="Q26">
        <v>19</v>
      </c>
      <c r="R26" s="39">
        <f t="shared" si="0"/>
        <v>20</v>
      </c>
      <c r="S26" s="37">
        <f t="shared" si="1"/>
        <v>5.541666666666667E-2</v>
      </c>
      <c r="T26" s="37">
        <f t="shared" si="2"/>
        <v>5</v>
      </c>
      <c r="U26" s="40">
        <f t="shared" si="3"/>
        <v>0.24629629629629632</v>
      </c>
      <c r="V26" s="39">
        <f t="shared" si="4"/>
        <v>1</v>
      </c>
      <c r="W26" s="37">
        <f t="shared" si="5"/>
        <v>0.4673890242613748</v>
      </c>
      <c r="X26" s="40">
        <f t="shared" si="6"/>
        <v>0.10235819631324107</v>
      </c>
      <c r="Y26" s="39">
        <f t="shared" si="7"/>
        <v>0.71139881927149895</v>
      </c>
      <c r="Z26" s="37">
        <f t="shared" si="28"/>
        <v>0.71139881927149895</v>
      </c>
      <c r="AA26" s="37">
        <f t="shared" si="29"/>
        <v>0.31002278998490618</v>
      </c>
      <c r="AB26" s="37">
        <v>0</v>
      </c>
      <c r="AC26" s="37">
        <f t="shared" si="8"/>
        <v>7.2085597732518929E-3</v>
      </c>
      <c r="AD26" s="40">
        <f t="shared" si="19"/>
        <v>7.2085597732518929E-3</v>
      </c>
      <c r="AE26" s="39">
        <f t="shared" si="27"/>
        <v>0.1151161856051164</v>
      </c>
      <c r="AF26" s="37">
        <f t="shared" si="20"/>
        <v>0.28079654995967773</v>
      </c>
      <c r="AG26" s="37">
        <f t="shared" si="9"/>
        <v>3.8634884209936323E-4</v>
      </c>
      <c r="AH26" s="37">
        <f t="shared" si="10"/>
        <v>8.0777691392568216E-3</v>
      </c>
      <c r="AI26" s="40">
        <f t="shared" si="21"/>
        <v>8.464117981356184E-3</v>
      </c>
      <c r="AJ26" s="39">
        <f t="shared" si="22"/>
        <v>2.5210444647520487E-2</v>
      </c>
      <c r="AK26" s="37">
        <f t="shared" si="11"/>
        <v>0.13140558527234472</v>
      </c>
      <c r="AL26" s="37">
        <f t="shared" si="12"/>
        <v>5.0983333333333339E-2</v>
      </c>
      <c r="AM26" s="37">
        <f t="shared" si="13"/>
        <v>4.5814800000000003E-2</v>
      </c>
      <c r="AN26" s="40">
        <f t="shared" si="23"/>
        <v>9.6798133333333342E-2</v>
      </c>
      <c r="AO26" s="39">
        <f t="shared" si="14"/>
        <v>3.1538680987703116E-3</v>
      </c>
      <c r="AP26" s="37">
        <f t="shared" si="15"/>
        <v>6.6521250000000009E-3</v>
      </c>
      <c r="AQ26" s="40">
        <f t="shared" si="16"/>
        <v>2.2499999999999998E-3</v>
      </c>
      <c r="AR26" s="39">
        <f t="shared" si="24"/>
        <v>0.12452680418671173</v>
      </c>
      <c r="AS26" s="37">
        <f t="shared" si="25"/>
        <v>1.1083333333333334</v>
      </c>
      <c r="AT26" s="40">
        <f t="shared" si="26"/>
        <v>89.89935675613593</v>
      </c>
    </row>
    <row r="27" spans="17:46" x14ac:dyDescent="0.3">
      <c r="Q27">
        <v>20</v>
      </c>
      <c r="R27" s="39">
        <f t="shared" si="0"/>
        <v>20</v>
      </c>
      <c r="S27" s="37">
        <f t="shared" si="1"/>
        <v>5.8333333333333334E-2</v>
      </c>
      <c r="T27" s="37">
        <f t="shared" si="2"/>
        <v>5</v>
      </c>
      <c r="U27" s="40">
        <f t="shared" si="3"/>
        <v>0.2592592592592593</v>
      </c>
      <c r="V27" s="39">
        <f t="shared" si="4"/>
        <v>1</v>
      </c>
      <c r="W27" s="37">
        <f t="shared" si="5"/>
        <v>0.47953102089437338</v>
      </c>
      <c r="X27" s="40">
        <f t="shared" si="6"/>
        <v>0.10501729357586777</v>
      </c>
      <c r="Y27" s="39">
        <f t="shared" si="7"/>
        <v>0.72987978827149691</v>
      </c>
      <c r="Z27" s="37">
        <f t="shared" si="28"/>
        <v>0.72987978827149691</v>
      </c>
      <c r="AA27" s="37">
        <f t="shared" si="29"/>
        <v>0.32218173529134875</v>
      </c>
      <c r="AB27" s="37">
        <v>0</v>
      </c>
      <c r="AC27" s="37">
        <f t="shared" si="8"/>
        <v>7.7850802916508526E-3</v>
      </c>
      <c r="AD27" s="40">
        <f t="shared" si="19"/>
        <v>7.7850802916508526E-3</v>
      </c>
      <c r="AE27" s="39">
        <f t="shared" si="27"/>
        <v>0.12432285726891164</v>
      </c>
      <c r="AF27" s="37">
        <f t="shared" si="20"/>
        <v>0.29180925613319392</v>
      </c>
      <c r="AG27" s="37">
        <f t="shared" si="9"/>
        <v>4.1724794562853916E-4</v>
      </c>
      <c r="AH27" s="37">
        <f t="shared" si="10"/>
        <v>8.5029148834282336E-3</v>
      </c>
      <c r="AI27" s="40">
        <f t="shared" si="21"/>
        <v>8.9201628290567735E-3</v>
      </c>
      <c r="AJ27" s="39">
        <f t="shared" si="22"/>
        <v>2.7226705741891649E-2</v>
      </c>
      <c r="AK27" s="37">
        <f t="shared" si="11"/>
        <v>0.136559249376733</v>
      </c>
      <c r="AL27" s="37">
        <f t="shared" si="12"/>
        <v>5.3666666666666668E-2</v>
      </c>
      <c r="AM27" s="37">
        <f t="shared" si="13"/>
        <v>4.5814800000000003E-2</v>
      </c>
      <c r="AN27" s="40">
        <f t="shared" si="23"/>
        <v>9.9481466666666671E-2</v>
      </c>
      <c r="AO27" s="39">
        <f t="shared" si="14"/>
        <v>3.4061056786003191E-3</v>
      </c>
      <c r="AP27" s="37">
        <f t="shared" si="15"/>
        <v>6.6521250000000009E-3</v>
      </c>
      <c r="AQ27" s="40">
        <f t="shared" si="16"/>
        <v>2.2499999999999998E-3</v>
      </c>
      <c r="AR27" s="39">
        <f t="shared" si="24"/>
        <v>0.12849494046597462</v>
      </c>
      <c r="AS27" s="37">
        <f t="shared" si="25"/>
        <v>1.1666666666666667</v>
      </c>
      <c r="AT27" s="40">
        <f t="shared" si="26"/>
        <v>90.078848866555774</v>
      </c>
    </row>
    <row r="28" spans="17:46" x14ac:dyDescent="0.3">
      <c r="Q28">
        <v>21</v>
      </c>
      <c r="R28" s="39">
        <f t="shared" si="0"/>
        <v>20</v>
      </c>
      <c r="S28" s="37">
        <f t="shared" si="1"/>
        <v>6.1250000000000006E-2</v>
      </c>
      <c r="T28" s="37">
        <f t="shared" si="2"/>
        <v>5</v>
      </c>
      <c r="U28" s="40">
        <f t="shared" si="3"/>
        <v>0.27222222222222225</v>
      </c>
      <c r="V28" s="39">
        <f t="shared" si="4"/>
        <v>1</v>
      </c>
      <c r="W28" s="37">
        <f t="shared" si="5"/>
        <v>0.4913730761854988</v>
      </c>
      <c r="X28" s="40">
        <f t="shared" si="6"/>
        <v>0.10761070368462423</v>
      </c>
      <c r="Y28" s="39">
        <f t="shared" si="7"/>
        <v>0.7479042255487045</v>
      </c>
      <c r="Z28" s="37">
        <f t="shared" si="28"/>
        <v>0.7479042255487045</v>
      </c>
      <c r="AA28" s="37">
        <f t="shared" si="29"/>
        <v>0.33418956931751204</v>
      </c>
      <c r="AB28" s="37">
        <v>0</v>
      </c>
      <c r="AC28" s="37">
        <f t="shared" si="8"/>
        <v>8.376200118046814E-3</v>
      </c>
      <c r="AD28" s="40">
        <f t="shared" si="19"/>
        <v>8.376200118046814E-3</v>
      </c>
      <c r="AE28" s="39">
        <f t="shared" si="27"/>
        <v>0.1337626707393858</v>
      </c>
      <c r="AF28" s="37">
        <f t="shared" si="20"/>
        <v>0.30268509647770292</v>
      </c>
      <c r="AG28" s="37">
        <f t="shared" si="9"/>
        <v>4.4892951138561006E-4</v>
      </c>
      <c r="AH28" s="37">
        <f t="shared" si="10"/>
        <v>8.9280606275996439E-3</v>
      </c>
      <c r="AI28" s="40">
        <f t="shared" si="21"/>
        <v>9.3769901389852538E-3</v>
      </c>
      <c r="AJ28" s="39">
        <f t="shared" si="22"/>
        <v>2.929402489192549E-2</v>
      </c>
      <c r="AK28" s="37">
        <f t="shared" si="11"/>
        <v>0.14164886378262226</v>
      </c>
      <c r="AL28" s="37">
        <f t="shared" si="12"/>
        <v>5.6350000000000011E-2</v>
      </c>
      <c r="AM28" s="37">
        <f t="shared" si="13"/>
        <v>4.5814800000000003E-2</v>
      </c>
      <c r="AN28" s="40">
        <f t="shared" si="23"/>
        <v>0.10216480000000001</v>
      </c>
      <c r="AO28" s="39">
        <f t="shared" si="14"/>
        <v>3.6647307051886529E-3</v>
      </c>
      <c r="AP28" s="37">
        <f t="shared" si="15"/>
        <v>6.6521250000000009E-3</v>
      </c>
      <c r="AQ28" s="40">
        <f t="shared" si="16"/>
        <v>2.2499999999999998E-3</v>
      </c>
      <c r="AR28" s="39">
        <f t="shared" si="24"/>
        <v>0.13248484596222074</v>
      </c>
      <c r="AS28" s="37">
        <f t="shared" si="25"/>
        <v>1.2250000000000001</v>
      </c>
      <c r="AT28" s="40">
        <f t="shared" si="26"/>
        <v>90.240418052820914</v>
      </c>
    </row>
    <row r="29" spans="17:46" x14ac:dyDescent="0.3">
      <c r="Q29">
        <v>22</v>
      </c>
      <c r="R29" s="39">
        <f t="shared" si="0"/>
        <v>20</v>
      </c>
      <c r="S29" s="37">
        <f t="shared" si="1"/>
        <v>6.4166666666666664E-2</v>
      </c>
      <c r="T29" s="37">
        <f t="shared" si="2"/>
        <v>5</v>
      </c>
      <c r="U29" s="40">
        <f t="shared" si="3"/>
        <v>0.28518518518518515</v>
      </c>
      <c r="V29" s="39">
        <f t="shared" si="4"/>
        <v>1</v>
      </c>
      <c r="W29" s="37">
        <f t="shared" si="5"/>
        <v>0.50293637768608468</v>
      </c>
      <c r="X29" s="40">
        <f t="shared" si="6"/>
        <v>0.11014306671325254</v>
      </c>
      <c r="Y29" s="39">
        <f t="shared" si="7"/>
        <v>0.76550438003970278</v>
      </c>
      <c r="Z29" s="37">
        <f t="shared" si="28"/>
        <v>0.76550438003970278</v>
      </c>
      <c r="AA29" s="37">
        <f t="shared" si="29"/>
        <v>0.3460552403486728</v>
      </c>
      <c r="AB29" s="37">
        <v>0</v>
      </c>
      <c r="AC29" s="37">
        <f t="shared" si="8"/>
        <v>8.9815672029583266E-3</v>
      </c>
      <c r="AD29" s="40">
        <f t="shared" si="19"/>
        <v>8.9815672029583266E-3</v>
      </c>
      <c r="AE29" s="39">
        <f t="shared" si="27"/>
        <v>0.14343000400677228</v>
      </c>
      <c r="AF29" s="37">
        <f t="shared" si="20"/>
        <v>0.31343217571232518</v>
      </c>
      <c r="AG29" s="37">
        <f t="shared" si="9"/>
        <v>4.8137467098163334E-4</v>
      </c>
      <c r="AH29" s="37">
        <f t="shared" si="10"/>
        <v>9.3532063717710542E-3</v>
      </c>
      <c r="AI29" s="40">
        <f t="shared" si="21"/>
        <v>9.834581042752687E-3</v>
      </c>
      <c r="AJ29" s="39">
        <f t="shared" si="22"/>
        <v>3.141117087748313E-2</v>
      </c>
      <c r="AK29" s="37">
        <f t="shared" si="11"/>
        <v>0.1466782212907419</v>
      </c>
      <c r="AL29" s="37">
        <f t="shared" si="12"/>
        <v>5.9033333333333333E-2</v>
      </c>
      <c r="AM29" s="37">
        <f t="shared" si="13"/>
        <v>4.5814800000000003E-2</v>
      </c>
      <c r="AN29" s="40">
        <f t="shared" si="23"/>
        <v>0.10484813333333334</v>
      </c>
      <c r="AO29" s="39">
        <f t="shared" si="14"/>
        <v>3.9295891508704757E-3</v>
      </c>
      <c r="AP29" s="37">
        <f t="shared" si="15"/>
        <v>6.6521250000000009E-3</v>
      </c>
      <c r="AQ29" s="40">
        <f t="shared" si="16"/>
        <v>2.2499999999999998E-3</v>
      </c>
      <c r="AR29" s="39">
        <f t="shared" si="24"/>
        <v>0.13649599572991486</v>
      </c>
      <c r="AS29" s="37">
        <f t="shared" si="25"/>
        <v>1.2833333333333332</v>
      </c>
      <c r="AT29" s="40">
        <f t="shared" si="26"/>
        <v>90.386450474299622</v>
      </c>
    </row>
    <row r="30" spans="17:46" x14ac:dyDescent="0.3">
      <c r="Q30">
        <v>23</v>
      </c>
      <c r="R30" s="39">
        <f t="shared" si="0"/>
        <v>20</v>
      </c>
      <c r="S30" s="37">
        <f t="shared" si="1"/>
        <v>6.7083333333333342E-2</v>
      </c>
      <c r="T30" s="37">
        <f t="shared" si="2"/>
        <v>5</v>
      </c>
      <c r="U30" s="40">
        <f t="shared" si="3"/>
        <v>0.29814814814814816</v>
      </c>
      <c r="V30" s="39">
        <f t="shared" si="4"/>
        <v>1</v>
      </c>
      <c r="W30" s="37">
        <f t="shared" si="5"/>
        <v>0.51423973008704804</v>
      </c>
      <c r="X30" s="40">
        <f t="shared" si="6"/>
        <v>0.11261850088906351</v>
      </c>
      <c r="Y30" s="39">
        <f t="shared" si="7"/>
        <v>0.78270887380068199</v>
      </c>
      <c r="Z30" s="37">
        <f t="shared" si="28"/>
        <v>0.78270887380068199</v>
      </c>
      <c r="AA30" s="37">
        <f t="shared" si="29"/>
        <v>0.35778678574355804</v>
      </c>
      <c r="AB30" s="37">
        <v>0</v>
      </c>
      <c r="AC30" s="37">
        <f t="shared" si="8"/>
        <v>9.6008538039530026E-3</v>
      </c>
      <c r="AD30" s="40">
        <f t="shared" si="19"/>
        <v>9.6008538039530026E-3</v>
      </c>
      <c r="AE30" s="39">
        <f t="shared" si="27"/>
        <v>0.15331962322965692</v>
      </c>
      <c r="AF30" s="37">
        <f t="shared" si="20"/>
        <v>0.32405777350382781</v>
      </c>
      <c r="AG30" s="37">
        <f t="shared" si="9"/>
        <v>5.1456585878446512E-4</v>
      </c>
      <c r="AH30" s="37">
        <f t="shared" si="10"/>
        <v>9.778352115942468E-3</v>
      </c>
      <c r="AI30" s="40">
        <f t="shared" si="21"/>
        <v>1.0292917974726933E-2</v>
      </c>
      <c r="AJ30" s="39">
        <f t="shared" si="22"/>
        <v>3.3576997487294861E-2</v>
      </c>
      <c r="AK30" s="37">
        <f t="shared" si="11"/>
        <v>0.15165072859847573</v>
      </c>
      <c r="AL30" s="37">
        <f t="shared" si="12"/>
        <v>6.1716666666666677E-2</v>
      </c>
      <c r="AM30" s="37">
        <f t="shared" si="13"/>
        <v>4.5814800000000003E-2</v>
      </c>
      <c r="AN30" s="40">
        <f t="shared" si="23"/>
        <v>0.10753146666666669</v>
      </c>
      <c r="AO30" s="39">
        <f t="shared" si="14"/>
        <v>4.2005376227303264E-3</v>
      </c>
      <c r="AP30" s="37">
        <f t="shared" si="15"/>
        <v>6.6521250000000009E-3</v>
      </c>
      <c r="AQ30" s="40">
        <f t="shared" si="16"/>
        <v>2.2499999999999998E-3</v>
      </c>
      <c r="AR30" s="39">
        <f t="shared" si="24"/>
        <v>0.14052790106807697</v>
      </c>
      <c r="AS30" s="37">
        <f t="shared" si="25"/>
        <v>1.3416666666666668</v>
      </c>
      <c r="AT30" s="40">
        <f t="shared" si="26"/>
        <v>90.518930231754439</v>
      </c>
    </row>
    <row r="31" spans="17:46" x14ac:dyDescent="0.3">
      <c r="Q31">
        <v>24</v>
      </c>
      <c r="R31" s="39">
        <f t="shared" si="0"/>
        <v>20</v>
      </c>
      <c r="S31" s="37">
        <f t="shared" si="1"/>
        <v>7.0000000000000007E-2</v>
      </c>
      <c r="T31" s="37">
        <f t="shared" si="2"/>
        <v>5</v>
      </c>
      <c r="U31" s="40">
        <f t="shared" si="3"/>
        <v>0.31111111111111112</v>
      </c>
      <c r="V31" s="39">
        <f t="shared" si="4"/>
        <v>1</v>
      </c>
      <c r="W31" s="37">
        <f t="shared" si="5"/>
        <v>0.52529991433465895</v>
      </c>
      <c r="X31" s="40">
        <f t="shared" si="6"/>
        <v>0.1150406812392903</v>
      </c>
      <c r="Y31" s="39">
        <f t="shared" si="7"/>
        <v>0.79954324860678694</v>
      </c>
      <c r="Z31" s="37">
        <f t="shared" si="28"/>
        <v>0.79954324860678694</v>
      </c>
      <c r="AA31" s="37">
        <f t="shared" si="29"/>
        <v>0.36939146011681739</v>
      </c>
      <c r="AB31" s="37">
        <v>0</v>
      </c>
      <c r="AC31" s="37">
        <f t="shared" si="8"/>
        <v>1.0233753810542572E-2</v>
      </c>
      <c r="AD31" s="40">
        <f t="shared" si="19"/>
        <v>1.0233753810542572E-2</v>
      </c>
      <c r="AE31" s="39">
        <f t="shared" si="27"/>
        <v>0.16342664001522722</v>
      </c>
      <c r="AF31" s="37">
        <f t="shared" si="20"/>
        <v>0.3345684605651737</v>
      </c>
      <c r="AG31" s="37">
        <f t="shared" si="9"/>
        <v>5.4848666854425603E-4</v>
      </c>
      <c r="AH31" s="37">
        <f t="shared" si="10"/>
        <v>1.0203497860113878E-2</v>
      </c>
      <c r="AI31" s="40">
        <f t="shared" si="21"/>
        <v>1.0751984528658134E-2</v>
      </c>
      <c r="AJ31" s="39">
        <f t="shared" si="22"/>
        <v>3.5790434163334758E-2</v>
      </c>
      <c r="AK31" s="37">
        <f t="shared" si="11"/>
        <v>0.15656946063100585</v>
      </c>
      <c r="AL31" s="37">
        <f t="shared" si="12"/>
        <v>6.4400000000000013E-2</v>
      </c>
      <c r="AM31" s="37">
        <f t="shared" si="13"/>
        <v>4.5814800000000003E-2</v>
      </c>
      <c r="AN31" s="40">
        <f t="shared" si="23"/>
        <v>0.11021480000000002</v>
      </c>
      <c r="AO31" s="39">
        <f t="shared" si="14"/>
        <v>4.4774421921980074E-3</v>
      </c>
      <c r="AP31" s="37">
        <f t="shared" si="15"/>
        <v>6.6521250000000009E-3</v>
      </c>
      <c r="AQ31" s="40">
        <f t="shared" si="16"/>
        <v>2.2499999999999998E-3</v>
      </c>
      <c r="AR31" s="39">
        <f t="shared" si="24"/>
        <v>0.14458010553139872</v>
      </c>
      <c r="AS31" s="37">
        <f t="shared" si="25"/>
        <v>1.4000000000000001</v>
      </c>
      <c r="AT31" s="40">
        <f t="shared" si="26"/>
        <v>90.639520409874947</v>
      </c>
    </row>
    <row r="32" spans="17:46" x14ac:dyDescent="0.3">
      <c r="Q32">
        <v>25</v>
      </c>
      <c r="R32" s="39">
        <f t="shared" si="0"/>
        <v>20</v>
      </c>
      <c r="S32" s="37">
        <f t="shared" si="1"/>
        <v>7.2916666666666671E-2</v>
      </c>
      <c r="T32" s="37">
        <f t="shared" si="2"/>
        <v>5</v>
      </c>
      <c r="U32" s="40">
        <f t="shared" si="3"/>
        <v>0.32407407407407413</v>
      </c>
      <c r="V32" s="39">
        <f t="shared" si="4"/>
        <v>1</v>
      </c>
      <c r="W32" s="37">
        <f t="shared" si="5"/>
        <v>0.53613198001984552</v>
      </c>
      <c r="X32" s="40">
        <f t="shared" si="6"/>
        <v>0.11741290362434616</v>
      </c>
      <c r="Y32" s="39">
        <f t="shared" si="7"/>
        <v>0.81603041098911044</v>
      </c>
      <c r="Z32" s="37">
        <f t="shared" si="28"/>
        <v>0.81603041098911044</v>
      </c>
      <c r="AA32" s="37">
        <f t="shared" si="29"/>
        <v>0.38087584090734439</v>
      </c>
      <c r="AB32" s="37">
        <v>0</v>
      </c>
      <c r="AC32" s="37">
        <f t="shared" si="8"/>
        <v>1.0879980464015754E-2</v>
      </c>
      <c r="AD32" s="40">
        <f t="shared" si="19"/>
        <v>1.0879980464015754E-2</v>
      </c>
      <c r="AE32" s="39">
        <f t="shared" si="27"/>
        <v>0.17374647500643145</v>
      </c>
      <c r="AF32" s="37">
        <f t="shared" si="20"/>
        <v>0.34497019427178338</v>
      </c>
      <c r="AG32" s="37">
        <f t="shared" si="9"/>
        <v>5.8312173118596868E-4</v>
      </c>
      <c r="AH32" s="37">
        <f t="shared" si="10"/>
        <v>1.0628643604285292E-2</v>
      </c>
      <c r="AI32" s="40">
        <f t="shared" si="21"/>
        <v>1.121176533547126E-2</v>
      </c>
      <c r="AJ32" s="39">
        <f t="shared" si="22"/>
        <v>3.8050478026408485E-2</v>
      </c>
      <c r="AK32" s="37">
        <f t="shared" si="11"/>
        <v>0.16143720528727173</v>
      </c>
      <c r="AL32" s="37">
        <f t="shared" si="12"/>
        <v>6.7083333333333342E-2</v>
      </c>
      <c r="AM32" s="37">
        <f t="shared" si="13"/>
        <v>4.5814800000000003E-2</v>
      </c>
      <c r="AN32" s="40">
        <f t="shared" si="23"/>
        <v>0.11289813333333334</v>
      </c>
      <c r="AO32" s="39">
        <f t="shared" si="14"/>
        <v>4.7601773974364787E-3</v>
      </c>
      <c r="AP32" s="37">
        <f t="shared" si="15"/>
        <v>6.6521250000000009E-3</v>
      </c>
      <c r="AQ32" s="40">
        <f t="shared" si="16"/>
        <v>2.2499999999999998E-3</v>
      </c>
      <c r="AR32" s="39">
        <f t="shared" si="24"/>
        <v>0.14865218153025683</v>
      </c>
      <c r="AS32" s="37">
        <f t="shared" si="25"/>
        <v>1.4583333333333335</v>
      </c>
      <c r="AT32" s="40">
        <f t="shared" si="26"/>
        <v>90.749625298092667</v>
      </c>
    </row>
    <row r="33" spans="17:46" x14ac:dyDescent="0.3">
      <c r="Q33">
        <v>26</v>
      </c>
      <c r="R33" s="39">
        <f t="shared" si="0"/>
        <v>20</v>
      </c>
      <c r="S33" s="37">
        <f t="shared" si="1"/>
        <v>7.5833333333333336E-2</v>
      </c>
      <c r="T33" s="37">
        <f t="shared" si="2"/>
        <v>5</v>
      </c>
      <c r="U33" s="40">
        <f t="shared" si="3"/>
        <v>0.33703703703703702</v>
      </c>
      <c r="V33" s="39">
        <f t="shared" si="4"/>
        <v>1</v>
      </c>
      <c r="W33" s="37">
        <f t="shared" si="5"/>
        <v>0.54674948559646586</v>
      </c>
      <c r="X33" s="40">
        <f t="shared" si="6"/>
        <v>0.11973813734562602</v>
      </c>
      <c r="Y33" s="39">
        <f t="shared" si="7"/>
        <v>0.83219099786372286</v>
      </c>
      <c r="Z33" s="37">
        <f t="shared" si="28"/>
        <v>0.83219099786372286</v>
      </c>
      <c r="AA33" s="37">
        <f t="shared" si="29"/>
        <v>0.39224591606547232</v>
      </c>
      <c r="AB33" s="37">
        <v>0</v>
      </c>
      <c r="AC33" s="37">
        <f t="shared" si="8"/>
        <v>1.1539264400253118E-2</v>
      </c>
      <c r="AD33" s="40">
        <f t="shared" si="19"/>
        <v>1.1539264400253118E-2</v>
      </c>
      <c r="AE33" s="39">
        <f t="shared" si="27"/>
        <v>0.18427482662695702</v>
      </c>
      <c r="AF33" s="37">
        <f t="shared" si="20"/>
        <v>0.35526839808234845</v>
      </c>
      <c r="AG33" s="37">
        <f t="shared" si="9"/>
        <v>6.1845660991239032E-4</v>
      </c>
      <c r="AH33" s="37">
        <f t="shared" si="10"/>
        <v>1.1053789348456701E-2</v>
      </c>
      <c r="AI33" s="40">
        <f t="shared" si="21"/>
        <v>1.167224595836909E-2</v>
      </c>
      <c r="AJ33" s="39">
        <f t="shared" si="22"/>
        <v>4.0356187031303586E-2</v>
      </c>
      <c r="AK33" s="37">
        <f t="shared" si="11"/>
        <v>0.16625650060687419</v>
      </c>
      <c r="AL33" s="37">
        <f t="shared" si="12"/>
        <v>6.9766666666666671E-2</v>
      </c>
      <c r="AM33" s="37">
        <f t="shared" si="13"/>
        <v>4.5814800000000003E-2</v>
      </c>
      <c r="AN33" s="40">
        <f t="shared" si="23"/>
        <v>0.11558146666666667</v>
      </c>
      <c r="AO33" s="39">
        <f t="shared" si="14"/>
        <v>5.0486253870399202E-3</v>
      </c>
      <c r="AP33" s="37">
        <f t="shared" si="15"/>
        <v>6.6521250000000009E-3</v>
      </c>
      <c r="AQ33" s="40">
        <f t="shared" si="16"/>
        <v>2.2499999999999998E-3</v>
      </c>
      <c r="AR33" s="39">
        <f t="shared" si="24"/>
        <v>0.15274372741232883</v>
      </c>
      <c r="AS33" s="37">
        <f t="shared" si="25"/>
        <v>1.5166666666666666</v>
      </c>
      <c r="AT33" s="40">
        <f t="shared" si="26"/>
        <v>90.850438696555685</v>
      </c>
    </row>
    <row r="34" spans="17:46" x14ac:dyDescent="0.3">
      <c r="Q34">
        <v>27</v>
      </c>
      <c r="R34" s="39">
        <f t="shared" si="0"/>
        <v>20</v>
      </c>
      <c r="S34" s="37">
        <f t="shared" si="1"/>
        <v>7.8750000000000001E-2</v>
      </c>
      <c r="T34" s="37">
        <f t="shared" si="2"/>
        <v>5</v>
      </c>
      <c r="U34" s="40">
        <f t="shared" si="3"/>
        <v>0.35</v>
      </c>
      <c r="V34" s="39">
        <f t="shared" si="4"/>
        <v>1</v>
      </c>
      <c r="W34" s="37">
        <f t="shared" si="5"/>
        <v>0.55716469737412477</v>
      </c>
      <c r="X34" s="40">
        <f t="shared" si="6"/>
        <v>0.12201906872493332</v>
      </c>
      <c r="Y34" s="39">
        <f t="shared" si="7"/>
        <v>0.848043679412671</v>
      </c>
      <c r="Z34" s="37">
        <f t="shared" si="28"/>
        <v>0.848043679412671</v>
      </c>
      <c r="AA34" s="37">
        <f t="shared" si="29"/>
        <v>0.40350715745775473</v>
      </c>
      <c r="AB34" s="37">
        <v>0</v>
      </c>
      <c r="AC34" s="37">
        <f t="shared" si="8"/>
        <v>1.2211351958972796E-2</v>
      </c>
      <c r="AD34" s="40">
        <f t="shared" si="19"/>
        <v>1.2211351958972796E-2</v>
      </c>
      <c r="AE34" s="39">
        <f t="shared" si="27"/>
        <v>0.19500764408094365</v>
      </c>
      <c r="AF34" s="37">
        <f t="shared" si="20"/>
        <v>0.36546802802365036</v>
      </c>
      <c r="AG34" s="37">
        <f t="shared" si="9"/>
        <v>6.5447770958672899E-4</v>
      </c>
      <c r="AH34" s="37">
        <f t="shared" si="10"/>
        <v>1.1478935092628113E-2</v>
      </c>
      <c r="AI34" s="40">
        <f t="shared" si="21"/>
        <v>1.2133412802214841E-2</v>
      </c>
      <c r="AJ34" s="39">
        <f t="shared" si="22"/>
        <v>4.2706674053726655E-2</v>
      </c>
      <c r="AK34" s="37">
        <f t="shared" si="11"/>
        <v>0.17102966588326587</v>
      </c>
      <c r="AL34" s="37">
        <f t="shared" si="12"/>
        <v>7.2450000000000001E-2</v>
      </c>
      <c r="AM34" s="37">
        <f t="shared" si="13"/>
        <v>4.5814800000000003E-2</v>
      </c>
      <c r="AN34" s="40">
        <f t="shared" si="23"/>
        <v>0.1182648</v>
      </c>
      <c r="AO34" s="39">
        <f t="shared" si="14"/>
        <v>5.3426751802998279E-3</v>
      </c>
      <c r="AP34" s="37">
        <f t="shared" si="15"/>
        <v>6.6521250000000009E-3</v>
      </c>
      <c r="AQ34" s="40">
        <f t="shared" si="16"/>
        <v>2.2499999999999998E-3</v>
      </c>
      <c r="AR34" s="39">
        <f t="shared" si="24"/>
        <v>0.15685436494148747</v>
      </c>
      <c r="AS34" s="37">
        <f t="shared" si="25"/>
        <v>1.575</v>
      </c>
      <c r="AT34" s="40">
        <f t="shared" si="26"/>
        <v>90.942981805124987</v>
      </c>
    </row>
    <row r="35" spans="17:46" x14ac:dyDescent="0.3">
      <c r="Q35">
        <v>28</v>
      </c>
      <c r="R35" s="39">
        <f t="shared" si="0"/>
        <v>20</v>
      </c>
      <c r="S35" s="37">
        <f t="shared" si="1"/>
        <v>8.1666666666666665E-2</v>
      </c>
      <c r="T35" s="37">
        <f t="shared" si="2"/>
        <v>5</v>
      </c>
      <c r="U35" s="40">
        <f t="shared" si="3"/>
        <v>0.36296296296296293</v>
      </c>
      <c r="V35" s="39">
        <f t="shared" si="4"/>
        <v>1</v>
      </c>
      <c r="W35" s="37">
        <f t="shared" si="5"/>
        <v>0.5673887556164644</v>
      </c>
      <c r="X35" s="40">
        <f t="shared" si="6"/>
        <v>0.12425813748000568</v>
      </c>
      <c r="Y35" s="39">
        <f t="shared" si="7"/>
        <v>0.86360541189720619</v>
      </c>
      <c r="Z35" s="37">
        <f t="shared" si="28"/>
        <v>0.86360541189720619</v>
      </c>
      <c r="AA35" s="37">
        <f t="shared" si="29"/>
        <v>0.41466458275748613</v>
      </c>
      <c r="AB35" s="37">
        <v>0</v>
      </c>
      <c r="AC35" s="37">
        <f t="shared" si="8"/>
        <v>1.2896003714508004E-2</v>
      </c>
      <c r="AD35" s="40">
        <f t="shared" si="19"/>
        <v>1.2896003714508004E-2</v>
      </c>
      <c r="AE35" s="39">
        <f t="shared" si="27"/>
        <v>0.20594110389042039</v>
      </c>
      <c r="AF35" s="37">
        <f t="shared" si="20"/>
        <v>0.37557362874658412</v>
      </c>
      <c r="AG35" s="37">
        <f t="shared" si="9"/>
        <v>6.9117219798839748E-4</v>
      </c>
      <c r="AH35" s="37">
        <f t="shared" si="10"/>
        <v>1.1904080836799525E-2</v>
      </c>
      <c r="AI35" s="40">
        <f t="shared" si="21"/>
        <v>1.2595253034787922E-2</v>
      </c>
      <c r="AJ35" s="39">
        <f t="shared" si="22"/>
        <v>4.5101101752002055E-2</v>
      </c>
      <c r="AK35" s="37">
        <f t="shared" si="11"/>
        <v>0.17575882789653288</v>
      </c>
      <c r="AL35" s="37">
        <f t="shared" si="12"/>
        <v>7.513333333333333E-2</v>
      </c>
      <c r="AM35" s="37">
        <f t="shared" si="13"/>
        <v>4.5814800000000003E-2</v>
      </c>
      <c r="AN35" s="40">
        <f t="shared" si="23"/>
        <v>0.12094813333333333</v>
      </c>
      <c r="AO35" s="39">
        <f t="shared" si="14"/>
        <v>5.6422220243950803E-3</v>
      </c>
      <c r="AP35" s="37">
        <f t="shared" si="15"/>
        <v>6.6521250000000009E-3</v>
      </c>
      <c r="AQ35" s="40">
        <f t="shared" si="16"/>
        <v>2.2499999999999998E-3</v>
      </c>
      <c r="AR35" s="39">
        <f t="shared" si="24"/>
        <v>0.16098373710702435</v>
      </c>
      <c r="AS35" s="37">
        <f t="shared" si="25"/>
        <v>1.6333333333333333</v>
      </c>
      <c r="AT35" s="40">
        <f t="shared" si="26"/>
        <v>91.028133223549162</v>
      </c>
    </row>
    <row r="36" spans="17:46" x14ac:dyDescent="0.3">
      <c r="Q36">
        <v>29</v>
      </c>
      <c r="R36" s="39">
        <f t="shared" si="0"/>
        <v>20</v>
      </c>
      <c r="S36" s="37">
        <f t="shared" si="1"/>
        <v>8.4583333333333344E-2</v>
      </c>
      <c r="T36" s="37">
        <f t="shared" si="2"/>
        <v>5</v>
      </c>
      <c r="U36" s="40">
        <f t="shared" si="3"/>
        <v>0.375925925925926</v>
      </c>
      <c r="V36" s="39">
        <f t="shared" si="4"/>
        <v>1</v>
      </c>
      <c r="W36" s="37">
        <f t="shared" si="5"/>
        <v>0.57743181415644218</v>
      </c>
      <c r="X36" s="40">
        <f t="shared" si="6"/>
        <v>0.12645756730026084</v>
      </c>
      <c r="Y36" s="39">
        <f t="shared" si="7"/>
        <v>0.87889165016201254</v>
      </c>
      <c r="Z36" s="37">
        <f t="shared" si="28"/>
        <v>0.87889165016201254</v>
      </c>
      <c r="AA36" s="37">
        <f t="shared" si="29"/>
        <v>0.4257228079730413</v>
      </c>
      <c r="AB36" s="37">
        <v>0</v>
      </c>
      <c r="AC36" s="37">
        <f t="shared" si="8"/>
        <v>1.3592993192133824E-2</v>
      </c>
      <c r="AD36" s="40">
        <f t="shared" si="19"/>
        <v>1.3592993192133824E-2</v>
      </c>
      <c r="AE36" s="39">
        <f t="shared" si="27"/>
        <v>0.21707158939584775</v>
      </c>
      <c r="AF36" s="37">
        <f t="shared" si="20"/>
        <v>0.38558938110258406</v>
      </c>
      <c r="AG36" s="37">
        <f t="shared" si="9"/>
        <v>7.285279370134618E-4</v>
      </c>
      <c r="AH36" s="37">
        <f t="shared" si="10"/>
        <v>1.2329226580970938E-2</v>
      </c>
      <c r="AI36" s="40">
        <f t="shared" si="21"/>
        <v>1.30577545179844E-2</v>
      </c>
      <c r="AJ36" s="39">
        <f t="shared" si="22"/>
        <v>4.753867807769066E-2</v>
      </c>
      <c r="AK36" s="37">
        <f t="shared" si="11"/>
        <v>0.18044594317794224</v>
      </c>
      <c r="AL36" s="37">
        <f t="shared" si="12"/>
        <v>7.7816666666666673E-2</v>
      </c>
      <c r="AM36" s="37">
        <f t="shared" si="13"/>
        <v>4.5814800000000003E-2</v>
      </c>
      <c r="AN36" s="40">
        <f t="shared" si="23"/>
        <v>0.12363146666666668</v>
      </c>
      <c r="AO36" s="39">
        <f t="shared" si="14"/>
        <v>5.9471668327629526E-3</v>
      </c>
      <c r="AP36" s="37">
        <f t="shared" si="15"/>
        <v>6.6521250000000009E-3</v>
      </c>
      <c r="AQ36" s="40">
        <f t="shared" si="16"/>
        <v>2.2499999999999998E-3</v>
      </c>
      <c r="AR36" s="39">
        <f t="shared" si="24"/>
        <v>0.16513150620954789</v>
      </c>
      <c r="AS36" s="37">
        <f t="shared" si="25"/>
        <v>1.6916666666666669</v>
      </c>
      <c r="AT36" s="40">
        <f t="shared" si="26"/>
        <v>91.106652913506679</v>
      </c>
    </row>
    <row r="37" spans="17:46" x14ac:dyDescent="0.3">
      <c r="Q37">
        <v>30</v>
      </c>
      <c r="R37" s="39">
        <f t="shared" si="0"/>
        <v>20</v>
      </c>
      <c r="S37" s="37">
        <f t="shared" si="1"/>
        <v>8.7500000000000008E-2</v>
      </c>
      <c r="T37" s="37">
        <f t="shared" si="2"/>
        <v>5</v>
      </c>
      <c r="U37" s="40">
        <f t="shared" si="3"/>
        <v>0.38888888888888895</v>
      </c>
      <c r="V37" s="39">
        <f t="shared" si="4"/>
        <v>1</v>
      </c>
      <c r="W37" s="37">
        <f t="shared" si="5"/>
        <v>0.58730315851355674</v>
      </c>
      <c r="X37" s="40">
        <f t="shared" si="6"/>
        <v>0.12861939171446893</v>
      </c>
      <c r="Y37" s="39">
        <f t="shared" si="7"/>
        <v>0.89391652741789474</v>
      </c>
      <c r="Z37" s="37">
        <f t="shared" si="28"/>
        <v>0.89391652741789474</v>
      </c>
      <c r="AA37" s="37">
        <f t="shared" si="29"/>
        <v>0.43668609230363908</v>
      </c>
      <c r="AB37" s="37">
        <v>0</v>
      </c>
      <c r="AC37" s="37">
        <f t="shared" si="8"/>
        <v>1.4302105740856681E-2</v>
      </c>
      <c r="AD37" s="40">
        <f t="shared" si="19"/>
        <v>1.4302105740856681E-2</v>
      </c>
      <c r="AE37" s="39">
        <f t="shared" si="27"/>
        <v>0.22839567275527212</v>
      </c>
      <c r="AF37" s="37">
        <f t="shared" si="20"/>
        <v>0.39551914277077865</v>
      </c>
      <c r="AG37" s="37">
        <f t="shared" si="9"/>
        <v>7.665334222608449E-4</v>
      </c>
      <c r="AH37" s="37">
        <f t="shared" si="10"/>
        <v>1.2754372325142349E-2</v>
      </c>
      <c r="AI37" s="40">
        <f t="shared" si="21"/>
        <v>1.3520905747403193E-2</v>
      </c>
      <c r="AJ37" s="39">
        <f t="shared" si="22"/>
        <v>5.0018652333404592E-2</v>
      </c>
      <c r="AK37" s="37">
        <f t="shared" si="11"/>
        <v>0.18509281702240857</v>
      </c>
      <c r="AL37" s="37">
        <f t="shared" si="12"/>
        <v>8.0500000000000016E-2</v>
      </c>
      <c r="AM37" s="37">
        <f t="shared" si="13"/>
        <v>4.5814800000000003E-2</v>
      </c>
      <c r="AN37" s="40">
        <f t="shared" si="23"/>
        <v>0.1263148</v>
      </c>
      <c r="AO37" s="39">
        <f t="shared" si="14"/>
        <v>6.2574156919252633E-3</v>
      </c>
      <c r="AP37" s="37">
        <f t="shared" si="15"/>
        <v>6.6521250000000009E-3</v>
      </c>
      <c r="AQ37" s="40">
        <f t="shared" si="16"/>
        <v>2.2499999999999998E-3</v>
      </c>
      <c r="AR37" s="39">
        <f t="shared" si="24"/>
        <v>0.16929735218018516</v>
      </c>
      <c r="AS37" s="37">
        <f t="shared" si="25"/>
        <v>1.7500000000000002</v>
      </c>
      <c r="AT37" s="40">
        <f t="shared" si="26"/>
        <v>91.179201493302983</v>
      </c>
    </row>
    <row r="38" spans="17:46" x14ac:dyDescent="0.3">
      <c r="Q38">
        <v>31</v>
      </c>
      <c r="R38" s="39">
        <f t="shared" si="0"/>
        <v>20</v>
      </c>
      <c r="S38" s="37">
        <f t="shared" si="1"/>
        <v>9.0416666666666673E-2</v>
      </c>
      <c r="T38" s="37">
        <f t="shared" si="2"/>
        <v>5</v>
      </c>
      <c r="U38" s="40">
        <f t="shared" si="3"/>
        <v>0.4018518518518519</v>
      </c>
      <c r="V38" s="39">
        <f t="shared" si="4"/>
        <v>1</v>
      </c>
      <c r="W38" s="37">
        <f t="shared" si="5"/>
        <v>0.59701130642559863</v>
      </c>
      <c r="X38" s="40">
        <f t="shared" si="6"/>
        <v>0.1307454761072061</v>
      </c>
      <c r="Y38" s="39">
        <f t="shared" si="7"/>
        <v>0.90869300825814114</v>
      </c>
      <c r="Z38" s="37">
        <f t="shared" si="28"/>
        <v>0.90869300825814114</v>
      </c>
      <c r="AA38" s="37">
        <f t="shared" si="29"/>
        <v>0.44755837666114234</v>
      </c>
      <c r="AB38" s="37">
        <v>0</v>
      </c>
      <c r="AC38" s="37">
        <f t="shared" si="8"/>
        <v>1.5023137538966771E-2</v>
      </c>
      <c r="AD38" s="40">
        <f t="shared" si="19"/>
        <v>1.5023137538966771E-2</v>
      </c>
      <c r="AE38" s="39">
        <f t="shared" si="27"/>
        <v>0.23991009906362024</v>
      </c>
      <c r="AF38" s="37">
        <f t="shared" si="20"/>
        <v>0.40536648314829121</v>
      </c>
      <c r="AG38" s="37">
        <f t="shared" si="9"/>
        <v>8.0517772973406801E-4</v>
      </c>
      <c r="AH38" s="37">
        <f t="shared" si="10"/>
        <v>1.3179518069313761E-2</v>
      </c>
      <c r="AI38" s="40">
        <f t="shared" si="21"/>
        <v>1.3984695799047828E-2</v>
      </c>
      <c r="AJ38" s="39">
        <f t="shared" si="22"/>
        <v>5.2540311694932833E-2</v>
      </c>
      <c r="AK38" s="37">
        <f t="shared" si="11"/>
        <v>0.18970111981626003</v>
      </c>
      <c r="AL38" s="37">
        <f t="shared" si="12"/>
        <v>8.3183333333333345E-2</v>
      </c>
      <c r="AM38" s="37">
        <f t="shared" si="13"/>
        <v>4.5814800000000003E-2</v>
      </c>
      <c r="AN38" s="40">
        <f t="shared" si="23"/>
        <v>0.12899813333333335</v>
      </c>
      <c r="AO38" s="39">
        <f t="shared" si="14"/>
        <v>6.572879426400554E-3</v>
      </c>
      <c r="AP38" s="37">
        <f t="shared" si="15"/>
        <v>6.6521250000000009E-3</v>
      </c>
      <c r="AQ38" s="40">
        <f t="shared" si="16"/>
        <v>2.2499999999999998E-3</v>
      </c>
      <c r="AR38" s="39">
        <f t="shared" si="24"/>
        <v>0.17348097109774852</v>
      </c>
      <c r="AS38" s="37">
        <f t="shared" si="25"/>
        <v>1.8083333333333336</v>
      </c>
      <c r="AT38" s="40">
        <f t="shared" si="26"/>
        <v>91.246355891676259</v>
      </c>
    </row>
    <row r="39" spans="17:46" x14ac:dyDescent="0.3">
      <c r="Q39">
        <v>32</v>
      </c>
      <c r="R39" s="39">
        <f t="shared" si="0"/>
        <v>20</v>
      </c>
      <c r="S39" s="37">
        <f t="shared" ref="S39:S70" si="30">Q39*$O$12</f>
        <v>9.3333333333333338E-2</v>
      </c>
      <c r="T39" s="37">
        <f t="shared" si="2"/>
        <v>5</v>
      </c>
      <c r="U39" s="40">
        <f t="shared" ref="U39:U70" si="31">(R39*S39)/(T39*EFF_est)</f>
        <v>0.4148148148148148</v>
      </c>
      <c r="V39" s="39">
        <f t="shared" ref="V39:V70" si="32">IF((S39*R39/T39)&lt;((T39*(1-(T39/R39)))/(2*Lm*Fsw)),1,2)</f>
        <v>1</v>
      </c>
      <c r="W39" s="37">
        <f t="shared" ref="W39:W70" si="33">CHOOSE(V39,SQRT((2*S39*Lm*Fsw*(R39-T39))/((T39)^2)),1-(T39/R39))</f>
        <v>0.60656409389280541</v>
      </c>
      <c r="X39" s="40">
        <f t="shared" ref="X39:X70" si="34">CHOOSE(V39,(Lm*W39*Fsw)/(R39-T39),1-W39)</f>
        <v>0.13283753656252437</v>
      </c>
      <c r="Y39" s="39">
        <f t="shared" ref="Y39:Y70" si="35">(T39*W39)/(Lm*Fsw)</f>
        <v>0.92323301962375259</v>
      </c>
      <c r="Z39" s="37">
        <f t="shared" si="28"/>
        <v>0.92323301962375259</v>
      </c>
      <c r="AA39" s="37">
        <f t="shared" si="29"/>
        <v>0.45834331692737296</v>
      </c>
      <c r="AB39" s="37">
        <v>0</v>
      </c>
      <c r="AC39" s="37">
        <f t="shared" ref="AC39:AC70" si="36">(AA39^2)*Rdcr</f>
        <v>1.5755894712898968E-2</v>
      </c>
      <c r="AD39" s="40">
        <f t="shared" si="19"/>
        <v>1.5755894712898968E-2</v>
      </c>
      <c r="AE39" s="39">
        <f t="shared" si="27"/>
        <v>0.25161177228146003</v>
      </c>
      <c r="AF39" s="37">
        <f t="shared" si="20"/>
        <v>0.41513471347234648</v>
      </c>
      <c r="AG39" s="37">
        <f t="shared" ref="AG39:AG70" si="37">(AF39^2)*RDS_on</f>
        <v>8.444504686158595E-4</v>
      </c>
      <c r="AH39" s="37">
        <f t="shared" ref="AH39:AH70" si="38">((R39*U39)/2)*Fsw*(tr_sw+tf_sw)</f>
        <v>1.3604663813485169E-2</v>
      </c>
      <c r="AI39" s="40">
        <f t="shared" si="21"/>
        <v>1.4449114282101029E-2</v>
      </c>
      <c r="AJ39" s="39">
        <f t="shared" si="22"/>
        <v>5.5102978129639733E-2</v>
      </c>
      <c r="AK39" s="37">
        <f t="shared" ref="AK39:AK70" si="39">CHOOSE(V39,Z39*SQRT(X39/3),SQRT(X39*((Z39^2)+((Y39^2)/3)-(Y39*Z39))))</f>
        <v>0.19427240113361188</v>
      </c>
      <c r="AL39" s="37">
        <f t="shared" ref="AL39:AL70" si="40">S39*Vd_rect</f>
        <v>8.5866666666666674E-2</v>
      </c>
      <c r="AM39" s="37">
        <f t="shared" ref="AM39:AM70" si="41">CHOOSE(V39,(R39+Vd_rect)*Qrr*Fsw,(R39+Vd_rect)*Qrr*Fsw)</f>
        <v>4.5814800000000003E-2</v>
      </c>
      <c r="AN39" s="40">
        <f t="shared" si="23"/>
        <v>0.13168146666666669</v>
      </c>
      <c r="AO39" s="39">
        <f t="shared" ref="AO39:AO70" si="42">(AF39^2)*R_cs</f>
        <v>6.8934732131906888E-3</v>
      </c>
      <c r="AP39" s="37">
        <f t="shared" ref="AP39:AP70" si="43">Qg_tot*Vcc*Fsw</f>
        <v>6.6521250000000009E-3</v>
      </c>
      <c r="AQ39" s="40">
        <f t="shared" ref="AQ39:AQ70" si="44">IQ*T39</f>
        <v>2.2499999999999998E-3</v>
      </c>
      <c r="AR39" s="39">
        <f t="shared" si="24"/>
        <v>0.17768207387485738</v>
      </c>
      <c r="AS39" s="37">
        <f t="shared" si="25"/>
        <v>1.8666666666666667</v>
      </c>
      <c r="AT39" s="40">
        <f t="shared" si="26"/>
        <v>91.308622137151048</v>
      </c>
    </row>
    <row r="40" spans="17:46" x14ac:dyDescent="0.3">
      <c r="Q40">
        <v>33</v>
      </c>
      <c r="R40" s="39">
        <f t="shared" si="0"/>
        <v>20</v>
      </c>
      <c r="S40" s="37">
        <f t="shared" si="30"/>
        <v>9.6250000000000002E-2</v>
      </c>
      <c r="T40" s="37">
        <f t="shared" si="2"/>
        <v>5</v>
      </c>
      <c r="U40" s="40">
        <f t="shared" si="31"/>
        <v>0.42777777777777781</v>
      </c>
      <c r="V40" s="39">
        <f t="shared" si="32"/>
        <v>1</v>
      </c>
      <c r="W40" s="37">
        <f t="shared" si="33"/>
        <v>0.61596874920729539</v>
      </c>
      <c r="X40" s="40">
        <f t="shared" si="34"/>
        <v>0.13489715607639768</v>
      </c>
      <c r="Y40" s="39">
        <f t="shared" si="35"/>
        <v>0.93754756348142376</v>
      </c>
      <c r="Z40" s="37">
        <f t="shared" si="28"/>
        <v>0.93754756348142376</v>
      </c>
      <c r="AA40" s="37">
        <f t="shared" si="29"/>
        <v>0.4690443128081207</v>
      </c>
      <c r="AB40" s="37">
        <v>0</v>
      </c>
      <c r="AC40" s="37">
        <f t="shared" si="36"/>
        <v>1.6500192553323162E-2</v>
      </c>
      <c r="AD40" s="40">
        <f t="shared" si="19"/>
        <v>1.6500192553323162E-2</v>
      </c>
      <c r="AE40" s="39">
        <f t="shared" si="27"/>
        <v>0.26349774271645415</v>
      </c>
      <c r="AF40" s="37">
        <f t="shared" si="20"/>
        <v>0.42482691295417485</v>
      </c>
      <c r="AG40" s="37">
        <f t="shared" si="37"/>
        <v>8.8434173925385298E-4</v>
      </c>
      <c r="AH40" s="37">
        <f t="shared" si="38"/>
        <v>1.4029809557656585E-2</v>
      </c>
      <c r="AI40" s="40">
        <f t="shared" si="21"/>
        <v>1.4914151296910438E-2</v>
      </c>
      <c r="AJ40" s="39">
        <f t="shared" si="22"/>
        <v>5.7706005654903456E-2</v>
      </c>
      <c r="AK40" s="37">
        <f t="shared" si="39"/>
        <v>0.19880810196636384</v>
      </c>
      <c r="AL40" s="37">
        <f t="shared" si="40"/>
        <v>8.8550000000000004E-2</v>
      </c>
      <c r="AM40" s="37">
        <f t="shared" si="41"/>
        <v>4.5814800000000003E-2</v>
      </c>
      <c r="AN40" s="40">
        <f t="shared" si="23"/>
        <v>0.13436480000000001</v>
      </c>
      <c r="AO40" s="39">
        <f t="shared" si="42"/>
        <v>7.2191162388069623E-3</v>
      </c>
      <c r="AP40" s="37">
        <f t="shared" si="43"/>
        <v>6.6521250000000009E-3</v>
      </c>
      <c r="AQ40" s="40">
        <f t="shared" si="44"/>
        <v>2.2499999999999998E-3</v>
      </c>
      <c r="AR40" s="39">
        <f t="shared" si="24"/>
        <v>0.18190038508904058</v>
      </c>
      <c r="AS40" s="37">
        <f t="shared" si="25"/>
        <v>1.925</v>
      </c>
      <c r="AT40" s="40">
        <f t="shared" si="26"/>
        <v>91.366445875828475</v>
      </c>
    </row>
    <row r="41" spans="17:46" x14ac:dyDescent="0.3">
      <c r="Q41">
        <v>34</v>
      </c>
      <c r="R41" s="39">
        <f t="shared" si="0"/>
        <v>20</v>
      </c>
      <c r="S41" s="37">
        <f t="shared" si="30"/>
        <v>9.9166666666666667E-2</v>
      </c>
      <c r="T41" s="37">
        <f t="shared" si="2"/>
        <v>5</v>
      </c>
      <c r="U41" s="40">
        <f t="shared" si="31"/>
        <v>0.44074074074074077</v>
      </c>
      <c r="V41" s="39">
        <f t="shared" si="32"/>
        <v>1</v>
      </c>
      <c r="W41" s="37">
        <f t="shared" si="33"/>
        <v>0.62523195695677614</v>
      </c>
      <c r="X41" s="40">
        <f t="shared" si="34"/>
        <v>0.13692579857353399</v>
      </c>
      <c r="Y41" s="39">
        <f t="shared" si="35"/>
        <v>0.95164681424166853</v>
      </c>
      <c r="Z41" s="37">
        <f t="shared" si="28"/>
        <v>0.95164681424166853</v>
      </c>
      <c r="AA41" s="37">
        <f t="shared" si="29"/>
        <v>0.47966453298235889</v>
      </c>
      <c r="AB41" s="37">
        <v>0</v>
      </c>
      <c r="AC41" s="37">
        <f t="shared" si="36"/>
        <v>1.7255854815088834E-2</v>
      </c>
      <c r="AD41" s="40">
        <f t="shared" si="19"/>
        <v>1.7255854815088834E-2</v>
      </c>
      <c r="AE41" s="39">
        <f t="shared" si="27"/>
        <v>0.27556519584391248</v>
      </c>
      <c r="AF41" s="37">
        <f t="shared" si="20"/>
        <v>0.43444595155738025</v>
      </c>
      <c r="AG41" s="37">
        <f t="shared" si="37"/>
        <v>9.2484209564052831E-4</v>
      </c>
      <c r="AH41" s="37">
        <f t="shared" si="38"/>
        <v>1.4454955301827995E-2</v>
      </c>
      <c r="AI41" s="40">
        <f t="shared" si="21"/>
        <v>1.5379797397468524E-2</v>
      </c>
      <c r="AJ41" s="39">
        <f t="shared" si="22"/>
        <v>6.0348777889816838E-2</v>
      </c>
      <c r="AK41" s="37">
        <f t="shared" si="39"/>
        <v>0.20330956538389156</v>
      </c>
      <c r="AL41" s="37">
        <f t="shared" si="40"/>
        <v>9.1233333333333333E-2</v>
      </c>
      <c r="AM41" s="37">
        <f t="shared" si="41"/>
        <v>4.5814800000000003E-2</v>
      </c>
      <c r="AN41" s="40">
        <f t="shared" si="23"/>
        <v>0.13704813333333332</v>
      </c>
      <c r="AO41" s="39">
        <f t="shared" si="42"/>
        <v>7.5497313929839037E-3</v>
      </c>
      <c r="AP41" s="37">
        <f t="shared" si="43"/>
        <v>6.6521250000000009E-3</v>
      </c>
      <c r="AQ41" s="40">
        <f t="shared" si="44"/>
        <v>2.2499999999999998E-3</v>
      </c>
      <c r="AR41" s="39">
        <f t="shared" si="24"/>
        <v>0.18613564193887461</v>
      </c>
      <c r="AS41" s="37">
        <f t="shared" si="25"/>
        <v>1.9833333333333334</v>
      </c>
      <c r="AT41" s="40">
        <f t="shared" si="26"/>
        <v>91.420221074352085</v>
      </c>
    </row>
    <row r="42" spans="17:46" x14ac:dyDescent="0.3">
      <c r="Q42">
        <v>35</v>
      </c>
      <c r="R42" s="39">
        <f t="shared" si="0"/>
        <v>20</v>
      </c>
      <c r="S42" s="37">
        <f t="shared" si="30"/>
        <v>0.10208333333333333</v>
      </c>
      <c r="T42" s="37">
        <f t="shared" si="2"/>
        <v>5</v>
      </c>
      <c r="U42" s="40">
        <f t="shared" si="31"/>
        <v>0.45370370370370366</v>
      </c>
      <c r="V42" s="39">
        <f t="shared" si="32"/>
        <v>1</v>
      </c>
      <c r="W42" s="37">
        <f t="shared" si="33"/>
        <v>0.63435991361371502</v>
      </c>
      <c r="X42" s="40">
        <f t="shared" si="34"/>
        <v>0.13892482108140358</v>
      </c>
      <c r="Y42" s="39">
        <f t="shared" si="35"/>
        <v>0.96554020336942936</v>
      </c>
      <c r="Z42" s="37">
        <f t="shared" si="28"/>
        <v>0.96554020336942936</v>
      </c>
      <c r="AA42" s="37">
        <f t="shared" si="29"/>
        <v>0.49020693711711943</v>
      </c>
      <c r="AB42" s="37">
        <v>0</v>
      </c>
      <c r="AC42" s="37">
        <f t="shared" si="36"/>
        <v>1.8022713089831058E-2</v>
      </c>
      <c r="AD42" s="40">
        <f t="shared" si="19"/>
        <v>1.8022713089831058E-2</v>
      </c>
      <c r="AE42" s="39">
        <f t="shared" si="27"/>
        <v>0.287811442287704</v>
      </c>
      <c r="AF42" s="37">
        <f t="shared" si="20"/>
        <v>0.44399450993744488</v>
      </c>
      <c r="AG42" s="37">
        <f t="shared" si="37"/>
        <v>9.6594251178750009E-4</v>
      </c>
      <c r="AH42" s="37">
        <f t="shared" si="38"/>
        <v>1.4880101045999404E-2</v>
      </c>
      <c r="AI42" s="40">
        <f t="shared" si="21"/>
        <v>1.5846043557786904E-2</v>
      </c>
      <c r="AJ42" s="39">
        <f t="shared" si="22"/>
        <v>6.3030705861007175E-2</v>
      </c>
      <c r="AK42" s="37">
        <f t="shared" si="39"/>
        <v>0.20777804586422408</v>
      </c>
      <c r="AL42" s="37">
        <f t="shared" si="40"/>
        <v>9.3916666666666662E-2</v>
      </c>
      <c r="AM42" s="37">
        <f t="shared" si="41"/>
        <v>4.5814800000000003E-2</v>
      </c>
      <c r="AN42" s="40">
        <f t="shared" si="23"/>
        <v>0.13973146666666666</v>
      </c>
      <c r="AO42" s="39">
        <f t="shared" si="42"/>
        <v>7.8852449941836742E-3</v>
      </c>
      <c r="AP42" s="37">
        <f t="shared" si="43"/>
        <v>6.6521250000000009E-3</v>
      </c>
      <c r="AQ42" s="40">
        <f t="shared" si="44"/>
        <v>2.2499999999999998E-3</v>
      </c>
      <c r="AR42" s="39">
        <f t="shared" si="24"/>
        <v>0.1903875933084683</v>
      </c>
      <c r="AS42" s="37">
        <f t="shared" si="25"/>
        <v>2.0416666666666665</v>
      </c>
      <c r="AT42" s="40">
        <f t="shared" si="26"/>
        <v>91.470297262818818</v>
      </c>
    </row>
    <row r="43" spans="17:46" x14ac:dyDescent="0.3">
      <c r="Q43">
        <v>36</v>
      </c>
      <c r="R43" s="39">
        <f t="shared" si="0"/>
        <v>20</v>
      </c>
      <c r="S43" s="37">
        <f t="shared" si="30"/>
        <v>0.10500000000000001</v>
      </c>
      <c r="T43" s="37">
        <f t="shared" si="2"/>
        <v>5</v>
      </c>
      <c r="U43" s="40">
        <f t="shared" si="31"/>
        <v>0.46666666666666667</v>
      </c>
      <c r="V43" s="39">
        <f t="shared" si="32"/>
        <v>1</v>
      </c>
      <c r="W43" s="37">
        <f t="shared" si="33"/>
        <v>0.64335837602381463</v>
      </c>
      <c r="X43" s="40">
        <f t="shared" si="34"/>
        <v>0.14089548434921539</v>
      </c>
      <c r="Y43" s="39">
        <f t="shared" si="35"/>
        <v>0.97923649318693262</v>
      </c>
      <c r="Z43" s="37">
        <f t="shared" si="28"/>
        <v>0.97923649318693262</v>
      </c>
      <c r="AA43" s="37">
        <f t="shared" si="29"/>
        <v>0.50067429521688345</v>
      </c>
      <c r="AB43" s="37">
        <v>0</v>
      </c>
      <c r="AC43" s="37">
        <f t="shared" si="36"/>
        <v>1.8800606241819222E-2</v>
      </c>
      <c r="AD43" s="40">
        <f t="shared" si="19"/>
        <v>1.8800606241819222E-2</v>
      </c>
      <c r="AE43" s="39">
        <f t="shared" si="27"/>
        <v>0.3002339088111135</v>
      </c>
      <c r="AF43" s="37">
        <f t="shared" si="20"/>
        <v>0.45347509696702848</v>
      </c>
      <c r="AG43" s="37">
        <f t="shared" si="37"/>
        <v>1.007634351489354E-3</v>
      </c>
      <c r="AH43" s="37">
        <f t="shared" si="38"/>
        <v>1.5305246790170819E-2</v>
      </c>
      <c r="AI43" s="40">
        <f t="shared" si="21"/>
        <v>1.6312881141660174E-2</v>
      </c>
      <c r="AJ43" s="39">
        <f t="shared" si="22"/>
        <v>6.5751226029633847E-2</v>
      </c>
      <c r="AK43" s="37">
        <f t="shared" si="39"/>
        <v>0.21221471749543444</v>
      </c>
      <c r="AL43" s="37">
        <f t="shared" si="40"/>
        <v>9.6600000000000019E-2</v>
      </c>
      <c r="AM43" s="37">
        <f t="shared" si="41"/>
        <v>4.5814800000000003E-2</v>
      </c>
      <c r="AN43" s="40">
        <f t="shared" si="23"/>
        <v>0.14241480000000001</v>
      </c>
      <c r="AO43" s="39">
        <f t="shared" si="42"/>
        <v>8.225586542770235E-3</v>
      </c>
      <c r="AP43" s="37">
        <f t="shared" si="43"/>
        <v>6.6521250000000009E-3</v>
      </c>
      <c r="AQ43" s="40">
        <f t="shared" si="44"/>
        <v>2.2499999999999998E-3</v>
      </c>
      <c r="AR43" s="39">
        <f t="shared" si="24"/>
        <v>0.19465599892624966</v>
      </c>
      <c r="AS43" s="37">
        <f t="shared" si="25"/>
        <v>2.1</v>
      </c>
      <c r="AT43" s="40">
        <f t="shared" si="26"/>
        <v>91.516985595342561</v>
      </c>
    </row>
    <row r="44" spans="17:46" x14ac:dyDescent="0.3">
      <c r="Q44">
        <v>37</v>
      </c>
      <c r="R44" s="39">
        <f t="shared" si="0"/>
        <v>20</v>
      </c>
      <c r="S44" s="37">
        <f t="shared" si="30"/>
        <v>0.10791666666666667</v>
      </c>
      <c r="T44" s="37">
        <f t="shared" si="2"/>
        <v>5</v>
      </c>
      <c r="U44" s="40">
        <f t="shared" si="31"/>
        <v>0.47962962962962968</v>
      </c>
      <c r="V44" s="39">
        <f t="shared" si="32"/>
        <v>1</v>
      </c>
      <c r="W44" s="37">
        <f t="shared" si="33"/>
        <v>0.65223270387186194</v>
      </c>
      <c r="X44" s="40">
        <f t="shared" si="34"/>
        <v>0.14283896214793773</v>
      </c>
      <c r="Y44" s="39">
        <f t="shared" si="35"/>
        <v>0.99274384150968342</v>
      </c>
      <c r="Z44" s="37">
        <f t="shared" si="28"/>
        <v>0.99274384150968342</v>
      </c>
      <c r="AA44" s="37">
        <f t="shared" si="29"/>
        <v>0.51106920469514916</v>
      </c>
      <c r="AB44" s="37">
        <v>0</v>
      </c>
      <c r="AC44" s="37">
        <f t="shared" si="36"/>
        <v>1.9589379899079919E-2</v>
      </c>
      <c r="AD44" s="40">
        <f t="shared" si="19"/>
        <v>1.9589379899079919E-2</v>
      </c>
      <c r="AE44" s="39">
        <f t="shared" si="27"/>
        <v>0.31283013019039307</v>
      </c>
      <c r="AF44" s="37">
        <f t="shared" si="20"/>
        <v>0.46289006519817782</v>
      </c>
      <c r="AG44" s="37">
        <f t="shared" si="37"/>
        <v>1.0499093410499495E-3</v>
      </c>
      <c r="AH44" s="37">
        <f t="shared" si="38"/>
        <v>1.5730392534342229E-2</v>
      </c>
      <c r="AI44" s="40">
        <f t="shared" si="21"/>
        <v>1.678030187539218E-2</v>
      </c>
      <c r="AJ44" s="39">
        <f t="shared" si="22"/>
        <v>6.8509798511696071E-2</v>
      </c>
      <c r="AK44" s="37">
        <f t="shared" si="39"/>
        <v>0.21662068121155686</v>
      </c>
      <c r="AL44" s="37">
        <f t="shared" si="40"/>
        <v>9.9283333333333348E-2</v>
      </c>
      <c r="AM44" s="37">
        <f t="shared" si="41"/>
        <v>4.5814800000000003E-2</v>
      </c>
      <c r="AN44" s="40">
        <f t="shared" si="23"/>
        <v>0.14509813333333335</v>
      </c>
      <c r="AO44" s="39">
        <f t="shared" si="42"/>
        <v>8.5706884983669327E-3</v>
      </c>
      <c r="AP44" s="37">
        <f t="shared" si="43"/>
        <v>6.6521250000000009E-3</v>
      </c>
      <c r="AQ44" s="40">
        <f t="shared" si="44"/>
        <v>2.2499999999999998E-3</v>
      </c>
      <c r="AR44" s="39">
        <f t="shared" si="24"/>
        <v>0.19894062860617237</v>
      </c>
      <c r="AS44" s="37">
        <f t="shared" si="25"/>
        <v>2.1583333333333337</v>
      </c>
      <c r="AT44" s="40">
        <f t="shared" si="26"/>
        <v>91.560563947243153</v>
      </c>
    </row>
    <row r="45" spans="17:46" x14ac:dyDescent="0.3">
      <c r="Q45">
        <v>38</v>
      </c>
      <c r="R45" s="39">
        <f t="shared" si="0"/>
        <v>20</v>
      </c>
      <c r="S45" s="37">
        <f t="shared" si="30"/>
        <v>0.11083333333333334</v>
      </c>
      <c r="T45" s="37">
        <f t="shared" si="2"/>
        <v>5</v>
      </c>
      <c r="U45" s="40">
        <f t="shared" si="31"/>
        <v>0.49259259259259264</v>
      </c>
      <c r="V45" s="39">
        <f t="shared" si="32"/>
        <v>1</v>
      </c>
      <c r="W45" s="37">
        <f t="shared" si="33"/>
        <v>0.66098789701476379</v>
      </c>
      <c r="X45" s="40">
        <f t="shared" si="34"/>
        <v>0.14475634944623328</v>
      </c>
      <c r="Y45" s="39">
        <f t="shared" si="35"/>
        <v>1.0060698584699601</v>
      </c>
      <c r="Z45" s="37">
        <f t="shared" si="28"/>
        <v>1.0060698584699601</v>
      </c>
      <c r="AA45" s="37">
        <f t="shared" si="29"/>
        <v>0.52139410549052567</v>
      </c>
      <c r="AB45" s="37">
        <v>0</v>
      </c>
      <c r="AC45" s="37">
        <f t="shared" si="36"/>
        <v>2.0388885993019905E-2</v>
      </c>
      <c r="AD45" s="40">
        <f t="shared" si="19"/>
        <v>2.0388885993019905E-2</v>
      </c>
      <c r="AE45" s="39">
        <f t="shared" si="27"/>
        <v>0.32559774186282814</v>
      </c>
      <c r="AF45" s="37">
        <f t="shared" si="20"/>
        <v>0.47224162455340712</v>
      </c>
      <c r="AG45" s="37">
        <f t="shared" si="37"/>
        <v>1.0927595446081218E-3</v>
      </c>
      <c r="AH45" s="37">
        <f t="shared" si="38"/>
        <v>1.6155538278513643E-2</v>
      </c>
      <c r="AI45" s="40">
        <f t="shared" si="21"/>
        <v>1.7248297823121764E-2</v>
      </c>
      <c r="AJ45" s="39">
        <f t="shared" si="22"/>
        <v>7.1305905467959368E-2</v>
      </c>
      <c r="AK45" s="37">
        <f t="shared" si="39"/>
        <v>0.22099697119966194</v>
      </c>
      <c r="AL45" s="37">
        <f t="shared" si="40"/>
        <v>0.10196666666666668</v>
      </c>
      <c r="AM45" s="37">
        <f t="shared" si="41"/>
        <v>4.5814800000000003E-2</v>
      </c>
      <c r="AN45" s="40">
        <f t="shared" si="23"/>
        <v>0.14778146666666669</v>
      </c>
      <c r="AO45" s="39">
        <f t="shared" si="42"/>
        <v>8.9204860784336468E-3</v>
      </c>
      <c r="AP45" s="37">
        <f t="shared" si="43"/>
        <v>6.6521250000000009E-3</v>
      </c>
      <c r="AQ45" s="40">
        <f t="shared" si="44"/>
        <v>2.2499999999999998E-3</v>
      </c>
      <c r="AR45" s="39">
        <f t="shared" si="24"/>
        <v>0.20324126156124203</v>
      </c>
      <c r="AS45" s="37">
        <f t="shared" si="25"/>
        <v>2.2166666666666668</v>
      </c>
      <c r="AT45" s="40">
        <f t="shared" si="26"/>
        <v>91.601281222708536</v>
      </c>
    </row>
    <row r="46" spans="17:46" x14ac:dyDescent="0.3">
      <c r="Q46">
        <v>39</v>
      </c>
      <c r="R46" s="39">
        <f t="shared" si="0"/>
        <v>20</v>
      </c>
      <c r="S46" s="37">
        <f t="shared" si="30"/>
        <v>0.11375</v>
      </c>
      <c r="T46" s="37">
        <f t="shared" si="2"/>
        <v>5</v>
      </c>
      <c r="U46" s="40">
        <f t="shared" si="31"/>
        <v>0.50555555555555554</v>
      </c>
      <c r="V46" s="39">
        <f t="shared" si="32"/>
        <v>1</v>
      </c>
      <c r="W46" s="37">
        <f t="shared" si="33"/>
        <v>0.66962862842026105</v>
      </c>
      <c r="X46" s="40">
        <f t="shared" si="34"/>
        <v>0.14664866962403714</v>
      </c>
      <c r="Y46" s="39">
        <f t="shared" si="35"/>
        <v>1.0192216566518435</v>
      </c>
      <c r="Z46" s="37">
        <f t="shared" si="28"/>
        <v>1.0192216566518435</v>
      </c>
      <c r="AA46" s="37">
        <f t="shared" si="29"/>
        <v>0.53165129349680973</v>
      </c>
      <c r="AB46" s="37">
        <v>0</v>
      </c>
      <c r="AC46" s="37">
        <f t="shared" si="36"/>
        <v>2.1198982340762316E-2</v>
      </c>
      <c r="AD46" s="40">
        <f t="shared" si="19"/>
        <v>2.1198982340762316E-2</v>
      </c>
      <c r="AE46" s="39">
        <f t="shared" si="27"/>
        <v>0.33853447325690972</v>
      </c>
      <c r="AF46" s="37">
        <f t="shared" si="20"/>
        <v>0.48153185448970504</v>
      </c>
      <c r="AG46" s="37">
        <f t="shared" si="37"/>
        <v>1.136177341752643E-3</v>
      </c>
      <c r="AH46" s="37">
        <f t="shared" si="38"/>
        <v>1.658068402268505E-2</v>
      </c>
      <c r="AI46" s="40">
        <f t="shared" si="21"/>
        <v>1.7716861364437692E-2</v>
      </c>
      <c r="AJ46" s="39">
        <f t="shared" si="22"/>
        <v>7.4139049643263219E-2</v>
      </c>
      <c r="AK46" s="37">
        <f t="shared" si="39"/>
        <v>0.22534456059229935</v>
      </c>
      <c r="AL46" s="37">
        <f t="shared" si="40"/>
        <v>0.10465000000000001</v>
      </c>
      <c r="AM46" s="37">
        <f t="shared" si="41"/>
        <v>4.5814800000000003E-2</v>
      </c>
      <c r="AN46" s="40">
        <f t="shared" si="23"/>
        <v>0.15046480000000001</v>
      </c>
      <c r="AO46" s="39">
        <f t="shared" si="42"/>
        <v>9.2749170755317793E-3</v>
      </c>
      <c r="AP46" s="37">
        <f t="shared" si="43"/>
        <v>6.6521250000000009E-3</v>
      </c>
      <c r="AQ46" s="40">
        <f t="shared" si="44"/>
        <v>2.2499999999999998E-3</v>
      </c>
      <c r="AR46" s="39">
        <f t="shared" si="24"/>
        <v>0.2075576857807318</v>
      </c>
      <c r="AS46" s="37">
        <f t="shared" si="25"/>
        <v>2.2749999999999999</v>
      </c>
      <c r="AT46" s="40">
        <f t="shared" si="26"/>
        <v>91.639361011848649</v>
      </c>
    </row>
    <row r="47" spans="17:46" x14ac:dyDescent="0.3">
      <c r="Q47">
        <v>40</v>
      </c>
      <c r="R47" s="39">
        <f t="shared" si="0"/>
        <v>20</v>
      </c>
      <c r="S47" s="37">
        <f t="shared" si="30"/>
        <v>0.11666666666666667</v>
      </c>
      <c r="T47" s="37">
        <f t="shared" si="2"/>
        <v>5</v>
      </c>
      <c r="U47" s="40">
        <f t="shared" si="31"/>
        <v>0.5185185185185186</v>
      </c>
      <c r="V47" s="39">
        <f t="shared" si="32"/>
        <v>1</v>
      </c>
      <c r="W47" s="37">
        <f t="shared" si="33"/>
        <v>0.67815927332743886</v>
      </c>
      <c r="X47" s="40">
        <f t="shared" si="34"/>
        <v>0.14851688085870909</v>
      </c>
      <c r="Y47" s="39">
        <f t="shared" si="35"/>
        <v>1.032205895475554</v>
      </c>
      <c r="Z47" s="37">
        <f t="shared" si="28"/>
        <v>1.032205895475554</v>
      </c>
      <c r="AA47" s="37">
        <f t="shared" si="29"/>
        <v>0.54184293253343263</v>
      </c>
      <c r="AB47" s="37">
        <v>0</v>
      </c>
      <c r="AC47" s="37">
        <f t="shared" si="36"/>
        <v>2.2019532265232251E-2</v>
      </c>
      <c r="AD47" s="40">
        <f t="shared" si="19"/>
        <v>2.2019532265232251E-2</v>
      </c>
      <c r="AE47" s="39">
        <f t="shared" si="27"/>
        <v>0.35163814172533875</v>
      </c>
      <c r="AF47" s="37">
        <f t="shared" si="20"/>
        <v>0.49076271484051154</v>
      </c>
      <c r="AG47" s="37">
        <f t="shared" si="37"/>
        <v>1.1801554071603835E-3</v>
      </c>
      <c r="AH47" s="37">
        <f t="shared" si="38"/>
        <v>1.7005829766856467E-2</v>
      </c>
      <c r="AI47" s="40">
        <f t="shared" si="21"/>
        <v>1.8185985174016851E-2</v>
      </c>
      <c r="AJ47" s="39">
        <f t="shared" si="22"/>
        <v>7.7008753037849167E-2</v>
      </c>
      <c r="AK47" s="37">
        <f t="shared" si="39"/>
        <v>0.2296643665412656</v>
      </c>
      <c r="AL47" s="37">
        <f t="shared" si="40"/>
        <v>0.10733333333333334</v>
      </c>
      <c r="AM47" s="37">
        <f t="shared" si="41"/>
        <v>4.5814800000000003E-2</v>
      </c>
      <c r="AN47" s="40">
        <f t="shared" si="23"/>
        <v>0.15314813333333333</v>
      </c>
      <c r="AO47" s="39">
        <f t="shared" si="42"/>
        <v>9.6339216911051698E-3</v>
      </c>
      <c r="AP47" s="37">
        <f t="shared" si="43"/>
        <v>6.6521250000000009E-3</v>
      </c>
      <c r="AQ47" s="40">
        <f t="shared" si="44"/>
        <v>2.2499999999999998E-3</v>
      </c>
      <c r="AR47" s="39">
        <f t="shared" si="24"/>
        <v>0.2118896974636876</v>
      </c>
      <c r="AS47" s="37">
        <f t="shared" si="25"/>
        <v>2.3333333333333335</v>
      </c>
      <c r="AT47" s="40">
        <f t="shared" si="26"/>
        <v>91.675004708827601</v>
      </c>
    </row>
    <row r="48" spans="17:46" x14ac:dyDescent="0.3">
      <c r="Q48">
        <v>41</v>
      </c>
      <c r="R48" s="39">
        <f t="shared" si="0"/>
        <v>20</v>
      </c>
      <c r="S48" s="37">
        <f t="shared" si="30"/>
        <v>0.11958333333333333</v>
      </c>
      <c r="T48" s="37">
        <f t="shared" si="2"/>
        <v>5</v>
      </c>
      <c r="U48" s="40">
        <f t="shared" si="31"/>
        <v>0.53148148148148144</v>
      </c>
      <c r="V48" s="39">
        <f t="shared" si="32"/>
        <v>1</v>
      </c>
      <c r="W48" s="37">
        <f t="shared" si="33"/>
        <v>0.68658393514558724</v>
      </c>
      <c r="X48" s="40">
        <f t="shared" si="34"/>
        <v>0.15036188179688359</v>
      </c>
      <c r="Y48" s="39">
        <f t="shared" si="35"/>
        <v>1.0450288206173324</v>
      </c>
      <c r="Z48" s="37">
        <f t="shared" si="28"/>
        <v>1.0450288206173324</v>
      </c>
      <c r="AA48" s="37">
        <f t="shared" si="29"/>
        <v>0.55197106504737159</v>
      </c>
      <c r="AB48" s="37">
        <v>0</v>
      </c>
      <c r="AC48" s="37">
        <f t="shared" si="36"/>
        <v>2.2850404248714731E-2</v>
      </c>
      <c r="AD48" s="40">
        <f t="shared" si="19"/>
        <v>2.2850404248714731E-2</v>
      </c>
      <c r="AE48" s="39">
        <f t="shared" si="27"/>
        <v>0.36490664701256209</v>
      </c>
      <c r="AF48" s="37">
        <f t="shared" si="20"/>
        <v>0.49993605550874742</v>
      </c>
      <c r="AG48" s="37">
        <f t="shared" si="37"/>
        <v>1.2246866920284625E-3</v>
      </c>
      <c r="AH48" s="37">
        <f t="shared" si="38"/>
        <v>1.7430975511027874E-2</v>
      </c>
      <c r="AI48" s="40">
        <f t="shared" si="21"/>
        <v>1.8655662203056336E-2</v>
      </c>
      <c r="AJ48" s="39">
        <f t="shared" si="22"/>
        <v>7.9914555695751094E-2</v>
      </c>
      <c r="AK48" s="37">
        <f t="shared" si="39"/>
        <v>0.23395725475369283</v>
      </c>
      <c r="AL48" s="37">
        <f t="shared" si="40"/>
        <v>0.11001666666666667</v>
      </c>
      <c r="AM48" s="37">
        <f t="shared" si="41"/>
        <v>4.5814800000000003E-2</v>
      </c>
      <c r="AN48" s="40">
        <f t="shared" si="23"/>
        <v>0.15583146666666667</v>
      </c>
      <c r="AO48" s="39">
        <f t="shared" si="42"/>
        <v>9.9974423839058156E-3</v>
      </c>
      <c r="AP48" s="37">
        <f t="shared" si="43"/>
        <v>6.6521250000000009E-3</v>
      </c>
      <c r="AQ48" s="40">
        <f t="shared" si="44"/>
        <v>2.2499999999999998E-3</v>
      </c>
      <c r="AR48" s="39">
        <f t="shared" si="24"/>
        <v>0.21623710050234357</v>
      </c>
      <c r="AS48" s="37">
        <f t="shared" si="25"/>
        <v>2.3916666666666666</v>
      </c>
      <c r="AT48" s="40">
        <f t="shared" si="26"/>
        <v>91.708394181389664</v>
      </c>
    </row>
    <row r="49" spans="17:46" x14ac:dyDescent="0.3">
      <c r="Q49">
        <v>42</v>
      </c>
      <c r="R49" s="39">
        <f t="shared" si="0"/>
        <v>20</v>
      </c>
      <c r="S49" s="37">
        <f t="shared" si="30"/>
        <v>0.12250000000000001</v>
      </c>
      <c r="T49" s="37">
        <f t="shared" si="2"/>
        <v>5</v>
      </c>
      <c r="U49" s="40">
        <f t="shared" si="31"/>
        <v>0.54444444444444451</v>
      </c>
      <c r="V49" s="39">
        <f t="shared" si="32"/>
        <v>1</v>
      </c>
      <c r="W49" s="37">
        <f t="shared" si="33"/>
        <v>0.69490646852652049</v>
      </c>
      <c r="X49" s="40">
        <f t="shared" si="34"/>
        <v>0.15218451660730797</v>
      </c>
      <c r="Y49" s="39">
        <f t="shared" si="35"/>
        <v>1.0576962991271242</v>
      </c>
      <c r="Z49" s="37">
        <f t="shared" si="28"/>
        <v>1.0576962991271242</v>
      </c>
      <c r="AA49" s="37">
        <f t="shared" si="29"/>
        <v>0.5620376217085572</v>
      </c>
      <c r="AB49" s="37">
        <v>0</v>
      </c>
      <c r="AC49" s="37">
        <f t="shared" si="36"/>
        <v>2.3691471616185844E-2</v>
      </c>
      <c r="AD49" s="40">
        <f t="shared" si="19"/>
        <v>2.3691471616185844E-2</v>
      </c>
      <c r="AE49" s="39">
        <f t="shared" si="27"/>
        <v>0.37833796619777232</v>
      </c>
      <c r="AF49" s="37">
        <f t="shared" si="20"/>
        <v>0.50905362515765018</v>
      </c>
      <c r="AG49" s="37">
        <f t="shared" si="37"/>
        <v>1.2697644071021129E-3</v>
      </c>
      <c r="AH49" s="37">
        <f t="shared" si="38"/>
        <v>1.7856121255199288E-2</v>
      </c>
      <c r="AI49" s="40">
        <f t="shared" si="21"/>
        <v>1.91258856623014E-2</v>
      </c>
      <c r="AJ49" s="39">
        <f t="shared" si="22"/>
        <v>8.2856014597312122E-2</v>
      </c>
      <c r="AK49" s="37">
        <f t="shared" si="39"/>
        <v>0.23822404355913754</v>
      </c>
      <c r="AL49" s="37">
        <f t="shared" si="40"/>
        <v>0.11270000000000002</v>
      </c>
      <c r="AM49" s="37">
        <f t="shared" si="41"/>
        <v>4.5814800000000003E-2</v>
      </c>
      <c r="AN49" s="40">
        <f t="shared" si="23"/>
        <v>0.15851480000000001</v>
      </c>
      <c r="AO49" s="39">
        <f t="shared" si="42"/>
        <v>1.0365423731445817E-2</v>
      </c>
      <c r="AP49" s="37">
        <f t="shared" si="43"/>
        <v>6.6521250000000009E-3</v>
      </c>
      <c r="AQ49" s="40">
        <f t="shared" si="44"/>
        <v>2.2499999999999998E-3</v>
      </c>
      <c r="AR49" s="39">
        <f t="shared" si="24"/>
        <v>0.22059970600993306</v>
      </c>
      <c r="AS49" s="37">
        <f t="shared" si="25"/>
        <v>2.4500000000000002</v>
      </c>
      <c r="AT49" s="40">
        <f t="shared" si="26"/>
        <v>91.739694065213357</v>
      </c>
    </row>
    <row r="50" spans="17:46" x14ac:dyDescent="0.3">
      <c r="Q50">
        <v>43</v>
      </c>
      <c r="R50" s="39">
        <f t="shared" si="0"/>
        <v>20</v>
      </c>
      <c r="S50" s="37">
        <f t="shared" si="30"/>
        <v>0.12541666666666668</v>
      </c>
      <c r="T50" s="37">
        <f t="shared" si="2"/>
        <v>5</v>
      </c>
      <c r="U50" s="40">
        <f t="shared" si="31"/>
        <v>0.55740740740740746</v>
      </c>
      <c r="V50" s="39">
        <f t="shared" si="32"/>
        <v>1</v>
      </c>
      <c r="W50" s="37">
        <f t="shared" si="33"/>
        <v>0.70313049997848909</v>
      </c>
      <c r="X50" s="40">
        <f t="shared" si="34"/>
        <v>0.1539855794952891</v>
      </c>
      <c r="Y50" s="39">
        <f t="shared" si="35"/>
        <v>1.0702138508043975</v>
      </c>
      <c r="Z50" s="37">
        <f t="shared" si="28"/>
        <v>1.0702138508043975</v>
      </c>
      <c r="AA50" s="37">
        <f t="shared" si="29"/>
        <v>0.57204443003676064</v>
      </c>
      <c r="AB50" s="37">
        <v>0</v>
      </c>
      <c r="AC50" s="37">
        <f t="shared" si="36"/>
        <v>2.4542612245206173E-2</v>
      </c>
      <c r="AD50" s="40">
        <f t="shared" si="19"/>
        <v>2.4542612245206173E-2</v>
      </c>
      <c r="AE50" s="39">
        <f t="shared" si="27"/>
        <v>0.39193014906208379</v>
      </c>
      <c r="AF50" s="37">
        <f t="shared" si="20"/>
        <v>0.51811707902439363</v>
      </c>
      <c r="AG50" s="37">
        <f t="shared" si="37"/>
        <v>1.315382007126172E-3</v>
      </c>
      <c r="AH50" s="37">
        <f t="shared" si="38"/>
        <v>1.8281266999370698E-2</v>
      </c>
      <c r="AI50" s="40">
        <f t="shared" si="21"/>
        <v>1.959664900649687E-2</v>
      </c>
      <c r="AJ50" s="39">
        <f t="shared" si="22"/>
        <v>8.5832702644596345E-2</v>
      </c>
      <c r="AK50" s="37">
        <f t="shared" si="39"/>
        <v>0.24246550756615379</v>
      </c>
      <c r="AL50" s="37">
        <f t="shared" si="40"/>
        <v>0.11538333333333335</v>
      </c>
      <c r="AM50" s="37">
        <f t="shared" si="41"/>
        <v>4.5814800000000003E-2</v>
      </c>
      <c r="AN50" s="40">
        <f t="shared" si="23"/>
        <v>0.16119813333333335</v>
      </c>
      <c r="AO50" s="39">
        <f t="shared" si="42"/>
        <v>1.073781230307079E-2</v>
      </c>
      <c r="AP50" s="37">
        <f t="shared" si="43"/>
        <v>6.6521250000000009E-3</v>
      </c>
      <c r="AQ50" s="40">
        <f t="shared" si="44"/>
        <v>2.2499999999999998E-3</v>
      </c>
      <c r="AR50" s="39">
        <f t="shared" si="24"/>
        <v>0.2249773318881072</v>
      </c>
      <c r="AS50" s="37">
        <f t="shared" si="25"/>
        <v>2.5083333333333337</v>
      </c>
      <c r="AT50" s="40">
        <f t="shared" si="26"/>
        <v>91.7690537431141</v>
      </c>
    </row>
    <row r="51" spans="17:46" x14ac:dyDescent="0.3">
      <c r="Q51">
        <v>44</v>
      </c>
      <c r="R51" s="39">
        <f t="shared" si="0"/>
        <v>20</v>
      </c>
      <c r="S51" s="37">
        <f t="shared" si="30"/>
        <v>0.12833333333333333</v>
      </c>
      <c r="T51" s="37">
        <f t="shared" si="2"/>
        <v>5</v>
      </c>
      <c r="U51" s="40">
        <f t="shared" si="31"/>
        <v>0.57037037037037031</v>
      </c>
      <c r="V51" s="39">
        <f t="shared" si="32"/>
        <v>1</v>
      </c>
      <c r="W51" s="37">
        <f t="shared" si="33"/>
        <v>0.71125944633445815</v>
      </c>
      <c r="X51" s="40">
        <f t="shared" si="34"/>
        <v>0.15576581874724632</v>
      </c>
      <c r="Y51" s="39">
        <f t="shared" si="35"/>
        <v>1.0825866763081557</v>
      </c>
      <c r="Z51" s="37">
        <f t="shared" si="28"/>
        <v>1.0825866763081557</v>
      </c>
      <c r="AA51" s="37">
        <f t="shared" si="29"/>
        <v>0.58199322217792326</v>
      </c>
      <c r="AB51" s="37">
        <v>0</v>
      </c>
      <c r="AC51" s="37">
        <f t="shared" si="36"/>
        <v>2.5403708299578116E-2</v>
      </c>
      <c r="AD51" s="40">
        <f t="shared" si="19"/>
        <v>2.5403708299578116E-2</v>
      </c>
      <c r="AE51" s="39">
        <f t="shared" si="27"/>
        <v>0.40568131383520939</v>
      </c>
      <c r="AF51" s="37">
        <f t="shared" si="20"/>
        <v>0.52712798596333321</v>
      </c>
      <c r="AG51" s="37">
        <f t="shared" si="37"/>
        <v>1.3615331765702242E-3</v>
      </c>
      <c r="AH51" s="37">
        <f t="shared" si="38"/>
        <v>1.8706412743542108E-2</v>
      </c>
      <c r="AI51" s="40">
        <f t="shared" si="21"/>
        <v>2.0067945920112334E-2</v>
      </c>
      <c r="AJ51" s="39">
        <f t="shared" si="22"/>
        <v>8.8844207729910848E-2</v>
      </c>
      <c r="AK51" s="37">
        <f t="shared" si="39"/>
        <v>0.24668238095835188</v>
      </c>
      <c r="AL51" s="37">
        <f t="shared" si="40"/>
        <v>0.11806666666666667</v>
      </c>
      <c r="AM51" s="37">
        <f t="shared" si="41"/>
        <v>4.5814800000000003E-2</v>
      </c>
      <c r="AN51" s="40">
        <f t="shared" si="23"/>
        <v>0.16388146666666667</v>
      </c>
      <c r="AO51" s="39">
        <f t="shared" si="42"/>
        <v>1.1114556543430401E-2</v>
      </c>
      <c r="AP51" s="37">
        <f t="shared" si="43"/>
        <v>6.6521250000000009E-3</v>
      </c>
      <c r="AQ51" s="40">
        <f t="shared" si="44"/>
        <v>2.2499999999999998E-3</v>
      </c>
      <c r="AR51" s="39">
        <f t="shared" si="24"/>
        <v>0.22936980242978752</v>
      </c>
      <c r="AS51" s="37">
        <f t="shared" si="25"/>
        <v>2.5666666666666664</v>
      </c>
      <c r="AT51" s="40">
        <f t="shared" si="26"/>
        <v>91.796609058396541</v>
      </c>
    </row>
    <row r="52" spans="17:46" x14ac:dyDescent="0.3">
      <c r="Q52">
        <v>45</v>
      </c>
      <c r="R52" s="39">
        <f t="shared" si="0"/>
        <v>20</v>
      </c>
      <c r="S52" s="37">
        <f t="shared" si="30"/>
        <v>0.13125000000000001</v>
      </c>
      <c r="T52" s="37">
        <f t="shared" si="2"/>
        <v>5</v>
      </c>
      <c r="U52" s="40">
        <f t="shared" si="31"/>
        <v>0.58333333333333337</v>
      </c>
      <c r="V52" s="39">
        <f t="shared" si="32"/>
        <v>1</v>
      </c>
      <c r="W52" s="37">
        <f t="shared" si="33"/>
        <v>0.71929653134156013</v>
      </c>
      <c r="X52" s="40">
        <f t="shared" si="34"/>
        <v>0.15752594036380166</v>
      </c>
      <c r="Y52" s="39">
        <f t="shared" si="35"/>
        <v>1.0948196824072454</v>
      </c>
      <c r="Z52" s="37">
        <f t="shared" si="28"/>
        <v>1.0948196824072454</v>
      </c>
      <c r="AA52" s="37">
        <f t="shared" si="29"/>
        <v>0.59188564193118287</v>
      </c>
      <c r="AB52" s="37">
        <v>0</v>
      </c>
      <c r="AC52" s="37">
        <f t="shared" si="36"/>
        <v>2.627464598432163E-2</v>
      </c>
      <c r="AD52" s="40">
        <f t="shared" si="19"/>
        <v>2.627464598432163E-2</v>
      </c>
      <c r="AE52" s="39">
        <f t="shared" si="27"/>
        <v>0.41958964328257675</v>
      </c>
      <c r="AF52" s="37">
        <f t="shared" si="20"/>
        <v>0.53608783481058575</v>
      </c>
      <c r="AG52" s="37">
        <f t="shared" si="37"/>
        <v>1.4082118164963193E-3</v>
      </c>
      <c r="AH52" s="37">
        <f t="shared" si="38"/>
        <v>1.9131558487713526E-2</v>
      </c>
      <c r="AI52" s="40">
        <f t="shared" si="21"/>
        <v>2.0539770304209844E-2</v>
      </c>
      <c r="AJ52" s="39">
        <f t="shared" si="22"/>
        <v>9.1890131878884312E-2</v>
      </c>
      <c r="AK52" s="37">
        <f t="shared" si="39"/>
        <v>0.25087536047285813</v>
      </c>
      <c r="AL52" s="37">
        <f t="shared" si="40"/>
        <v>0.12075000000000001</v>
      </c>
      <c r="AM52" s="37">
        <f t="shared" si="41"/>
        <v>4.5814800000000003E-2</v>
      </c>
      <c r="AN52" s="40">
        <f t="shared" si="23"/>
        <v>0.16656480000000001</v>
      </c>
      <c r="AO52" s="39">
        <f t="shared" si="42"/>
        <v>1.1495606665276074E-2</v>
      </c>
      <c r="AP52" s="37">
        <f t="shared" si="43"/>
        <v>6.6521250000000009E-3</v>
      </c>
      <c r="AQ52" s="40">
        <f t="shared" si="44"/>
        <v>2.2499999999999998E-3</v>
      </c>
      <c r="AR52" s="39">
        <f t="shared" si="24"/>
        <v>0.23377694795380757</v>
      </c>
      <c r="AS52" s="37">
        <f t="shared" si="25"/>
        <v>2.625</v>
      </c>
      <c r="AT52" s="40">
        <f t="shared" si="26"/>
        <v>91.822483803042573</v>
      </c>
    </row>
    <row r="53" spans="17:46" x14ac:dyDescent="0.3">
      <c r="Q53">
        <v>46</v>
      </c>
      <c r="R53" s="39">
        <f t="shared" si="0"/>
        <v>20</v>
      </c>
      <c r="S53" s="37">
        <f t="shared" si="30"/>
        <v>0.13416666666666668</v>
      </c>
      <c r="T53" s="37">
        <f t="shared" si="2"/>
        <v>5</v>
      </c>
      <c r="U53" s="40">
        <f t="shared" si="31"/>
        <v>0.59629629629629632</v>
      </c>
      <c r="V53" s="39">
        <f t="shared" si="32"/>
        <v>1</v>
      </c>
      <c r="W53" s="37">
        <f t="shared" si="33"/>
        <v>0.72724480060018304</v>
      </c>
      <c r="X53" s="40">
        <f t="shared" si="34"/>
        <v>0.1592666113314401</v>
      </c>
      <c r="Y53" s="39">
        <f t="shared" si="35"/>
        <v>1.1069175047186959</v>
      </c>
      <c r="Z53" s="37">
        <f t="shared" si="28"/>
        <v>1.1069175047186959</v>
      </c>
      <c r="AA53" s="37">
        <f t="shared" si="29"/>
        <v>0.60172325111381364</v>
      </c>
      <c r="AB53" s="37">
        <v>0</v>
      </c>
      <c r="AC53" s="37">
        <f t="shared" si="36"/>
        <v>2.715531531982332E-2</v>
      </c>
      <c r="AD53" s="40">
        <f t="shared" si="19"/>
        <v>2.715531531982332E-2</v>
      </c>
      <c r="AE53" s="39">
        <f t="shared" si="27"/>
        <v>0.43365338109862767</v>
      </c>
      <c r="AF53" s="37">
        <f t="shared" si="20"/>
        <v>0.54499804014893805</v>
      </c>
      <c r="AG53" s="37">
        <f t="shared" si="37"/>
        <v>1.4554120324542993E-3</v>
      </c>
      <c r="AH53" s="37">
        <f t="shared" si="38"/>
        <v>1.9556704231884936E-2</v>
      </c>
      <c r="AI53" s="40">
        <f t="shared" si="21"/>
        <v>2.1012116264339235E-2</v>
      </c>
      <c r="AJ53" s="39">
        <f t="shared" si="22"/>
        <v>9.4970090460599468E-2</v>
      </c>
      <c r="AK53" s="37">
        <f t="shared" si="39"/>
        <v>0.25504510809814446</v>
      </c>
      <c r="AL53" s="37">
        <f t="shared" si="40"/>
        <v>0.12343333333333335</v>
      </c>
      <c r="AM53" s="37">
        <f t="shared" si="41"/>
        <v>4.5814800000000003E-2</v>
      </c>
      <c r="AN53" s="40">
        <f t="shared" si="23"/>
        <v>0.16924813333333336</v>
      </c>
      <c r="AO53" s="39">
        <f t="shared" si="42"/>
        <v>1.188091455064734E-2</v>
      </c>
      <c r="AP53" s="37">
        <f t="shared" si="43"/>
        <v>6.6521250000000009E-3</v>
      </c>
      <c r="AQ53" s="40">
        <f t="shared" si="44"/>
        <v>2.2499999999999998E-3</v>
      </c>
      <c r="AR53" s="39">
        <f t="shared" si="24"/>
        <v>0.23819860446814328</v>
      </c>
      <c r="AS53" s="37">
        <f t="shared" si="25"/>
        <v>2.6833333333333336</v>
      </c>
      <c r="AT53" s="40">
        <f t="shared" si="26"/>
        <v>91.846791014463676</v>
      </c>
    </row>
    <row r="54" spans="17:46" x14ac:dyDescent="0.3">
      <c r="Q54">
        <v>47</v>
      </c>
      <c r="R54" s="39">
        <f t="shared" si="0"/>
        <v>20</v>
      </c>
      <c r="S54" s="37">
        <f t="shared" si="30"/>
        <v>0.13708333333333333</v>
      </c>
      <c r="T54" s="37">
        <f t="shared" si="2"/>
        <v>5</v>
      </c>
      <c r="U54" s="40">
        <f t="shared" si="31"/>
        <v>0.60925925925925928</v>
      </c>
      <c r="V54" s="39">
        <f t="shared" si="32"/>
        <v>1</v>
      </c>
      <c r="W54" s="37">
        <f t="shared" si="33"/>
        <v>0.73510713504903491</v>
      </c>
      <c r="X54" s="40">
        <f t="shared" si="34"/>
        <v>0.16098846257573862</v>
      </c>
      <c r="Y54" s="39">
        <f t="shared" si="35"/>
        <v>1.1188845282329298</v>
      </c>
      <c r="Z54" s="37">
        <f t="shared" si="28"/>
        <v>1.1188845282329298</v>
      </c>
      <c r="AA54" s="37">
        <f t="shared" si="29"/>
        <v>0.61150753533947066</v>
      </c>
      <c r="AB54" s="37">
        <v>0</v>
      </c>
      <c r="AC54" s="37">
        <f t="shared" si="36"/>
        <v>2.8045609933271546E-2</v>
      </c>
      <c r="AD54" s="40">
        <f t="shared" si="19"/>
        <v>2.8045609933271546E-2</v>
      </c>
      <c r="AE54" s="39">
        <f t="shared" si="27"/>
        <v>0.44787082857617128</v>
      </c>
      <c r="AF54" s="37">
        <f t="shared" si="20"/>
        <v>0.55385994754136925</v>
      </c>
      <c r="AG54" s="37">
        <f t="shared" si="37"/>
        <v>1.5031281233035888E-3</v>
      </c>
      <c r="AH54" s="37">
        <f t="shared" si="38"/>
        <v>1.9981849976056343E-2</v>
      </c>
      <c r="AI54" s="40">
        <f t="shared" si="21"/>
        <v>2.1484978099359932E-2</v>
      </c>
      <c r="AJ54" s="39">
        <f t="shared" si="22"/>
        <v>9.8083711458181497E-2</v>
      </c>
      <c r="AK54" s="37">
        <f t="shared" si="39"/>
        <v>0.25919225352318243</v>
      </c>
      <c r="AL54" s="37">
        <f t="shared" si="40"/>
        <v>0.12611666666666668</v>
      </c>
      <c r="AM54" s="37">
        <f t="shared" si="41"/>
        <v>4.5814800000000003E-2</v>
      </c>
      <c r="AN54" s="40">
        <f t="shared" si="23"/>
        <v>0.1719314666666667</v>
      </c>
      <c r="AO54" s="39">
        <f t="shared" si="42"/>
        <v>1.2270433659621133E-2</v>
      </c>
      <c r="AP54" s="37">
        <f t="shared" si="43"/>
        <v>6.6521250000000009E-3</v>
      </c>
      <c r="AQ54" s="40">
        <f t="shared" si="44"/>
        <v>2.2499999999999998E-3</v>
      </c>
      <c r="AR54" s="39">
        <f t="shared" si="24"/>
        <v>0.24263461335891931</v>
      </c>
      <c r="AS54" s="37">
        <f t="shared" si="25"/>
        <v>2.7416666666666667</v>
      </c>
      <c r="AT54" s="40">
        <f t="shared" si="26"/>
        <v>91.86963410889804</v>
      </c>
    </row>
    <row r="55" spans="17:46" x14ac:dyDescent="0.3">
      <c r="Q55">
        <v>48</v>
      </c>
      <c r="R55" s="39">
        <f t="shared" si="0"/>
        <v>20</v>
      </c>
      <c r="S55" s="37">
        <f t="shared" si="30"/>
        <v>0.14000000000000001</v>
      </c>
      <c r="T55" s="37">
        <f t="shared" si="2"/>
        <v>5</v>
      </c>
      <c r="U55" s="40">
        <f t="shared" si="31"/>
        <v>0.62222222222222223</v>
      </c>
      <c r="V55" s="39">
        <f t="shared" si="32"/>
        <v>1</v>
      </c>
      <c r="W55" s="37">
        <f t="shared" si="33"/>
        <v>0.74288626316549966</v>
      </c>
      <c r="X55" s="40">
        <f t="shared" si="34"/>
        <v>0.16269209163324441</v>
      </c>
      <c r="Y55" s="39">
        <f t="shared" si="35"/>
        <v>1.1307249058835611</v>
      </c>
      <c r="Z55" s="37">
        <f t="shared" si="28"/>
        <v>1.1307249058835611</v>
      </c>
      <c r="AA55" s="37">
        <f t="shared" si="29"/>
        <v>0.62123990927513428</v>
      </c>
      <c r="AB55" s="37">
        <v>0</v>
      </c>
      <c r="AC55" s="37">
        <f t="shared" si="36"/>
        <v>2.8945426865713282E-2</v>
      </c>
      <c r="AD55" s="40">
        <f t="shared" si="19"/>
        <v>2.8945426865713282E-2</v>
      </c>
      <c r="AE55" s="39">
        <f t="shared" si="27"/>
        <v>0.46224034152519977</v>
      </c>
      <c r="AF55" s="37">
        <f t="shared" si="20"/>
        <v>0.5626748382924166</v>
      </c>
      <c r="AG55" s="37">
        <f t="shared" si="37"/>
        <v>1.5513545708722462E-3</v>
      </c>
      <c r="AH55" s="37">
        <f t="shared" si="38"/>
        <v>2.0406995720227757E-2</v>
      </c>
      <c r="AI55" s="40">
        <f t="shared" si="21"/>
        <v>2.1958350291100003E-2</v>
      </c>
      <c r="AJ55" s="39">
        <f t="shared" si="22"/>
        <v>0.10123063479401875</v>
      </c>
      <c r="AK55" s="37">
        <f t="shared" si="39"/>
        <v>0.26331739636564078</v>
      </c>
      <c r="AL55" s="37">
        <f t="shared" si="40"/>
        <v>0.12880000000000003</v>
      </c>
      <c r="AM55" s="37">
        <f t="shared" si="41"/>
        <v>4.5814800000000003E-2</v>
      </c>
      <c r="AN55" s="40">
        <f t="shared" si="23"/>
        <v>0.17461480000000001</v>
      </c>
      <c r="AO55" s="39">
        <f t="shared" si="42"/>
        <v>1.2664118945895886E-2</v>
      </c>
      <c r="AP55" s="37">
        <f t="shared" si="43"/>
        <v>6.6521250000000009E-3</v>
      </c>
      <c r="AQ55" s="40">
        <f t="shared" si="44"/>
        <v>2.2499999999999998E-3</v>
      </c>
      <c r="AR55" s="39">
        <f t="shared" si="24"/>
        <v>0.24708482110270918</v>
      </c>
      <c r="AS55" s="37">
        <f t="shared" si="25"/>
        <v>2.8000000000000003</v>
      </c>
      <c r="AT55" s="40">
        <f t="shared" si="26"/>
        <v>91.891107874926448</v>
      </c>
    </row>
    <row r="56" spans="17:46" x14ac:dyDescent="0.3">
      <c r="Q56">
        <v>49</v>
      </c>
      <c r="R56" s="39">
        <f t="shared" si="0"/>
        <v>20</v>
      </c>
      <c r="S56" s="37">
        <f t="shared" si="30"/>
        <v>0.14291666666666666</v>
      </c>
      <c r="T56" s="37">
        <f t="shared" si="2"/>
        <v>5</v>
      </c>
      <c r="U56" s="40">
        <f t="shared" si="31"/>
        <v>0.63518518518518519</v>
      </c>
      <c r="V56" s="39">
        <f t="shared" si="32"/>
        <v>2</v>
      </c>
      <c r="W56" s="37">
        <f t="shared" si="33"/>
        <v>0.75</v>
      </c>
      <c r="X56" s="40">
        <f t="shared" si="34"/>
        <v>0.25</v>
      </c>
      <c r="Y56" s="39">
        <f t="shared" si="35"/>
        <v>1.1415525114155252</v>
      </c>
      <c r="Z56" s="37">
        <f t="shared" si="28"/>
        <v>1.2059614408929478</v>
      </c>
      <c r="AA56" s="37">
        <f t="shared" si="29"/>
        <v>0.71558046193655189</v>
      </c>
      <c r="AB56" s="37">
        <v>0</v>
      </c>
      <c r="AC56" s="37">
        <f t="shared" si="36"/>
        <v>3.8404154812899674E-2</v>
      </c>
      <c r="AD56" s="40">
        <f t="shared" si="19"/>
        <v>3.8404154812899674E-2</v>
      </c>
      <c r="AE56" s="39">
        <f t="shared" si="27"/>
        <v>0.47638888888888886</v>
      </c>
      <c r="AF56" s="37">
        <f t="shared" si="20"/>
        <v>0.61971085848885765</v>
      </c>
      <c r="AG56" s="37">
        <f t="shared" si="37"/>
        <v>1.8818035858320854E-3</v>
      </c>
      <c r="AH56" s="37">
        <f t="shared" si="38"/>
        <v>2.0832141464399167E-2</v>
      </c>
      <c r="AI56" s="40">
        <f t="shared" si="21"/>
        <v>2.2713945050231252E-2</v>
      </c>
      <c r="AJ56" s="39">
        <f t="shared" si="22"/>
        <v>0.1587962962962963</v>
      </c>
      <c r="AK56" s="37">
        <f t="shared" si="39"/>
        <v>0.35779023096827606</v>
      </c>
      <c r="AL56" s="37">
        <f t="shared" si="40"/>
        <v>0.13148333333333334</v>
      </c>
      <c r="AM56" s="37">
        <f t="shared" si="41"/>
        <v>4.5814800000000003E-2</v>
      </c>
      <c r="AN56" s="40">
        <f t="shared" si="23"/>
        <v>0.17729813333333333</v>
      </c>
      <c r="AO56" s="39">
        <f t="shared" si="42"/>
        <v>1.5361661925159878E-2</v>
      </c>
      <c r="AP56" s="37">
        <f t="shared" si="43"/>
        <v>6.6521250000000009E-3</v>
      </c>
      <c r="AQ56" s="40">
        <f t="shared" si="44"/>
        <v>2.2499999999999998E-3</v>
      </c>
      <c r="AR56" s="39">
        <f t="shared" si="24"/>
        <v>0.26268002012162411</v>
      </c>
      <c r="AS56" s="37">
        <f t="shared" si="25"/>
        <v>2.8583333333333334</v>
      </c>
      <c r="AT56" s="40">
        <f t="shared" si="26"/>
        <v>91.583502203512282</v>
      </c>
    </row>
    <row r="57" spans="17:46" x14ac:dyDescent="0.3">
      <c r="Q57">
        <v>50</v>
      </c>
      <c r="R57" s="39">
        <f t="shared" si="0"/>
        <v>20</v>
      </c>
      <c r="S57" s="37">
        <f t="shared" si="30"/>
        <v>0.14583333333333334</v>
      </c>
      <c r="T57" s="37">
        <f t="shared" si="2"/>
        <v>5</v>
      </c>
      <c r="U57" s="40">
        <f t="shared" si="31"/>
        <v>0.64814814814814825</v>
      </c>
      <c r="V57" s="39">
        <f t="shared" si="32"/>
        <v>2</v>
      </c>
      <c r="W57" s="37">
        <f t="shared" si="33"/>
        <v>0.75</v>
      </c>
      <c r="X57" s="40">
        <f t="shared" si="34"/>
        <v>0.25</v>
      </c>
      <c r="Y57" s="39">
        <f t="shared" si="35"/>
        <v>1.1415525114155252</v>
      </c>
      <c r="Z57" s="37">
        <f t="shared" si="28"/>
        <v>1.2189244038559108</v>
      </c>
      <c r="AA57" s="37">
        <f t="shared" si="29"/>
        <v>0.72711154575791537</v>
      </c>
      <c r="AB57" s="37">
        <v>0</v>
      </c>
      <c r="AC57" s="37">
        <f t="shared" si="36"/>
        <v>3.9651839998084873E-2</v>
      </c>
      <c r="AD57" s="40">
        <f t="shared" si="19"/>
        <v>3.9651839998084873E-2</v>
      </c>
      <c r="AE57" s="39">
        <f t="shared" si="27"/>
        <v>0.48611111111111116</v>
      </c>
      <c r="AF57" s="37">
        <f t="shared" si="20"/>
        <v>0.62969707001132602</v>
      </c>
      <c r="AG57" s="37">
        <f t="shared" si="37"/>
        <v>1.9429401599061595E-3</v>
      </c>
      <c r="AH57" s="37">
        <f t="shared" si="38"/>
        <v>2.1257287208570584E-2</v>
      </c>
      <c r="AI57" s="40">
        <f t="shared" si="21"/>
        <v>2.3200227368476743E-2</v>
      </c>
      <c r="AJ57" s="39">
        <f t="shared" si="22"/>
        <v>0.16203703703703706</v>
      </c>
      <c r="AK57" s="37">
        <f t="shared" si="39"/>
        <v>0.36355577287895768</v>
      </c>
      <c r="AL57" s="37">
        <f t="shared" si="40"/>
        <v>0.13416666666666668</v>
      </c>
      <c r="AM57" s="37">
        <f t="shared" si="41"/>
        <v>4.5814800000000003E-2</v>
      </c>
      <c r="AN57" s="40">
        <f t="shared" si="23"/>
        <v>0.1799814666666667</v>
      </c>
      <c r="AO57" s="39">
        <f t="shared" si="42"/>
        <v>1.5860735999233953E-2</v>
      </c>
      <c r="AP57" s="37">
        <f t="shared" si="43"/>
        <v>6.6521250000000009E-3</v>
      </c>
      <c r="AQ57" s="40">
        <f t="shared" si="44"/>
        <v>2.2499999999999998E-3</v>
      </c>
      <c r="AR57" s="39">
        <f t="shared" si="24"/>
        <v>0.26759639503246224</v>
      </c>
      <c r="AS57" s="37">
        <f t="shared" si="25"/>
        <v>2.916666666666667</v>
      </c>
      <c r="AT57" s="40">
        <f t="shared" si="26"/>
        <v>91.596284922211424</v>
      </c>
    </row>
    <row r="58" spans="17:46" x14ac:dyDescent="0.3">
      <c r="Q58">
        <v>51</v>
      </c>
      <c r="R58" s="39">
        <f t="shared" si="0"/>
        <v>20</v>
      </c>
      <c r="S58" s="37">
        <f t="shared" si="30"/>
        <v>0.14874999999999999</v>
      </c>
      <c r="T58" s="37">
        <f t="shared" si="2"/>
        <v>5</v>
      </c>
      <c r="U58" s="40">
        <f t="shared" si="31"/>
        <v>0.66111111111111098</v>
      </c>
      <c r="V58" s="39">
        <f t="shared" si="32"/>
        <v>2</v>
      </c>
      <c r="W58" s="37">
        <f t="shared" si="33"/>
        <v>0.75</v>
      </c>
      <c r="X58" s="40">
        <f t="shared" si="34"/>
        <v>0.25</v>
      </c>
      <c r="Y58" s="39">
        <f t="shared" si="35"/>
        <v>1.1415525114155252</v>
      </c>
      <c r="Z58" s="37">
        <f t="shared" si="28"/>
        <v>1.2318873668188735</v>
      </c>
      <c r="AA58" s="37">
        <f t="shared" si="29"/>
        <v>0.7386901104395257</v>
      </c>
      <c r="AB58" s="37">
        <v>0</v>
      </c>
      <c r="AC58" s="37">
        <f t="shared" si="36"/>
        <v>4.0924730944586894E-2</v>
      </c>
      <c r="AD58" s="40">
        <f t="shared" si="19"/>
        <v>4.0924730944586894E-2</v>
      </c>
      <c r="AE58" s="39">
        <f t="shared" si="27"/>
        <v>0.49583333333333324</v>
      </c>
      <c r="AF58" s="37">
        <f t="shared" si="20"/>
        <v>0.63972440116496188</v>
      </c>
      <c r="AG58" s="37">
        <f t="shared" si="37"/>
        <v>2.0053118162847586E-3</v>
      </c>
      <c r="AH58" s="37">
        <f t="shared" si="38"/>
        <v>2.1682432952741987E-2</v>
      </c>
      <c r="AI58" s="40">
        <f t="shared" si="21"/>
        <v>2.3687744769026745E-2</v>
      </c>
      <c r="AJ58" s="39">
        <f t="shared" si="22"/>
        <v>0.16527777777777775</v>
      </c>
      <c r="AK58" s="37">
        <f t="shared" si="39"/>
        <v>0.36934505521976285</v>
      </c>
      <c r="AL58" s="37">
        <f t="shared" si="40"/>
        <v>0.13685</v>
      </c>
      <c r="AM58" s="37">
        <f t="shared" si="41"/>
        <v>4.5814800000000003E-2</v>
      </c>
      <c r="AN58" s="40">
        <f t="shared" si="23"/>
        <v>0.18266480000000002</v>
      </c>
      <c r="AO58" s="39">
        <f t="shared" si="42"/>
        <v>1.6369892377834764E-2</v>
      </c>
      <c r="AP58" s="37">
        <f t="shared" si="43"/>
        <v>6.6521250000000009E-3</v>
      </c>
      <c r="AQ58" s="40">
        <f t="shared" si="44"/>
        <v>2.2499999999999998E-3</v>
      </c>
      <c r="AR58" s="39">
        <f t="shared" si="24"/>
        <v>0.27254929309144837</v>
      </c>
      <c r="AS58" s="37">
        <f t="shared" si="25"/>
        <v>2.9749999999999996</v>
      </c>
      <c r="AT58" s="40">
        <f t="shared" si="26"/>
        <v>91.607539455328791</v>
      </c>
    </row>
    <row r="59" spans="17:46" x14ac:dyDescent="0.3">
      <c r="Q59">
        <v>52</v>
      </c>
      <c r="R59" s="39">
        <f t="shared" si="0"/>
        <v>20</v>
      </c>
      <c r="S59" s="37">
        <f t="shared" si="30"/>
        <v>0.15166666666666667</v>
      </c>
      <c r="T59" s="37">
        <f t="shared" si="2"/>
        <v>5</v>
      </c>
      <c r="U59" s="40">
        <f t="shared" si="31"/>
        <v>0.67407407407407405</v>
      </c>
      <c r="V59" s="39">
        <f t="shared" si="32"/>
        <v>2</v>
      </c>
      <c r="W59" s="37">
        <f t="shared" si="33"/>
        <v>0.75</v>
      </c>
      <c r="X59" s="40">
        <f t="shared" si="34"/>
        <v>0.25</v>
      </c>
      <c r="Y59" s="39">
        <f t="shared" si="35"/>
        <v>1.1415525114155252</v>
      </c>
      <c r="Z59" s="37">
        <f t="shared" si="28"/>
        <v>1.2448503297818365</v>
      </c>
      <c r="AA59" s="37">
        <f t="shared" si="29"/>
        <v>0.75031395786391397</v>
      </c>
      <c r="AB59" s="37">
        <v>0</v>
      </c>
      <c r="AC59" s="37">
        <f t="shared" si="36"/>
        <v>4.2222827652405842E-2</v>
      </c>
      <c r="AD59" s="40">
        <f t="shared" si="19"/>
        <v>4.2222827652405842E-2</v>
      </c>
      <c r="AE59" s="39">
        <f t="shared" si="27"/>
        <v>0.50555555555555554</v>
      </c>
      <c r="AF59" s="37">
        <f t="shared" si="20"/>
        <v>0.64979094832419648</v>
      </c>
      <c r="AG59" s="37">
        <f t="shared" si="37"/>
        <v>2.0689185549678875E-3</v>
      </c>
      <c r="AH59" s="37">
        <f t="shared" si="38"/>
        <v>2.2107578696913401E-2</v>
      </c>
      <c r="AI59" s="40">
        <f t="shared" si="21"/>
        <v>2.4176497251881288E-2</v>
      </c>
      <c r="AJ59" s="39">
        <f t="shared" si="22"/>
        <v>0.16851851851851851</v>
      </c>
      <c r="AK59" s="37">
        <f t="shared" si="39"/>
        <v>0.37515697893195704</v>
      </c>
      <c r="AL59" s="37">
        <f t="shared" si="40"/>
        <v>0.13953333333333334</v>
      </c>
      <c r="AM59" s="37">
        <f t="shared" si="41"/>
        <v>4.5814800000000003E-2</v>
      </c>
      <c r="AN59" s="40">
        <f t="shared" si="23"/>
        <v>0.18534813333333333</v>
      </c>
      <c r="AO59" s="39">
        <f t="shared" si="42"/>
        <v>1.6889131060962344E-2</v>
      </c>
      <c r="AP59" s="37">
        <f t="shared" si="43"/>
        <v>6.6521250000000009E-3</v>
      </c>
      <c r="AQ59" s="40">
        <f t="shared" si="44"/>
        <v>2.2499999999999998E-3</v>
      </c>
      <c r="AR59" s="39">
        <f t="shared" si="24"/>
        <v>0.27753871429858279</v>
      </c>
      <c r="AS59" s="37">
        <f t="shared" si="25"/>
        <v>3.0333333333333332</v>
      </c>
      <c r="AT59" s="40">
        <f t="shared" si="26"/>
        <v>91.617353062704709</v>
      </c>
    </row>
    <row r="60" spans="17:46" x14ac:dyDescent="0.3">
      <c r="Q60">
        <v>53</v>
      </c>
      <c r="R60" s="39">
        <f t="shared" si="0"/>
        <v>20</v>
      </c>
      <c r="S60" s="37">
        <f t="shared" si="30"/>
        <v>0.15458333333333335</v>
      </c>
      <c r="T60" s="37">
        <f t="shared" si="2"/>
        <v>5</v>
      </c>
      <c r="U60" s="40">
        <f t="shared" si="31"/>
        <v>0.68703703703703711</v>
      </c>
      <c r="V60" s="39">
        <f t="shared" si="32"/>
        <v>2</v>
      </c>
      <c r="W60" s="37">
        <f t="shared" si="33"/>
        <v>0.75</v>
      </c>
      <c r="X60" s="40">
        <f t="shared" si="34"/>
        <v>0.25</v>
      </c>
      <c r="Y60" s="39">
        <f t="shared" si="35"/>
        <v>1.1415525114155252</v>
      </c>
      <c r="Z60" s="37">
        <f t="shared" si="28"/>
        <v>1.2578132927447996</v>
      </c>
      <c r="AA60" s="37">
        <f t="shared" si="29"/>
        <v>0.7619810157000122</v>
      </c>
      <c r="AB60" s="37">
        <v>0</v>
      </c>
      <c r="AC60" s="37">
        <f t="shared" si="36"/>
        <v>4.3546130121541661E-2</v>
      </c>
      <c r="AD60" s="40">
        <f t="shared" si="19"/>
        <v>4.3546130121541661E-2</v>
      </c>
      <c r="AE60" s="39">
        <f t="shared" si="27"/>
        <v>0.51527777777777783</v>
      </c>
      <c r="AF60" s="37">
        <f t="shared" si="20"/>
        <v>0.65989491679767953</v>
      </c>
      <c r="AG60" s="37">
        <f t="shared" si="37"/>
        <v>2.1337603759555407E-3</v>
      </c>
      <c r="AH60" s="37">
        <f t="shared" si="38"/>
        <v>2.2532724441084815E-2</v>
      </c>
      <c r="AI60" s="40">
        <f t="shared" si="21"/>
        <v>2.4666484817040354E-2</v>
      </c>
      <c r="AJ60" s="39">
        <f t="shared" si="22"/>
        <v>0.17175925925925928</v>
      </c>
      <c r="AK60" s="37">
        <f t="shared" si="39"/>
        <v>0.38099050785000593</v>
      </c>
      <c r="AL60" s="37">
        <f t="shared" si="40"/>
        <v>0.14221666666666669</v>
      </c>
      <c r="AM60" s="37">
        <f t="shared" si="41"/>
        <v>4.5814800000000003E-2</v>
      </c>
      <c r="AN60" s="40">
        <f t="shared" si="23"/>
        <v>0.1880314666666667</v>
      </c>
      <c r="AO60" s="39">
        <f t="shared" si="42"/>
        <v>1.7418452048616657E-2</v>
      </c>
      <c r="AP60" s="37">
        <f t="shared" si="43"/>
        <v>6.6521250000000009E-3</v>
      </c>
      <c r="AQ60" s="40">
        <f t="shared" si="44"/>
        <v>2.2499999999999998E-3</v>
      </c>
      <c r="AR60" s="39">
        <f t="shared" si="24"/>
        <v>0.28256465865386537</v>
      </c>
      <c r="AS60" s="37">
        <f t="shared" si="25"/>
        <v>3.0916666666666668</v>
      </c>
      <c r="AT60" s="40">
        <f t="shared" si="26"/>
        <v>91.62580654937689</v>
      </c>
    </row>
    <row r="61" spans="17:46" x14ac:dyDescent="0.3">
      <c r="Q61">
        <v>54</v>
      </c>
      <c r="R61" s="39">
        <f t="shared" si="0"/>
        <v>20</v>
      </c>
      <c r="S61" s="37">
        <f t="shared" si="30"/>
        <v>0.1575</v>
      </c>
      <c r="T61" s="37">
        <f t="shared" si="2"/>
        <v>5</v>
      </c>
      <c r="U61" s="40">
        <f t="shared" si="31"/>
        <v>0.7</v>
      </c>
      <c r="V61" s="39">
        <f t="shared" si="32"/>
        <v>2</v>
      </c>
      <c r="W61" s="37">
        <f t="shared" si="33"/>
        <v>0.75</v>
      </c>
      <c r="X61" s="40">
        <f t="shared" si="34"/>
        <v>0.25</v>
      </c>
      <c r="Y61" s="39">
        <f t="shared" si="35"/>
        <v>1.1415525114155252</v>
      </c>
      <c r="Z61" s="37">
        <f t="shared" si="28"/>
        <v>1.2707762557077626</v>
      </c>
      <c r="AA61" s="37">
        <f t="shared" si="29"/>
        <v>0.77368932914096145</v>
      </c>
      <c r="AB61" s="37">
        <v>0</v>
      </c>
      <c r="AC61" s="37">
        <f t="shared" si="36"/>
        <v>4.4894638351994323E-2</v>
      </c>
      <c r="AD61" s="40">
        <f t="shared" si="19"/>
        <v>4.4894638351994323E-2</v>
      </c>
      <c r="AE61" s="39">
        <f t="shared" si="27"/>
        <v>0.52499999999999991</v>
      </c>
      <c r="AF61" s="37">
        <f t="shared" si="20"/>
        <v>0.67003461367301276</v>
      </c>
      <c r="AG61" s="37">
        <f t="shared" si="37"/>
        <v>2.1998372792477235E-3</v>
      </c>
      <c r="AH61" s="37">
        <f t="shared" si="38"/>
        <v>2.2957870185256225E-2</v>
      </c>
      <c r="AI61" s="40">
        <f t="shared" si="21"/>
        <v>2.5157707464503951E-2</v>
      </c>
      <c r="AJ61" s="39">
        <f t="shared" si="22"/>
        <v>0.17499999999999999</v>
      </c>
      <c r="AK61" s="37">
        <f t="shared" si="39"/>
        <v>0.38684466457048083</v>
      </c>
      <c r="AL61" s="37">
        <f t="shared" si="40"/>
        <v>0.1449</v>
      </c>
      <c r="AM61" s="37">
        <f t="shared" si="41"/>
        <v>4.5814800000000003E-2</v>
      </c>
      <c r="AN61" s="40">
        <f t="shared" si="23"/>
        <v>0.19071480000000002</v>
      </c>
      <c r="AO61" s="39">
        <f t="shared" si="42"/>
        <v>1.7957855340797739E-2</v>
      </c>
      <c r="AP61" s="37">
        <f t="shared" si="43"/>
        <v>6.6521250000000009E-3</v>
      </c>
      <c r="AQ61" s="40">
        <f t="shared" si="44"/>
        <v>2.2499999999999998E-3</v>
      </c>
      <c r="AR61" s="39">
        <f t="shared" si="24"/>
        <v>0.28762712615729602</v>
      </c>
      <c r="AS61" s="37">
        <f t="shared" si="25"/>
        <v>3.15</v>
      </c>
      <c r="AT61" s="40">
        <f t="shared" si="26"/>
        <v>91.632974851498332</v>
      </c>
    </row>
    <row r="62" spans="17:46" x14ac:dyDescent="0.3">
      <c r="Q62">
        <v>55</v>
      </c>
      <c r="R62" s="39">
        <f t="shared" si="0"/>
        <v>20</v>
      </c>
      <c r="S62" s="37">
        <f t="shared" si="30"/>
        <v>0.16041666666666668</v>
      </c>
      <c r="T62" s="37">
        <f t="shared" si="2"/>
        <v>5</v>
      </c>
      <c r="U62" s="40">
        <f t="shared" si="31"/>
        <v>0.71296296296296302</v>
      </c>
      <c r="V62" s="39">
        <f t="shared" si="32"/>
        <v>2</v>
      </c>
      <c r="W62" s="37">
        <f t="shared" si="33"/>
        <v>0.75</v>
      </c>
      <c r="X62" s="40">
        <f t="shared" si="34"/>
        <v>0.25</v>
      </c>
      <c r="Y62" s="39">
        <f t="shared" si="35"/>
        <v>1.1415525114155252</v>
      </c>
      <c r="Z62" s="37">
        <f t="shared" si="28"/>
        <v>1.2837392186707257</v>
      </c>
      <c r="AA62" s="37">
        <f t="shared" si="29"/>
        <v>0.78543705322802182</v>
      </c>
      <c r="AB62" s="37">
        <v>0</v>
      </c>
      <c r="AC62" s="37">
        <f t="shared" si="36"/>
        <v>4.6268352343763877E-2</v>
      </c>
      <c r="AD62" s="40">
        <f t="shared" si="19"/>
        <v>4.6268352343763877E-2</v>
      </c>
      <c r="AE62" s="39">
        <f t="shared" si="27"/>
        <v>0.53472222222222232</v>
      </c>
      <c r="AF62" s="37">
        <f t="shared" si="20"/>
        <v>0.68020844116905732</v>
      </c>
      <c r="AG62" s="37">
        <f t="shared" si="37"/>
        <v>2.2671492648444311E-3</v>
      </c>
      <c r="AH62" s="37">
        <f t="shared" si="38"/>
        <v>2.3383015929427639E-2</v>
      </c>
      <c r="AI62" s="40">
        <f t="shared" si="21"/>
        <v>2.565016519427207E-2</v>
      </c>
      <c r="AJ62" s="39">
        <f t="shared" si="22"/>
        <v>0.17824074074074076</v>
      </c>
      <c r="AK62" s="37">
        <f t="shared" si="39"/>
        <v>0.39271852661401097</v>
      </c>
      <c r="AL62" s="37">
        <f t="shared" si="40"/>
        <v>0.14758333333333334</v>
      </c>
      <c r="AM62" s="37">
        <f t="shared" si="41"/>
        <v>4.5814800000000003E-2</v>
      </c>
      <c r="AN62" s="40">
        <f t="shared" si="23"/>
        <v>0.19339813333333333</v>
      </c>
      <c r="AO62" s="39">
        <f t="shared" si="42"/>
        <v>1.8507340937505556E-2</v>
      </c>
      <c r="AP62" s="37">
        <f t="shared" si="43"/>
        <v>6.6521250000000009E-3</v>
      </c>
      <c r="AQ62" s="40">
        <f t="shared" si="44"/>
        <v>2.2499999999999998E-3</v>
      </c>
      <c r="AR62" s="39">
        <f t="shared" si="24"/>
        <v>0.29272611680887484</v>
      </c>
      <c r="AS62" s="37">
        <f t="shared" si="25"/>
        <v>3.2083333333333335</v>
      </c>
      <c r="AT62" s="40">
        <f t="shared" si="26"/>
        <v>91.638927559571002</v>
      </c>
    </row>
    <row r="63" spans="17:46" x14ac:dyDescent="0.3">
      <c r="Q63">
        <v>56</v>
      </c>
      <c r="R63" s="39">
        <f t="shared" si="0"/>
        <v>20</v>
      </c>
      <c r="S63" s="37">
        <f t="shared" si="30"/>
        <v>0.16333333333333333</v>
      </c>
      <c r="T63" s="37">
        <f t="shared" si="2"/>
        <v>5</v>
      </c>
      <c r="U63" s="40">
        <f t="shared" si="31"/>
        <v>0.72592592592592586</v>
      </c>
      <c r="V63" s="39">
        <f t="shared" si="32"/>
        <v>2</v>
      </c>
      <c r="W63" s="37">
        <f t="shared" si="33"/>
        <v>0.75</v>
      </c>
      <c r="X63" s="40">
        <f t="shared" si="34"/>
        <v>0.25</v>
      </c>
      <c r="Y63" s="39">
        <f t="shared" si="35"/>
        <v>1.1415525114155252</v>
      </c>
      <c r="Z63" s="37">
        <f t="shared" si="28"/>
        <v>1.2967021816336883</v>
      </c>
      <c r="AA63" s="37">
        <f t="shared" si="29"/>
        <v>0.79722244571888701</v>
      </c>
      <c r="AB63" s="37">
        <v>0</v>
      </c>
      <c r="AC63" s="37">
        <f t="shared" si="36"/>
        <v>4.7667272096850274E-2</v>
      </c>
      <c r="AD63" s="40">
        <f t="shared" si="19"/>
        <v>4.7667272096850274E-2</v>
      </c>
      <c r="AE63" s="39">
        <f t="shared" si="27"/>
        <v>0.5444444444444444</v>
      </c>
      <c r="AF63" s="37">
        <f t="shared" si="20"/>
        <v>0.69041489045971693</v>
      </c>
      <c r="AG63" s="37">
        <f t="shared" si="37"/>
        <v>2.3356963327456647E-3</v>
      </c>
      <c r="AH63" s="37">
        <f t="shared" si="38"/>
        <v>2.3808161673599049E-2</v>
      </c>
      <c r="AI63" s="40">
        <f t="shared" si="21"/>
        <v>2.6143858006344715E-2</v>
      </c>
      <c r="AJ63" s="39">
        <f t="shared" si="22"/>
        <v>0.18148148148148147</v>
      </c>
      <c r="AK63" s="37">
        <f t="shared" si="39"/>
        <v>0.39861122285944356</v>
      </c>
      <c r="AL63" s="37">
        <f t="shared" si="40"/>
        <v>0.15026666666666666</v>
      </c>
      <c r="AM63" s="37">
        <f t="shared" si="41"/>
        <v>4.5814800000000003E-2</v>
      </c>
      <c r="AN63" s="40">
        <f t="shared" si="23"/>
        <v>0.19608146666666665</v>
      </c>
      <c r="AO63" s="39">
        <f t="shared" si="42"/>
        <v>1.9066908838740119E-2</v>
      </c>
      <c r="AP63" s="37">
        <f t="shared" si="43"/>
        <v>6.6521250000000009E-3</v>
      </c>
      <c r="AQ63" s="40">
        <f t="shared" si="44"/>
        <v>2.2499999999999998E-3</v>
      </c>
      <c r="AR63" s="39">
        <f t="shared" si="24"/>
        <v>0.29786163060860177</v>
      </c>
      <c r="AS63" s="37">
        <f t="shared" si="25"/>
        <v>3.2666666666666666</v>
      </c>
      <c r="AT63" s="40">
        <f t="shared" si="26"/>
        <v>91.643729386682452</v>
      </c>
    </row>
    <row r="64" spans="17:46" x14ac:dyDescent="0.3">
      <c r="Q64">
        <v>57</v>
      </c>
      <c r="R64" s="39">
        <f t="shared" si="0"/>
        <v>20</v>
      </c>
      <c r="S64" s="37">
        <f t="shared" si="30"/>
        <v>0.16625000000000001</v>
      </c>
      <c r="T64" s="37">
        <f t="shared" si="2"/>
        <v>5</v>
      </c>
      <c r="U64" s="40">
        <f t="shared" si="31"/>
        <v>0.73888888888888893</v>
      </c>
      <c r="V64" s="39">
        <f t="shared" si="32"/>
        <v>2</v>
      </c>
      <c r="W64" s="37">
        <f t="shared" si="33"/>
        <v>0.75</v>
      </c>
      <c r="X64" s="40">
        <f t="shared" si="34"/>
        <v>0.25</v>
      </c>
      <c r="Y64" s="39">
        <f t="shared" si="35"/>
        <v>1.1415525114155252</v>
      </c>
      <c r="Z64" s="37">
        <f t="shared" si="28"/>
        <v>1.3096651445966514</v>
      </c>
      <c r="AA64" s="37">
        <f t="shared" si="29"/>
        <v>0.80904386046125332</v>
      </c>
      <c r="AB64" s="37">
        <v>0</v>
      </c>
      <c r="AC64" s="37">
        <f t="shared" si="36"/>
        <v>4.9091397611253591E-2</v>
      </c>
      <c r="AD64" s="40">
        <f t="shared" si="19"/>
        <v>4.9091397611253591E-2</v>
      </c>
      <c r="AE64" s="39">
        <f t="shared" si="27"/>
        <v>0.5541666666666667</v>
      </c>
      <c r="AF64" s="37">
        <f t="shared" si="20"/>
        <v>0.70065253593527776</v>
      </c>
      <c r="AG64" s="37">
        <f t="shared" si="37"/>
        <v>2.4054784829514253E-3</v>
      </c>
      <c r="AH64" s="37">
        <f t="shared" si="38"/>
        <v>2.4233307417770463E-2</v>
      </c>
      <c r="AI64" s="40">
        <f t="shared" si="21"/>
        <v>2.6638785900721888E-2</v>
      </c>
      <c r="AJ64" s="39">
        <f t="shared" si="22"/>
        <v>0.18472222222222223</v>
      </c>
      <c r="AK64" s="37">
        <f t="shared" si="39"/>
        <v>0.40452193023062655</v>
      </c>
      <c r="AL64" s="37">
        <f t="shared" si="40"/>
        <v>0.15295</v>
      </c>
      <c r="AM64" s="37">
        <f t="shared" si="41"/>
        <v>4.5814800000000003E-2</v>
      </c>
      <c r="AN64" s="40">
        <f t="shared" si="23"/>
        <v>0.19876480000000002</v>
      </c>
      <c r="AO64" s="39">
        <f t="shared" si="42"/>
        <v>1.9636559044501428E-2</v>
      </c>
      <c r="AP64" s="37">
        <f t="shared" si="43"/>
        <v>6.6521250000000009E-3</v>
      </c>
      <c r="AQ64" s="40">
        <f t="shared" si="44"/>
        <v>2.2499999999999998E-3</v>
      </c>
      <c r="AR64" s="39">
        <f t="shared" si="24"/>
        <v>0.30303366755647693</v>
      </c>
      <c r="AS64" s="37">
        <f t="shared" si="25"/>
        <v>3.3250000000000002</v>
      </c>
      <c r="AT64" s="40">
        <f t="shared" si="26"/>
        <v>91.647440588373215</v>
      </c>
    </row>
    <row r="65" spans="17:46" x14ac:dyDescent="0.3">
      <c r="Q65">
        <v>58</v>
      </c>
      <c r="R65" s="39">
        <f t="shared" si="0"/>
        <v>20</v>
      </c>
      <c r="S65" s="37">
        <f t="shared" si="30"/>
        <v>0.16916666666666669</v>
      </c>
      <c r="T65" s="37">
        <f t="shared" si="2"/>
        <v>5</v>
      </c>
      <c r="U65" s="40">
        <f t="shared" si="31"/>
        <v>0.75185185185185199</v>
      </c>
      <c r="V65" s="39">
        <f t="shared" si="32"/>
        <v>2</v>
      </c>
      <c r="W65" s="37">
        <f t="shared" si="33"/>
        <v>0.75</v>
      </c>
      <c r="X65" s="40">
        <f t="shared" si="34"/>
        <v>0.25</v>
      </c>
      <c r="Y65" s="39">
        <f t="shared" si="35"/>
        <v>1.1415525114155252</v>
      </c>
      <c r="Z65" s="37">
        <f t="shared" si="28"/>
        <v>1.3226281075596145</v>
      </c>
      <c r="AA65" s="37">
        <f t="shared" si="29"/>
        <v>0.82089974123497578</v>
      </c>
      <c r="AB65" s="37">
        <v>0</v>
      </c>
      <c r="AC65" s="37">
        <f t="shared" si="36"/>
        <v>5.0540728886973765E-2</v>
      </c>
      <c r="AD65" s="40">
        <f t="shared" si="19"/>
        <v>5.0540728886973765E-2</v>
      </c>
      <c r="AE65" s="39">
        <f t="shared" si="27"/>
        <v>0.56388888888888899</v>
      </c>
      <c r="AF65" s="37">
        <f t="shared" si="20"/>
        <v>0.71092002986956104</v>
      </c>
      <c r="AG65" s="37">
        <f t="shared" si="37"/>
        <v>2.4764957154617142E-3</v>
      </c>
      <c r="AH65" s="37">
        <f t="shared" si="38"/>
        <v>2.4658453161941877E-2</v>
      </c>
      <c r="AI65" s="40">
        <f t="shared" si="21"/>
        <v>2.713494887740359E-2</v>
      </c>
      <c r="AJ65" s="39">
        <f t="shared" si="22"/>
        <v>0.187962962962963</v>
      </c>
      <c r="AK65" s="37">
        <f t="shared" si="39"/>
        <v>0.41044987061748783</v>
      </c>
      <c r="AL65" s="37">
        <f t="shared" si="40"/>
        <v>0.15563333333333335</v>
      </c>
      <c r="AM65" s="37">
        <f t="shared" si="41"/>
        <v>4.5814800000000003E-2</v>
      </c>
      <c r="AN65" s="40">
        <f t="shared" si="23"/>
        <v>0.20144813333333333</v>
      </c>
      <c r="AO65" s="39">
        <f t="shared" si="42"/>
        <v>2.02162915547895E-2</v>
      </c>
      <c r="AP65" s="37">
        <f t="shared" si="43"/>
        <v>6.6521250000000009E-3</v>
      </c>
      <c r="AQ65" s="40">
        <f t="shared" si="44"/>
        <v>2.2499999999999998E-3</v>
      </c>
      <c r="AR65" s="39">
        <f t="shared" si="24"/>
        <v>0.30824222765250014</v>
      </c>
      <c r="AS65" s="37">
        <f t="shared" si="25"/>
        <v>3.3833333333333337</v>
      </c>
      <c r="AT65" s="40">
        <f t="shared" si="26"/>
        <v>91.650117339866014</v>
      </c>
    </row>
    <row r="66" spans="17:46" x14ac:dyDescent="0.3">
      <c r="Q66">
        <v>59</v>
      </c>
      <c r="R66" s="39">
        <f t="shared" si="0"/>
        <v>20</v>
      </c>
      <c r="S66" s="37">
        <f t="shared" si="30"/>
        <v>0.17208333333333334</v>
      </c>
      <c r="T66" s="37">
        <f t="shared" si="2"/>
        <v>5</v>
      </c>
      <c r="U66" s="40">
        <f t="shared" si="31"/>
        <v>0.76481481481481484</v>
      </c>
      <c r="V66" s="39">
        <f t="shared" si="32"/>
        <v>2</v>
      </c>
      <c r="W66" s="37">
        <f t="shared" si="33"/>
        <v>0.75</v>
      </c>
      <c r="X66" s="40">
        <f t="shared" si="34"/>
        <v>0.25</v>
      </c>
      <c r="Y66" s="39">
        <f t="shared" si="35"/>
        <v>1.1415525114155252</v>
      </c>
      <c r="Z66" s="37">
        <f t="shared" si="28"/>
        <v>1.3355910705225775</v>
      </c>
      <c r="AA66" s="37">
        <f t="shared" si="29"/>
        <v>0.83278861602858767</v>
      </c>
      <c r="AB66" s="37">
        <v>0</v>
      </c>
      <c r="AC66" s="37">
        <f t="shared" si="36"/>
        <v>5.2015265924010776E-2</v>
      </c>
      <c r="AD66" s="40">
        <f t="shared" si="19"/>
        <v>5.2015265924010776E-2</v>
      </c>
      <c r="AE66" s="39">
        <f t="shared" si="27"/>
        <v>0.57361111111111107</v>
      </c>
      <c r="AF66" s="37">
        <f t="shared" si="20"/>
        <v>0.72121609746324167</v>
      </c>
      <c r="AG66" s="37">
        <f t="shared" si="37"/>
        <v>2.54874803027653E-3</v>
      </c>
      <c r="AH66" s="37">
        <f t="shared" si="38"/>
        <v>2.5083598906113284E-2</v>
      </c>
      <c r="AI66" s="40">
        <f t="shared" si="21"/>
        <v>2.7632346936389815E-2</v>
      </c>
      <c r="AJ66" s="39">
        <f t="shared" si="22"/>
        <v>0.19120370370370371</v>
      </c>
      <c r="AK66" s="37">
        <f t="shared" si="39"/>
        <v>0.41639430801429395</v>
      </c>
      <c r="AL66" s="37">
        <f t="shared" si="40"/>
        <v>0.15831666666666669</v>
      </c>
      <c r="AM66" s="37">
        <f t="shared" si="41"/>
        <v>4.5814800000000003E-2</v>
      </c>
      <c r="AN66" s="40">
        <f t="shared" si="23"/>
        <v>0.20413146666666671</v>
      </c>
      <c r="AO66" s="39">
        <f t="shared" si="42"/>
        <v>2.0806106369604324E-2</v>
      </c>
      <c r="AP66" s="37">
        <f t="shared" si="43"/>
        <v>6.6521250000000009E-3</v>
      </c>
      <c r="AQ66" s="40">
        <f t="shared" si="44"/>
        <v>2.2499999999999998E-3</v>
      </c>
      <c r="AR66" s="39">
        <f t="shared" si="24"/>
        <v>0.31348731089667164</v>
      </c>
      <c r="AS66" s="37">
        <f t="shared" si="25"/>
        <v>3.4416666666666669</v>
      </c>
      <c r="AT66" s="40">
        <f t="shared" si="26"/>
        <v>91.651812075623894</v>
      </c>
    </row>
    <row r="67" spans="17:46" x14ac:dyDescent="0.3">
      <c r="Q67">
        <v>60</v>
      </c>
      <c r="R67" s="39">
        <f t="shared" si="0"/>
        <v>20</v>
      </c>
      <c r="S67" s="37">
        <f t="shared" si="30"/>
        <v>0.17500000000000002</v>
      </c>
      <c r="T67" s="37">
        <f t="shared" si="2"/>
        <v>5</v>
      </c>
      <c r="U67" s="40">
        <f t="shared" si="31"/>
        <v>0.7777777777777779</v>
      </c>
      <c r="V67" s="39">
        <f t="shared" si="32"/>
        <v>2</v>
      </c>
      <c r="W67" s="37">
        <f t="shared" si="33"/>
        <v>0.75</v>
      </c>
      <c r="X67" s="40">
        <f t="shared" si="34"/>
        <v>0.25</v>
      </c>
      <c r="Y67" s="39">
        <f t="shared" si="35"/>
        <v>1.1415525114155252</v>
      </c>
      <c r="Z67" s="37">
        <f t="shared" si="28"/>
        <v>1.3485540334855406</v>
      </c>
      <c r="AA67" s="37">
        <f t="shared" si="29"/>
        <v>0.84470909171828468</v>
      </c>
      <c r="AB67" s="37">
        <v>0</v>
      </c>
      <c r="AC67" s="37">
        <f t="shared" si="36"/>
        <v>5.3515008722364706E-2</v>
      </c>
      <c r="AD67" s="40">
        <f t="shared" si="19"/>
        <v>5.3515008722364706E-2</v>
      </c>
      <c r="AE67" s="39">
        <f t="shared" si="27"/>
        <v>0.58333333333333348</v>
      </c>
      <c r="AF67" s="37">
        <f t="shared" si="20"/>
        <v>0.73153953223571411</v>
      </c>
      <c r="AG67" s="37">
        <f t="shared" si="37"/>
        <v>2.6222354273958727E-3</v>
      </c>
      <c r="AH67" s="37">
        <f t="shared" si="38"/>
        <v>2.5508744650284697E-2</v>
      </c>
      <c r="AI67" s="40">
        <f t="shared" si="21"/>
        <v>2.813098007768057E-2</v>
      </c>
      <c r="AJ67" s="39">
        <f t="shared" si="22"/>
        <v>0.19444444444444448</v>
      </c>
      <c r="AK67" s="37">
        <f t="shared" si="39"/>
        <v>0.42235454585914245</v>
      </c>
      <c r="AL67" s="37">
        <f t="shared" si="40"/>
        <v>0.16100000000000003</v>
      </c>
      <c r="AM67" s="37">
        <f t="shared" si="41"/>
        <v>4.5814800000000003E-2</v>
      </c>
      <c r="AN67" s="40">
        <f t="shared" si="23"/>
        <v>0.20681480000000002</v>
      </c>
      <c r="AO67" s="39">
        <f t="shared" si="42"/>
        <v>2.1406003488945897E-2</v>
      </c>
      <c r="AP67" s="37">
        <f t="shared" si="43"/>
        <v>6.6521250000000009E-3</v>
      </c>
      <c r="AQ67" s="40">
        <f t="shared" si="44"/>
        <v>2.2499999999999998E-3</v>
      </c>
      <c r="AR67" s="39">
        <f t="shared" si="24"/>
        <v>0.31876891728899115</v>
      </c>
      <c r="AS67" s="37">
        <f t="shared" si="25"/>
        <v>3.5000000000000004</v>
      </c>
      <c r="AT67" s="40">
        <f t="shared" si="26"/>
        <v>91.652573795554744</v>
      </c>
    </row>
    <row r="68" spans="17:46" x14ac:dyDescent="0.3">
      <c r="Q68">
        <v>61</v>
      </c>
      <c r="R68" s="39">
        <f t="shared" si="0"/>
        <v>20</v>
      </c>
      <c r="S68" s="37">
        <f t="shared" si="30"/>
        <v>0.17791666666666667</v>
      </c>
      <c r="T68" s="37">
        <f t="shared" si="2"/>
        <v>5</v>
      </c>
      <c r="U68" s="40">
        <f t="shared" si="31"/>
        <v>0.79074074074074074</v>
      </c>
      <c r="V68" s="39">
        <f t="shared" si="32"/>
        <v>2</v>
      </c>
      <c r="W68" s="37">
        <f t="shared" si="33"/>
        <v>0.75</v>
      </c>
      <c r="X68" s="40">
        <f t="shared" si="34"/>
        <v>0.25</v>
      </c>
      <c r="Y68" s="39">
        <f t="shared" si="35"/>
        <v>1.1415525114155252</v>
      </c>
      <c r="Z68" s="37">
        <f t="shared" si="28"/>
        <v>1.3615169964485032</v>
      </c>
      <c r="AA68" s="37">
        <f t="shared" si="29"/>
        <v>0.85665984911971116</v>
      </c>
      <c r="AB68" s="37">
        <v>0</v>
      </c>
      <c r="AC68" s="37">
        <f t="shared" si="36"/>
        <v>5.5039957282035465E-2</v>
      </c>
      <c r="AD68" s="40">
        <f t="shared" si="19"/>
        <v>5.5039957282035465E-2</v>
      </c>
      <c r="AE68" s="39">
        <f t="shared" si="27"/>
        <v>0.59305555555555556</v>
      </c>
      <c r="AF68" s="37">
        <f t="shared" si="20"/>
        <v>0.74188919173981416</v>
      </c>
      <c r="AG68" s="37">
        <f t="shared" si="37"/>
        <v>2.6969579068197389E-3</v>
      </c>
      <c r="AH68" s="37">
        <f t="shared" si="38"/>
        <v>2.5933890394456108E-2</v>
      </c>
      <c r="AI68" s="40">
        <f t="shared" si="21"/>
        <v>2.8630848301275845E-2</v>
      </c>
      <c r="AJ68" s="39">
        <f t="shared" si="22"/>
        <v>0.19768518518518519</v>
      </c>
      <c r="AK68" s="37">
        <f t="shared" si="39"/>
        <v>0.42832992455985563</v>
      </c>
      <c r="AL68" s="37">
        <f t="shared" si="40"/>
        <v>0.16368333333333335</v>
      </c>
      <c r="AM68" s="37">
        <f t="shared" si="41"/>
        <v>4.5814800000000003E-2</v>
      </c>
      <c r="AN68" s="40">
        <f t="shared" si="23"/>
        <v>0.20949813333333334</v>
      </c>
      <c r="AO68" s="39">
        <f t="shared" si="42"/>
        <v>2.2015982912814192E-2</v>
      </c>
      <c r="AP68" s="37">
        <f t="shared" si="43"/>
        <v>6.6521250000000009E-3</v>
      </c>
      <c r="AQ68" s="40">
        <f t="shared" si="44"/>
        <v>2.2499999999999998E-3</v>
      </c>
      <c r="AR68" s="39">
        <f t="shared" si="24"/>
        <v>0.32408704682945882</v>
      </c>
      <c r="AS68" s="37">
        <f t="shared" si="25"/>
        <v>3.5583333333333336</v>
      </c>
      <c r="AT68" s="40">
        <f t="shared" si="26"/>
        <v>91.652448341622659</v>
      </c>
    </row>
    <row r="69" spans="17:46" x14ac:dyDescent="0.3">
      <c r="Q69">
        <v>62</v>
      </c>
      <c r="R69" s="39">
        <f t="shared" si="0"/>
        <v>20</v>
      </c>
      <c r="S69" s="37">
        <f t="shared" si="30"/>
        <v>0.18083333333333335</v>
      </c>
      <c r="T69" s="37">
        <f t="shared" si="2"/>
        <v>5</v>
      </c>
      <c r="U69" s="40">
        <f t="shared" si="31"/>
        <v>0.80370370370370381</v>
      </c>
      <c r="V69" s="39">
        <f t="shared" si="32"/>
        <v>2</v>
      </c>
      <c r="W69" s="37">
        <f t="shared" si="33"/>
        <v>0.75</v>
      </c>
      <c r="X69" s="40">
        <f t="shared" si="34"/>
        <v>0.25</v>
      </c>
      <c r="Y69" s="39">
        <f t="shared" si="35"/>
        <v>1.1415525114155252</v>
      </c>
      <c r="Z69" s="37">
        <f t="shared" si="28"/>
        <v>1.3744799594114663</v>
      </c>
      <c r="AA69" s="37">
        <f t="shared" si="29"/>
        <v>0.86863963838501057</v>
      </c>
      <c r="AB69" s="37">
        <v>0</v>
      </c>
      <c r="AC69" s="37">
        <f t="shared" si="36"/>
        <v>5.6590111603023144E-2</v>
      </c>
      <c r="AD69" s="40">
        <f t="shared" si="19"/>
        <v>5.6590111603023144E-2</v>
      </c>
      <c r="AE69" s="39">
        <f t="shared" si="27"/>
        <v>0.60277777777777786</v>
      </c>
      <c r="AF69" s="37">
        <f t="shared" si="20"/>
        <v>0.75226399357554752</v>
      </c>
      <c r="AG69" s="37">
        <f t="shared" si="37"/>
        <v>2.7729154685481342E-3</v>
      </c>
      <c r="AH69" s="37">
        <f t="shared" si="38"/>
        <v>2.6359036138627522E-2</v>
      </c>
      <c r="AI69" s="40">
        <f t="shared" si="21"/>
        <v>2.9131951607175657E-2</v>
      </c>
      <c r="AJ69" s="39">
        <f t="shared" si="22"/>
        <v>0.20092592592592595</v>
      </c>
      <c r="AK69" s="37">
        <f t="shared" si="39"/>
        <v>0.43431981919250523</v>
      </c>
      <c r="AL69" s="37">
        <f t="shared" si="40"/>
        <v>0.16636666666666669</v>
      </c>
      <c r="AM69" s="37">
        <f t="shared" si="41"/>
        <v>4.5814800000000003E-2</v>
      </c>
      <c r="AN69" s="40">
        <f t="shared" si="23"/>
        <v>0.21218146666666671</v>
      </c>
      <c r="AO69" s="39">
        <f t="shared" si="42"/>
        <v>2.2636044641209257E-2</v>
      </c>
      <c r="AP69" s="37">
        <f t="shared" si="43"/>
        <v>6.6521250000000009E-3</v>
      </c>
      <c r="AQ69" s="40">
        <f t="shared" si="44"/>
        <v>2.2499999999999998E-3</v>
      </c>
      <c r="AR69" s="39">
        <f t="shared" si="24"/>
        <v>0.32944169951807473</v>
      </c>
      <c r="AS69" s="37">
        <f t="shared" si="25"/>
        <v>3.6166666666666671</v>
      </c>
      <c r="AT69" s="40">
        <f t="shared" si="26"/>
        <v>91.651478648149947</v>
      </c>
    </row>
    <row r="70" spans="17:46" x14ac:dyDescent="0.3">
      <c r="Q70">
        <v>63</v>
      </c>
      <c r="R70" s="39">
        <f t="shared" si="0"/>
        <v>20</v>
      </c>
      <c r="S70" s="37">
        <f t="shared" si="30"/>
        <v>0.18375</v>
      </c>
      <c r="T70" s="37">
        <f t="shared" si="2"/>
        <v>5</v>
      </c>
      <c r="U70" s="40">
        <f t="shared" si="31"/>
        <v>0.81666666666666665</v>
      </c>
      <c r="V70" s="39">
        <f t="shared" si="32"/>
        <v>2</v>
      </c>
      <c r="W70" s="37">
        <f t="shared" si="33"/>
        <v>0.75</v>
      </c>
      <c r="X70" s="40">
        <f t="shared" si="34"/>
        <v>0.25</v>
      </c>
      <c r="Y70" s="39">
        <f t="shared" si="35"/>
        <v>1.1415525114155252</v>
      </c>
      <c r="Z70" s="37">
        <f t="shared" si="28"/>
        <v>1.3874429223744293</v>
      </c>
      <c r="AA70" s="37">
        <f t="shared" si="29"/>
        <v>0.88064727471958681</v>
      </c>
      <c r="AB70" s="37">
        <v>0</v>
      </c>
      <c r="AC70" s="37">
        <f t="shared" si="36"/>
        <v>5.8165471685327652E-2</v>
      </c>
      <c r="AD70" s="40">
        <f t="shared" si="19"/>
        <v>5.8165471685327652E-2</v>
      </c>
      <c r="AE70" s="39">
        <f t="shared" si="27"/>
        <v>0.61250000000000004</v>
      </c>
      <c r="AF70" s="37">
        <f t="shared" si="20"/>
        <v>0.76266291168069567</v>
      </c>
      <c r="AG70" s="37">
        <f t="shared" si="37"/>
        <v>2.8501081125810561E-3</v>
      </c>
      <c r="AH70" s="37">
        <f t="shared" si="38"/>
        <v>2.6784181882798925E-2</v>
      </c>
      <c r="AI70" s="40">
        <f t="shared" si="21"/>
        <v>2.9634289995379981E-2</v>
      </c>
      <c r="AJ70" s="39">
        <f t="shared" si="22"/>
        <v>0.20416666666666666</v>
      </c>
      <c r="AK70" s="37">
        <f t="shared" si="39"/>
        <v>0.44032363735979346</v>
      </c>
      <c r="AL70" s="37">
        <f t="shared" si="40"/>
        <v>0.16905000000000001</v>
      </c>
      <c r="AM70" s="37">
        <f t="shared" si="41"/>
        <v>4.5814800000000003E-2</v>
      </c>
      <c r="AN70" s="40">
        <f t="shared" si="23"/>
        <v>0.21486480000000002</v>
      </c>
      <c r="AO70" s="39">
        <f t="shared" si="42"/>
        <v>2.3266188674131067E-2</v>
      </c>
      <c r="AP70" s="37">
        <f t="shared" si="43"/>
        <v>6.6521250000000009E-3</v>
      </c>
      <c r="AQ70" s="40">
        <f t="shared" si="44"/>
        <v>2.2499999999999998E-3</v>
      </c>
      <c r="AR70" s="39">
        <f t="shared" si="24"/>
        <v>0.33483287535483869</v>
      </c>
      <c r="AS70" s="37">
        <f t="shared" si="25"/>
        <v>3.6749999999999998</v>
      </c>
      <c r="AT70" s="40">
        <f t="shared" si="26"/>
        <v>91.649704968683793</v>
      </c>
    </row>
    <row r="71" spans="17:46" x14ac:dyDescent="0.3">
      <c r="Q71">
        <v>64</v>
      </c>
      <c r="R71" s="39">
        <f t="shared" ref="R71:R134" si="45">VOUT</f>
        <v>20</v>
      </c>
      <c r="S71" s="37">
        <f t="shared" ref="S71:S102" si="46">Q71*$O$12</f>
        <v>0.18666666666666668</v>
      </c>
      <c r="T71" s="37">
        <f t="shared" ref="T71:T134" si="47">VIN_var</f>
        <v>5</v>
      </c>
      <c r="U71" s="40">
        <f t="shared" ref="U71:U102" si="48">(R71*S71)/(T71*EFF_est)</f>
        <v>0.82962962962962961</v>
      </c>
      <c r="V71" s="39">
        <f t="shared" ref="V71:V102" si="49">IF((S71*R71/T71)&lt;((T71*(1-(T71/R71)))/(2*Lm*Fsw)),1,2)</f>
        <v>2</v>
      </c>
      <c r="W71" s="37">
        <f t="shared" ref="W71:W102" si="50">CHOOSE(V71,SQRT((2*S71*Lm*Fsw*(R71-T71))/((T71)^2)),1-(T71/R71))</f>
        <v>0.75</v>
      </c>
      <c r="X71" s="40">
        <f t="shared" ref="X71:X102" si="51">CHOOSE(V71,(Lm*W71*Fsw)/(R71-T71),1-W71)</f>
        <v>0.25</v>
      </c>
      <c r="Y71" s="39">
        <f t="shared" ref="Y71:Y102" si="52">(T71*W71)/(Lm*Fsw)</f>
        <v>1.1415525114155252</v>
      </c>
      <c r="Z71" s="37">
        <f t="shared" si="28"/>
        <v>1.4004058853373922</v>
      </c>
      <c r="AA71" s="37">
        <f t="shared" si="29"/>
        <v>0.89268163439492099</v>
      </c>
      <c r="AB71" s="37">
        <v>0</v>
      </c>
      <c r="AC71" s="37">
        <f t="shared" ref="AC71:AC102" si="53">(AA71^2)*Rdcr</f>
        <v>5.9766037528949045E-2</v>
      </c>
      <c r="AD71" s="40">
        <f t="shared" si="19"/>
        <v>5.9766037528949045E-2</v>
      </c>
      <c r="AE71" s="39">
        <f t="shared" si="27"/>
        <v>0.62222222222222223</v>
      </c>
      <c r="AF71" s="37">
        <f t="shared" si="20"/>
        <v>0.77308497287781408</v>
      </c>
      <c r="AG71" s="37">
        <f t="shared" ref="AG71:AG102" si="54">(AF71^2)*RDS_on</f>
        <v>2.928535838918504E-3</v>
      </c>
      <c r="AH71" s="37">
        <f t="shared" ref="AH71:AH102" si="55">((R71*U71)/2)*Fsw*(tr_sw+tf_sw)</f>
        <v>2.7209327626970339E-2</v>
      </c>
      <c r="AI71" s="40">
        <f t="shared" si="21"/>
        <v>3.0137863465888842E-2</v>
      </c>
      <c r="AJ71" s="39">
        <f t="shared" si="22"/>
        <v>0.2074074074074074</v>
      </c>
      <c r="AK71" s="37">
        <f t="shared" ref="AK71:AK102" si="56">CHOOSE(V71,Z71*SQRT(X71/3),SQRT(X71*((Z71^2)+((Y71^2)/3)-(Y71*Z71))))</f>
        <v>0.44634081719746049</v>
      </c>
      <c r="AL71" s="37">
        <f t="shared" ref="AL71:AL102" si="57">S71*Vd_rect</f>
        <v>0.17173333333333335</v>
      </c>
      <c r="AM71" s="37">
        <f t="shared" ref="AM71:AM102" si="58">CHOOSE(V71,(R71+Vd_rect)*Qrr*Fsw,(R71+Vd_rect)*Qrr*Fsw)</f>
        <v>4.5814800000000003E-2</v>
      </c>
      <c r="AN71" s="40">
        <f t="shared" si="23"/>
        <v>0.21754813333333334</v>
      </c>
      <c r="AO71" s="39">
        <f t="shared" ref="AO71:AO102" si="59">(AF71^2)*R_cs</f>
        <v>2.3906415011579623E-2</v>
      </c>
      <c r="AP71" s="37">
        <f t="shared" ref="AP71:AP102" si="60">Qg_tot*Vcc*Fsw</f>
        <v>6.6521250000000009E-3</v>
      </c>
      <c r="AQ71" s="40">
        <f t="shared" ref="AQ71:AQ102" si="61">IQ*T71</f>
        <v>2.2499999999999998E-3</v>
      </c>
      <c r="AR71" s="39">
        <f t="shared" si="24"/>
        <v>0.34026057433975082</v>
      </c>
      <c r="AS71" s="37">
        <f t="shared" si="25"/>
        <v>3.7333333333333334</v>
      </c>
      <c r="AT71" s="40">
        <f t="shared" si="26"/>
        <v>91.647165081948131</v>
      </c>
    </row>
    <row r="72" spans="17:46" x14ac:dyDescent="0.3">
      <c r="Q72">
        <v>65</v>
      </c>
      <c r="R72" s="39">
        <f t="shared" si="45"/>
        <v>20</v>
      </c>
      <c r="S72" s="37">
        <f t="shared" si="46"/>
        <v>0.18958333333333335</v>
      </c>
      <c r="T72" s="37">
        <f t="shared" si="47"/>
        <v>5</v>
      </c>
      <c r="U72" s="40">
        <f t="shared" si="48"/>
        <v>0.84259259259259267</v>
      </c>
      <c r="V72" s="39">
        <f t="shared" si="49"/>
        <v>2</v>
      </c>
      <c r="W72" s="37">
        <f t="shared" si="50"/>
        <v>0.75</v>
      </c>
      <c r="X72" s="40">
        <f t="shared" si="51"/>
        <v>0.25</v>
      </c>
      <c r="Y72" s="39">
        <f t="shared" si="52"/>
        <v>1.1415525114155252</v>
      </c>
      <c r="Z72" s="37">
        <f t="shared" si="28"/>
        <v>1.4133688483003553</v>
      </c>
      <c r="AA72" s="37">
        <f t="shared" si="29"/>
        <v>0.90474165103553061</v>
      </c>
      <c r="AB72" s="37">
        <v>0</v>
      </c>
      <c r="AC72" s="37">
        <f t="shared" si="53"/>
        <v>6.1391809133887337E-2</v>
      </c>
      <c r="AD72" s="40">
        <f t="shared" ref="AD72:AD135" si="62">AB72+AC72</f>
        <v>6.1391809133887337E-2</v>
      </c>
      <c r="AE72" s="39">
        <f t="shared" si="27"/>
        <v>0.63194444444444453</v>
      </c>
      <c r="AF72" s="37">
        <f t="shared" ref="AF72:AF135" si="63">CHOOSE(V72,Z72*SQRT(W72/3),SQRT(W72*((Z72^2)+((Y72^2)/3)-(Z72*Y72))))</f>
        <v>0.78352925365864523</v>
      </c>
      <c r="AG72" s="37">
        <f t="shared" si="54"/>
        <v>3.0081986475604815E-3</v>
      </c>
      <c r="AH72" s="37">
        <f t="shared" si="55"/>
        <v>2.7634473371141756E-2</v>
      </c>
      <c r="AI72" s="40">
        <f t="shared" ref="AI72:AI135" si="64">AG72+AH72</f>
        <v>3.0642672018702237E-2</v>
      </c>
      <c r="AJ72" s="39">
        <f t="shared" ref="AJ72:AJ135" si="65">X72*U72</f>
        <v>0.21064814814814817</v>
      </c>
      <c r="AK72" s="37">
        <f t="shared" si="56"/>
        <v>0.45237082551776536</v>
      </c>
      <c r="AL72" s="37">
        <f t="shared" si="57"/>
        <v>0.17441666666666669</v>
      </c>
      <c r="AM72" s="37">
        <f t="shared" si="58"/>
        <v>4.5814800000000003E-2</v>
      </c>
      <c r="AN72" s="40">
        <f t="shared" ref="AN72:AN135" si="66">AL72+AM72</f>
        <v>0.22023146666666671</v>
      </c>
      <c r="AO72" s="39">
        <f t="shared" si="59"/>
        <v>2.4556723653554945E-2</v>
      </c>
      <c r="AP72" s="37">
        <f t="shared" si="60"/>
        <v>6.6521250000000009E-3</v>
      </c>
      <c r="AQ72" s="40">
        <f t="shared" si="61"/>
        <v>2.2499999999999998E-3</v>
      </c>
      <c r="AR72" s="39">
        <f t="shared" ref="AR72:AR135" si="67">AO72+AN72+AI72+AD72+AP72+AQ72</f>
        <v>0.34572479647281118</v>
      </c>
      <c r="AS72" s="37">
        <f t="shared" ref="AS72:AS135" si="68">R72*S72</f>
        <v>3.791666666666667</v>
      </c>
      <c r="AT72" s="40">
        <f t="shared" ref="AT72:AT135" si="69">(AS72/(AS72+AR72))*100</f>
        <v>91.643894479095948</v>
      </c>
    </row>
    <row r="73" spans="17:46" x14ac:dyDescent="0.3">
      <c r="Q73">
        <v>66</v>
      </c>
      <c r="R73" s="39">
        <f t="shared" si="45"/>
        <v>20</v>
      </c>
      <c r="S73" s="37">
        <f t="shared" si="46"/>
        <v>0.1925</v>
      </c>
      <c r="T73" s="37">
        <f t="shared" si="47"/>
        <v>5</v>
      </c>
      <c r="U73" s="40">
        <f t="shared" si="48"/>
        <v>0.85555555555555562</v>
      </c>
      <c r="V73" s="39">
        <f t="shared" si="49"/>
        <v>2</v>
      </c>
      <c r="W73" s="37">
        <f t="shared" si="50"/>
        <v>0.75</v>
      </c>
      <c r="X73" s="40">
        <f t="shared" si="51"/>
        <v>0.25</v>
      </c>
      <c r="Y73" s="39">
        <f t="shared" si="52"/>
        <v>1.1415525114155252</v>
      </c>
      <c r="Z73" s="37">
        <f t="shared" si="28"/>
        <v>1.4263318112633181</v>
      </c>
      <c r="AA73" s="37">
        <f t="shared" si="29"/>
        <v>0.91682631215981503</v>
      </c>
      <c r="AB73" s="37">
        <v>0</v>
      </c>
      <c r="AC73" s="37">
        <f t="shared" si="53"/>
        <v>6.3042786500142486E-2</v>
      </c>
      <c r="AD73" s="40">
        <f t="shared" si="62"/>
        <v>6.3042786500142486E-2</v>
      </c>
      <c r="AE73" s="39">
        <f t="shared" ref="AE73:AE136" si="70">U73*W73</f>
        <v>0.64166666666666672</v>
      </c>
      <c r="AF73" s="37">
        <f t="shared" si="63"/>
        <v>0.79399487718840134</v>
      </c>
      <c r="AG73" s="37">
        <f t="shared" si="54"/>
        <v>3.0890965385069807E-3</v>
      </c>
      <c r="AH73" s="37">
        <f t="shared" si="55"/>
        <v>2.805961911531317E-2</v>
      </c>
      <c r="AI73" s="40">
        <f t="shared" si="64"/>
        <v>3.1148715653820151E-2</v>
      </c>
      <c r="AJ73" s="39">
        <f t="shared" si="65"/>
        <v>0.21388888888888891</v>
      </c>
      <c r="AK73" s="37">
        <f t="shared" si="56"/>
        <v>0.4584131560799074</v>
      </c>
      <c r="AL73" s="37">
        <f t="shared" si="57"/>
        <v>0.17710000000000001</v>
      </c>
      <c r="AM73" s="37">
        <f t="shared" si="58"/>
        <v>4.5814800000000003E-2</v>
      </c>
      <c r="AN73" s="40">
        <f t="shared" si="66"/>
        <v>0.22291480000000002</v>
      </c>
      <c r="AO73" s="39">
        <f t="shared" si="59"/>
        <v>2.5217114600056982E-2</v>
      </c>
      <c r="AP73" s="37">
        <f t="shared" si="60"/>
        <v>6.6521250000000009E-3</v>
      </c>
      <c r="AQ73" s="40">
        <f t="shared" si="61"/>
        <v>2.2499999999999998E-3</v>
      </c>
      <c r="AR73" s="39">
        <f t="shared" si="67"/>
        <v>0.35122554175401965</v>
      </c>
      <c r="AS73" s="37">
        <f t="shared" si="68"/>
        <v>3.85</v>
      </c>
      <c r="AT73" s="40">
        <f t="shared" si="69"/>
        <v>91.639926534213586</v>
      </c>
    </row>
    <row r="74" spans="17:46" x14ac:dyDescent="0.3">
      <c r="Q74">
        <v>67</v>
      </c>
      <c r="R74" s="39">
        <f t="shared" si="45"/>
        <v>20</v>
      </c>
      <c r="S74" s="37">
        <f t="shared" si="46"/>
        <v>0.19541666666666668</v>
      </c>
      <c r="T74" s="37">
        <f t="shared" si="47"/>
        <v>5</v>
      </c>
      <c r="U74" s="40">
        <f t="shared" si="48"/>
        <v>0.86851851851851858</v>
      </c>
      <c r="V74" s="39">
        <f t="shared" si="49"/>
        <v>2</v>
      </c>
      <c r="W74" s="37">
        <f t="shared" si="50"/>
        <v>0.75</v>
      </c>
      <c r="X74" s="40">
        <f t="shared" si="51"/>
        <v>0.25</v>
      </c>
      <c r="Y74" s="39">
        <f t="shared" si="52"/>
        <v>1.1415525114155252</v>
      </c>
      <c r="Z74" s="37">
        <f t="shared" si="28"/>
        <v>1.4392947742262812</v>
      </c>
      <c r="AA74" s="37">
        <f t="shared" si="29"/>
        <v>0.92893465595605451</v>
      </c>
      <c r="AB74" s="37">
        <v>0</v>
      </c>
      <c r="AC74" s="37">
        <f t="shared" si="53"/>
        <v>6.4718969627714493E-2</v>
      </c>
      <c r="AD74" s="40">
        <f t="shared" si="62"/>
        <v>6.4718969627714493E-2</v>
      </c>
      <c r="AE74" s="39">
        <f t="shared" si="70"/>
        <v>0.65138888888888891</v>
      </c>
      <c r="AF74" s="37">
        <f t="shared" si="63"/>
        <v>0.80448101051370058</v>
      </c>
      <c r="AG74" s="37">
        <f t="shared" si="54"/>
        <v>3.1712295117580103E-3</v>
      </c>
      <c r="AH74" s="37">
        <f t="shared" si="55"/>
        <v>2.8484764859484576E-2</v>
      </c>
      <c r="AI74" s="40">
        <f t="shared" si="64"/>
        <v>3.1655994371242585E-2</v>
      </c>
      <c r="AJ74" s="39">
        <f t="shared" si="65"/>
        <v>0.21712962962962964</v>
      </c>
      <c r="AK74" s="37">
        <f t="shared" si="56"/>
        <v>0.4644673279780272</v>
      </c>
      <c r="AL74" s="37">
        <f t="shared" si="57"/>
        <v>0.17978333333333335</v>
      </c>
      <c r="AM74" s="37">
        <f t="shared" si="58"/>
        <v>4.5814800000000003E-2</v>
      </c>
      <c r="AN74" s="40">
        <f t="shared" si="66"/>
        <v>0.22559813333333334</v>
      </c>
      <c r="AO74" s="39">
        <f t="shared" si="59"/>
        <v>2.5887587851085796E-2</v>
      </c>
      <c r="AP74" s="37">
        <f t="shared" si="60"/>
        <v>6.6521250000000009E-3</v>
      </c>
      <c r="AQ74" s="40">
        <f t="shared" si="61"/>
        <v>2.2499999999999998E-3</v>
      </c>
      <c r="AR74" s="39">
        <f t="shared" si="67"/>
        <v>0.35676281018337619</v>
      </c>
      <c r="AS74" s="37">
        <f t="shared" si="68"/>
        <v>3.9083333333333337</v>
      </c>
      <c r="AT74" s="40">
        <f t="shared" si="69"/>
        <v>91.635292659798907</v>
      </c>
    </row>
    <row r="75" spans="17:46" x14ac:dyDescent="0.3">
      <c r="Q75">
        <v>68</v>
      </c>
      <c r="R75" s="39">
        <f t="shared" si="45"/>
        <v>20</v>
      </c>
      <c r="S75" s="37">
        <f t="shared" si="46"/>
        <v>0.19833333333333333</v>
      </c>
      <c r="T75" s="37">
        <f t="shared" si="47"/>
        <v>5</v>
      </c>
      <c r="U75" s="40">
        <f t="shared" si="48"/>
        <v>0.88148148148148153</v>
      </c>
      <c r="V75" s="39">
        <f t="shared" si="49"/>
        <v>2</v>
      </c>
      <c r="W75" s="37">
        <f t="shared" si="50"/>
        <v>0.75</v>
      </c>
      <c r="X75" s="40">
        <f t="shared" si="51"/>
        <v>0.25</v>
      </c>
      <c r="Y75" s="39">
        <f t="shared" si="52"/>
        <v>1.1415525114155252</v>
      </c>
      <c r="Z75" s="37">
        <f t="shared" si="28"/>
        <v>1.4522577371892442</v>
      </c>
      <c r="AA75" s="37">
        <f t="shared" si="29"/>
        <v>0.94106576827625521</v>
      </c>
      <c r="AB75" s="37">
        <v>0</v>
      </c>
      <c r="AC75" s="37">
        <f t="shared" si="53"/>
        <v>6.6420358516603384E-2</v>
      </c>
      <c r="AD75" s="40">
        <f t="shared" si="62"/>
        <v>6.6420358516603384E-2</v>
      </c>
      <c r="AE75" s="39">
        <f t="shared" si="70"/>
        <v>0.6611111111111112</v>
      </c>
      <c r="AF75" s="37">
        <f t="shared" si="63"/>
        <v>0.81498686195915693</v>
      </c>
      <c r="AG75" s="37">
        <f t="shared" si="54"/>
        <v>3.2545975673135669E-3</v>
      </c>
      <c r="AH75" s="37">
        <f t="shared" si="55"/>
        <v>2.890991060365599E-2</v>
      </c>
      <c r="AI75" s="40">
        <f t="shared" si="64"/>
        <v>3.2164508170969559E-2</v>
      </c>
      <c r="AJ75" s="39">
        <f t="shared" si="65"/>
        <v>0.22037037037037038</v>
      </c>
      <c r="AK75" s="37">
        <f t="shared" si="56"/>
        <v>0.47053288413812766</v>
      </c>
      <c r="AL75" s="37">
        <f t="shared" si="57"/>
        <v>0.18246666666666667</v>
      </c>
      <c r="AM75" s="37">
        <f t="shared" si="58"/>
        <v>4.5814800000000003E-2</v>
      </c>
      <c r="AN75" s="40">
        <f t="shared" si="66"/>
        <v>0.22828146666666665</v>
      </c>
      <c r="AO75" s="39">
        <f t="shared" si="59"/>
        <v>2.6568143406641358E-2</v>
      </c>
      <c r="AP75" s="37">
        <f t="shared" si="60"/>
        <v>6.6521250000000009E-3</v>
      </c>
      <c r="AQ75" s="40">
        <f t="shared" si="61"/>
        <v>2.2499999999999998E-3</v>
      </c>
      <c r="AR75" s="39">
        <f t="shared" si="67"/>
        <v>0.36233660176088095</v>
      </c>
      <c r="AS75" s="37">
        <f t="shared" si="68"/>
        <v>3.9666666666666668</v>
      </c>
      <c r="AT75" s="40">
        <f t="shared" si="69"/>
        <v>91.630022448735758</v>
      </c>
    </row>
    <row r="76" spans="17:46" x14ac:dyDescent="0.3">
      <c r="Q76">
        <v>69</v>
      </c>
      <c r="R76" s="39">
        <f t="shared" si="45"/>
        <v>20</v>
      </c>
      <c r="S76" s="37">
        <f t="shared" si="46"/>
        <v>0.20125000000000001</v>
      </c>
      <c r="T76" s="37">
        <f t="shared" si="47"/>
        <v>5</v>
      </c>
      <c r="U76" s="40">
        <f t="shared" si="48"/>
        <v>0.89444444444444449</v>
      </c>
      <c r="V76" s="39">
        <f t="shared" si="49"/>
        <v>2</v>
      </c>
      <c r="W76" s="37">
        <f t="shared" si="50"/>
        <v>0.75</v>
      </c>
      <c r="X76" s="40">
        <f t="shared" si="51"/>
        <v>0.25</v>
      </c>
      <c r="Y76" s="39">
        <f t="shared" si="52"/>
        <v>1.1415525114155252</v>
      </c>
      <c r="Z76" s="37">
        <f t="shared" si="28"/>
        <v>1.4652207001522071</v>
      </c>
      <c r="AA76" s="37">
        <f t="shared" si="29"/>
        <v>0.95321877983185055</v>
      </c>
      <c r="AB76" s="37">
        <v>0</v>
      </c>
      <c r="AC76" s="37">
        <f t="shared" si="53"/>
        <v>6.8146953166809146E-2</v>
      </c>
      <c r="AD76" s="40">
        <f t="shared" si="62"/>
        <v>6.8146953166809146E-2</v>
      </c>
      <c r="AE76" s="39">
        <f t="shared" si="70"/>
        <v>0.67083333333333339</v>
      </c>
      <c r="AF76" s="37">
        <f t="shared" si="63"/>
        <v>0.82551167869878839</v>
      </c>
      <c r="AG76" s="37">
        <f t="shared" si="54"/>
        <v>3.3392007051736496E-3</v>
      </c>
      <c r="AH76" s="37">
        <f t="shared" si="55"/>
        <v>2.9335056347827401E-2</v>
      </c>
      <c r="AI76" s="40">
        <f t="shared" si="64"/>
        <v>3.2674257053001053E-2</v>
      </c>
      <c r="AJ76" s="39">
        <f t="shared" si="65"/>
        <v>0.22361111111111112</v>
      </c>
      <c r="AK76" s="37">
        <f t="shared" si="56"/>
        <v>0.47660938991592533</v>
      </c>
      <c r="AL76" s="37">
        <f t="shared" si="57"/>
        <v>0.18515000000000001</v>
      </c>
      <c r="AM76" s="37">
        <f t="shared" si="58"/>
        <v>4.5814800000000003E-2</v>
      </c>
      <c r="AN76" s="40">
        <f t="shared" si="66"/>
        <v>0.23096480000000003</v>
      </c>
      <c r="AO76" s="39">
        <f t="shared" si="59"/>
        <v>2.7258781266723667E-2</v>
      </c>
      <c r="AP76" s="37">
        <f t="shared" si="60"/>
        <v>6.6521250000000009E-3</v>
      </c>
      <c r="AQ76" s="40">
        <f t="shared" si="61"/>
        <v>2.2499999999999998E-3</v>
      </c>
      <c r="AR76" s="39">
        <f t="shared" si="67"/>
        <v>0.36794691648653383</v>
      </c>
      <c r="AS76" s="37">
        <f t="shared" si="68"/>
        <v>4.0250000000000004</v>
      </c>
      <c r="AT76" s="40">
        <f t="shared" si="69"/>
        <v>91.6241438041137</v>
      </c>
    </row>
    <row r="77" spans="17:46" x14ac:dyDescent="0.3">
      <c r="Q77">
        <v>70</v>
      </c>
      <c r="R77" s="39">
        <f t="shared" si="45"/>
        <v>20</v>
      </c>
      <c r="S77" s="37">
        <f t="shared" si="46"/>
        <v>0.20416666666666666</v>
      </c>
      <c r="T77" s="37">
        <f t="shared" si="47"/>
        <v>5</v>
      </c>
      <c r="U77" s="40">
        <f t="shared" si="48"/>
        <v>0.90740740740740733</v>
      </c>
      <c r="V77" s="39">
        <f t="shared" si="49"/>
        <v>2</v>
      </c>
      <c r="W77" s="37">
        <f t="shared" si="50"/>
        <v>0.75</v>
      </c>
      <c r="X77" s="40">
        <f t="shared" si="51"/>
        <v>0.25</v>
      </c>
      <c r="Y77" s="39">
        <f t="shared" si="52"/>
        <v>1.1415525114155252</v>
      </c>
      <c r="Z77" s="37">
        <f t="shared" si="28"/>
        <v>1.4781836631151699</v>
      </c>
      <c r="AA77" s="37">
        <f t="shared" si="29"/>
        <v>0.96539286357649423</v>
      </c>
      <c r="AB77" s="37">
        <v>0</v>
      </c>
      <c r="AC77" s="37">
        <f t="shared" si="53"/>
        <v>6.9898753578331765E-2</v>
      </c>
      <c r="AD77" s="40">
        <f t="shared" si="62"/>
        <v>6.9898753578331765E-2</v>
      </c>
      <c r="AE77" s="39">
        <f t="shared" si="70"/>
        <v>0.68055555555555547</v>
      </c>
      <c r="AF77" s="37">
        <f t="shared" si="63"/>
        <v>0.83605474448944883</v>
      </c>
      <c r="AG77" s="37">
        <f t="shared" si="54"/>
        <v>3.425038925338257E-3</v>
      </c>
      <c r="AH77" s="37">
        <f t="shared" si="55"/>
        <v>2.9760202091998807E-2</v>
      </c>
      <c r="AI77" s="40">
        <f t="shared" si="64"/>
        <v>3.3185241017337067E-2</v>
      </c>
      <c r="AJ77" s="39">
        <f t="shared" si="65"/>
        <v>0.22685185185185183</v>
      </c>
      <c r="AK77" s="37">
        <f t="shared" si="56"/>
        <v>0.48269643178824706</v>
      </c>
      <c r="AL77" s="37">
        <f t="shared" si="57"/>
        <v>0.18783333333333332</v>
      </c>
      <c r="AM77" s="37">
        <f t="shared" si="58"/>
        <v>4.5814800000000003E-2</v>
      </c>
      <c r="AN77" s="40">
        <f t="shared" si="66"/>
        <v>0.23364813333333334</v>
      </c>
      <c r="AO77" s="39">
        <f t="shared" si="59"/>
        <v>2.7959501431332707E-2</v>
      </c>
      <c r="AP77" s="37">
        <f t="shared" si="60"/>
        <v>6.6521250000000009E-3</v>
      </c>
      <c r="AQ77" s="40">
        <f t="shared" si="61"/>
        <v>2.2499999999999998E-3</v>
      </c>
      <c r="AR77" s="39">
        <f t="shared" si="67"/>
        <v>0.37359375436033482</v>
      </c>
      <c r="AS77" s="37">
        <f t="shared" si="68"/>
        <v>4.083333333333333</v>
      </c>
      <c r="AT77" s="40">
        <f t="shared" si="69"/>
        <v>91.61768305808971</v>
      </c>
    </row>
    <row r="78" spans="17:46" x14ac:dyDescent="0.3">
      <c r="Q78">
        <v>71</v>
      </c>
      <c r="R78" s="39">
        <f t="shared" si="45"/>
        <v>20</v>
      </c>
      <c r="S78" s="37">
        <f t="shared" si="46"/>
        <v>0.20708333333333334</v>
      </c>
      <c r="T78" s="37">
        <f t="shared" si="47"/>
        <v>5</v>
      </c>
      <c r="U78" s="40">
        <f t="shared" si="48"/>
        <v>0.92037037037037039</v>
      </c>
      <c r="V78" s="39">
        <f t="shared" si="49"/>
        <v>2</v>
      </c>
      <c r="W78" s="37">
        <f t="shared" si="50"/>
        <v>0.75</v>
      </c>
      <c r="X78" s="40">
        <f t="shared" si="51"/>
        <v>0.25</v>
      </c>
      <c r="Y78" s="39">
        <f t="shared" si="52"/>
        <v>1.1415525114155252</v>
      </c>
      <c r="Z78" s="37">
        <f t="shared" si="28"/>
        <v>1.491146626078133</v>
      </c>
      <c r="AA78" s="37">
        <f t="shared" si="29"/>
        <v>0.97758723226231004</v>
      </c>
      <c r="AB78" s="37">
        <v>0</v>
      </c>
      <c r="AC78" s="37">
        <f t="shared" si="53"/>
        <v>7.167575975117127E-2</v>
      </c>
      <c r="AD78" s="40">
        <f t="shared" si="62"/>
        <v>7.167575975117127E-2</v>
      </c>
      <c r="AE78" s="39">
        <f t="shared" si="70"/>
        <v>0.69027777777777777</v>
      </c>
      <c r="AF78" s="37">
        <f t="shared" si="63"/>
        <v>0.84661537755447891</v>
      </c>
      <c r="AG78" s="37">
        <f t="shared" si="54"/>
        <v>3.5121122278073936E-3</v>
      </c>
      <c r="AH78" s="37">
        <f t="shared" si="55"/>
        <v>3.0185347836170225E-2</v>
      </c>
      <c r="AI78" s="40">
        <f t="shared" si="64"/>
        <v>3.369746006397762E-2</v>
      </c>
      <c r="AJ78" s="39">
        <f t="shared" si="65"/>
        <v>0.2300925925925926</v>
      </c>
      <c r="AK78" s="37">
        <f t="shared" si="56"/>
        <v>0.48879361613115507</v>
      </c>
      <c r="AL78" s="37">
        <f t="shared" si="57"/>
        <v>0.1905166666666667</v>
      </c>
      <c r="AM78" s="37">
        <f t="shared" si="58"/>
        <v>4.5814800000000003E-2</v>
      </c>
      <c r="AN78" s="40">
        <f t="shared" si="66"/>
        <v>0.23633146666666671</v>
      </c>
      <c r="AO78" s="39">
        <f t="shared" si="59"/>
        <v>2.8670303900468513E-2</v>
      </c>
      <c r="AP78" s="37">
        <f t="shared" si="60"/>
        <v>6.6521250000000009E-3</v>
      </c>
      <c r="AQ78" s="40">
        <f t="shared" si="61"/>
        <v>2.2499999999999998E-3</v>
      </c>
      <c r="AR78" s="39">
        <f t="shared" si="67"/>
        <v>0.37927711538228415</v>
      </c>
      <c r="AS78" s="37">
        <f t="shared" si="68"/>
        <v>4.1416666666666666</v>
      </c>
      <c r="AT78" s="40">
        <f t="shared" si="69"/>
        <v>91.610665080856393</v>
      </c>
    </row>
    <row r="79" spans="17:46" x14ac:dyDescent="0.3">
      <c r="Q79">
        <v>72</v>
      </c>
      <c r="R79" s="39">
        <f t="shared" si="45"/>
        <v>20</v>
      </c>
      <c r="S79" s="37">
        <f t="shared" si="46"/>
        <v>0.21000000000000002</v>
      </c>
      <c r="T79" s="37">
        <f t="shared" si="47"/>
        <v>5</v>
      </c>
      <c r="U79" s="40">
        <f t="shared" si="48"/>
        <v>0.93333333333333335</v>
      </c>
      <c r="V79" s="39">
        <f t="shared" si="49"/>
        <v>2</v>
      </c>
      <c r="W79" s="37">
        <f t="shared" si="50"/>
        <v>0.75</v>
      </c>
      <c r="X79" s="40">
        <f t="shared" si="51"/>
        <v>0.25</v>
      </c>
      <c r="Y79" s="39">
        <f t="shared" si="52"/>
        <v>1.1415525114155252</v>
      </c>
      <c r="Z79" s="37">
        <f t="shared" si="28"/>
        <v>1.504109589041096</v>
      </c>
      <c r="AA79" s="37">
        <f t="shared" si="29"/>
        <v>0.98980113615700716</v>
      </c>
      <c r="AB79" s="37">
        <v>0</v>
      </c>
      <c r="AC79" s="37">
        <f t="shared" si="53"/>
        <v>7.3477971685327659E-2</v>
      </c>
      <c r="AD79" s="40">
        <f t="shared" si="62"/>
        <v>7.3477971685327659E-2</v>
      </c>
      <c r="AE79" s="39">
        <f t="shared" si="70"/>
        <v>0.7</v>
      </c>
      <c r="AF79" s="37">
        <f t="shared" si="63"/>
        <v>0.85719292860666818</v>
      </c>
      <c r="AG79" s="37">
        <f t="shared" si="54"/>
        <v>3.6004206125810558E-3</v>
      </c>
      <c r="AH79" s="37">
        <f t="shared" si="55"/>
        <v>3.0610493580341638E-2</v>
      </c>
      <c r="AI79" s="40">
        <f t="shared" si="64"/>
        <v>3.4210914192922694E-2</v>
      </c>
      <c r="AJ79" s="39">
        <f t="shared" si="65"/>
        <v>0.23333333333333334</v>
      </c>
      <c r="AK79" s="37">
        <f t="shared" si="56"/>
        <v>0.49490056807850358</v>
      </c>
      <c r="AL79" s="37">
        <f t="shared" si="57"/>
        <v>0.19320000000000004</v>
      </c>
      <c r="AM79" s="37">
        <f t="shared" si="58"/>
        <v>4.5814800000000003E-2</v>
      </c>
      <c r="AN79" s="40">
        <f t="shared" si="66"/>
        <v>0.23901480000000003</v>
      </c>
      <c r="AO79" s="39">
        <f t="shared" si="59"/>
        <v>2.9391188674131066E-2</v>
      </c>
      <c r="AP79" s="37">
        <f t="shared" si="60"/>
        <v>6.6521250000000009E-3</v>
      </c>
      <c r="AQ79" s="40">
        <f t="shared" si="61"/>
        <v>2.2499999999999998E-3</v>
      </c>
      <c r="AR79" s="39">
        <f t="shared" si="67"/>
        <v>0.38499699955238142</v>
      </c>
      <c r="AS79" s="37">
        <f t="shared" si="68"/>
        <v>4.2</v>
      </c>
      <c r="AT79" s="40">
        <f t="shared" si="69"/>
        <v>91.603113380663771</v>
      </c>
    </row>
    <row r="80" spans="17:46" x14ac:dyDescent="0.3">
      <c r="Q80">
        <v>73</v>
      </c>
      <c r="R80" s="39">
        <f t="shared" si="45"/>
        <v>20</v>
      </c>
      <c r="S80" s="37">
        <f t="shared" si="46"/>
        <v>0.21291666666666667</v>
      </c>
      <c r="T80" s="37">
        <f t="shared" si="47"/>
        <v>5</v>
      </c>
      <c r="U80" s="40">
        <f t="shared" si="48"/>
        <v>0.94629629629629641</v>
      </c>
      <c r="V80" s="39">
        <f t="shared" si="49"/>
        <v>2</v>
      </c>
      <c r="W80" s="37">
        <f t="shared" si="50"/>
        <v>0.75</v>
      </c>
      <c r="X80" s="40">
        <f t="shared" si="51"/>
        <v>0.25</v>
      </c>
      <c r="Y80" s="39">
        <f t="shared" si="52"/>
        <v>1.1415525114155252</v>
      </c>
      <c r="Z80" s="37">
        <f t="shared" ref="Z80:Z143" si="71">CHOOSE(V80,Y80,U80+(0.5*Y80))</f>
        <v>1.5170725520040591</v>
      </c>
      <c r="AA80" s="37">
        <f t="shared" ref="AA80:AA143" si="72">CHOOSE(V80,Z80*SQRT((W80+X80)/3),SQRT((U80^2)+((Y80^2)/12)))</f>
        <v>1.0020338609102384</v>
      </c>
      <c r="AB80" s="37">
        <v>0</v>
      </c>
      <c r="AC80" s="37">
        <f t="shared" si="53"/>
        <v>7.5305389380800919E-2</v>
      </c>
      <c r="AD80" s="40">
        <f t="shared" si="62"/>
        <v>7.5305389380800919E-2</v>
      </c>
      <c r="AE80" s="39">
        <f t="shared" si="70"/>
        <v>0.70972222222222237</v>
      </c>
      <c r="AF80" s="37">
        <f t="shared" si="63"/>
        <v>0.86778677900046919</v>
      </c>
      <c r="AG80" s="37">
        <f t="shared" si="54"/>
        <v>3.6899640796592454E-3</v>
      </c>
      <c r="AH80" s="37">
        <f t="shared" si="55"/>
        <v>3.1035639324513049E-2</v>
      </c>
      <c r="AI80" s="40">
        <f t="shared" si="64"/>
        <v>3.4725603404172294E-2</v>
      </c>
      <c r="AJ80" s="39">
        <f t="shared" si="65"/>
        <v>0.2365740740740741</v>
      </c>
      <c r="AK80" s="37">
        <f t="shared" si="56"/>
        <v>0.50101693045511919</v>
      </c>
      <c r="AL80" s="37">
        <f t="shared" si="57"/>
        <v>0.19588333333333335</v>
      </c>
      <c r="AM80" s="37">
        <f t="shared" si="58"/>
        <v>4.5814800000000003E-2</v>
      </c>
      <c r="AN80" s="40">
        <f t="shared" si="66"/>
        <v>0.24169813333333334</v>
      </c>
      <c r="AO80" s="39">
        <f t="shared" si="59"/>
        <v>3.0122155752320367E-2</v>
      </c>
      <c r="AP80" s="37">
        <f t="shared" si="60"/>
        <v>6.6521250000000009E-3</v>
      </c>
      <c r="AQ80" s="40">
        <f t="shared" si="61"/>
        <v>2.2499999999999998E-3</v>
      </c>
      <c r="AR80" s="39">
        <f t="shared" si="67"/>
        <v>0.39075340687062687</v>
      </c>
      <c r="AS80" s="37">
        <f t="shared" si="68"/>
        <v>4.2583333333333337</v>
      </c>
      <c r="AT80" s="40">
        <f t="shared" si="69"/>
        <v>91.595050195740498</v>
      </c>
    </row>
    <row r="81" spans="17:46" x14ac:dyDescent="0.3">
      <c r="Q81">
        <v>74</v>
      </c>
      <c r="R81" s="39">
        <f t="shared" si="45"/>
        <v>20</v>
      </c>
      <c r="S81" s="37">
        <f t="shared" si="46"/>
        <v>0.21583333333333335</v>
      </c>
      <c r="T81" s="37">
        <f t="shared" si="47"/>
        <v>5</v>
      </c>
      <c r="U81" s="40">
        <f t="shared" si="48"/>
        <v>0.95925925925925937</v>
      </c>
      <c r="V81" s="39">
        <f t="shared" si="49"/>
        <v>2</v>
      </c>
      <c r="W81" s="37">
        <f t="shared" si="50"/>
        <v>0.75</v>
      </c>
      <c r="X81" s="40">
        <f t="shared" si="51"/>
        <v>0.25</v>
      </c>
      <c r="Y81" s="39">
        <f t="shared" si="52"/>
        <v>1.1415525114155252</v>
      </c>
      <c r="Z81" s="37">
        <f t="shared" si="71"/>
        <v>1.5300355149670219</v>
      </c>
      <c r="AA81" s="37">
        <f t="shared" si="72"/>
        <v>1.0142847255584666</v>
      </c>
      <c r="AB81" s="37">
        <v>0</v>
      </c>
      <c r="AC81" s="37">
        <f t="shared" si="53"/>
        <v>7.7158012837591036E-2</v>
      </c>
      <c r="AD81" s="40">
        <f t="shared" si="62"/>
        <v>7.7158012837591036E-2</v>
      </c>
      <c r="AE81" s="39">
        <f t="shared" si="70"/>
        <v>0.71944444444444455</v>
      </c>
      <c r="AF81" s="37">
        <f t="shared" si="63"/>
        <v>0.87839633900415959</v>
      </c>
      <c r="AG81" s="37">
        <f t="shared" si="54"/>
        <v>3.7807426290419619E-3</v>
      </c>
      <c r="AH81" s="37">
        <f t="shared" si="55"/>
        <v>3.1460785068684459E-2</v>
      </c>
      <c r="AI81" s="40">
        <f t="shared" si="64"/>
        <v>3.524152769772642E-2</v>
      </c>
      <c r="AJ81" s="39">
        <f t="shared" si="65"/>
        <v>0.23981481481481484</v>
      </c>
      <c r="AK81" s="37">
        <f t="shared" si="56"/>
        <v>0.5071423627792333</v>
      </c>
      <c r="AL81" s="37">
        <f t="shared" si="57"/>
        <v>0.1985666666666667</v>
      </c>
      <c r="AM81" s="37">
        <f t="shared" si="58"/>
        <v>4.5814800000000003E-2</v>
      </c>
      <c r="AN81" s="40">
        <f t="shared" si="66"/>
        <v>0.24438146666666671</v>
      </c>
      <c r="AO81" s="39">
        <f t="shared" si="59"/>
        <v>3.0863205135036421E-2</v>
      </c>
      <c r="AP81" s="37">
        <f t="shared" si="60"/>
        <v>6.6521250000000009E-3</v>
      </c>
      <c r="AQ81" s="40">
        <f t="shared" si="61"/>
        <v>2.2499999999999998E-3</v>
      </c>
      <c r="AR81" s="39">
        <f t="shared" si="67"/>
        <v>0.3965463373370206</v>
      </c>
      <c r="AS81" s="37">
        <f t="shared" si="68"/>
        <v>4.3166666666666673</v>
      </c>
      <c r="AT81" s="40">
        <f t="shared" si="69"/>
        <v>91.586496578869443</v>
      </c>
    </row>
    <row r="82" spans="17:46" x14ac:dyDescent="0.3">
      <c r="Q82">
        <v>75</v>
      </c>
      <c r="R82" s="39">
        <f t="shared" si="45"/>
        <v>20</v>
      </c>
      <c r="S82" s="37">
        <f t="shared" si="46"/>
        <v>0.21875</v>
      </c>
      <c r="T82" s="37">
        <f t="shared" si="47"/>
        <v>5</v>
      </c>
      <c r="U82" s="40">
        <f t="shared" si="48"/>
        <v>0.97222222222222221</v>
      </c>
      <c r="V82" s="39">
        <f t="shared" si="49"/>
        <v>2</v>
      </c>
      <c r="W82" s="37">
        <f t="shared" si="50"/>
        <v>0.75</v>
      </c>
      <c r="X82" s="40">
        <f t="shared" si="51"/>
        <v>0.25</v>
      </c>
      <c r="Y82" s="39">
        <f t="shared" si="52"/>
        <v>1.1415525114155252</v>
      </c>
      <c r="Z82" s="37">
        <f t="shared" si="71"/>
        <v>1.5429984779299848</v>
      </c>
      <c r="AA82" s="37">
        <f t="shared" si="72"/>
        <v>1.0265530806584271</v>
      </c>
      <c r="AB82" s="37">
        <v>0</v>
      </c>
      <c r="AC82" s="37">
        <f t="shared" si="53"/>
        <v>7.9035842055698038E-2</v>
      </c>
      <c r="AD82" s="40">
        <f t="shared" si="62"/>
        <v>7.9035842055698038E-2</v>
      </c>
      <c r="AE82" s="39">
        <f t="shared" si="70"/>
        <v>0.72916666666666663</v>
      </c>
      <c r="AF82" s="37">
        <f t="shared" si="63"/>
        <v>0.88902104618337363</v>
      </c>
      <c r="AG82" s="37">
        <f t="shared" si="54"/>
        <v>3.8727562607292032E-3</v>
      </c>
      <c r="AH82" s="37">
        <f t="shared" si="55"/>
        <v>3.1885930812855866E-2</v>
      </c>
      <c r="AI82" s="40">
        <f t="shared" si="64"/>
        <v>3.5758687073585066E-2</v>
      </c>
      <c r="AJ82" s="39">
        <f t="shared" si="65"/>
        <v>0.24305555555555555</v>
      </c>
      <c r="AK82" s="37">
        <f t="shared" si="56"/>
        <v>0.51327654032921355</v>
      </c>
      <c r="AL82" s="37">
        <f t="shared" si="57"/>
        <v>0.20125000000000001</v>
      </c>
      <c r="AM82" s="37">
        <f t="shared" si="58"/>
        <v>4.5814800000000003E-2</v>
      </c>
      <c r="AN82" s="40">
        <f t="shared" si="66"/>
        <v>0.24706480000000003</v>
      </c>
      <c r="AO82" s="39">
        <f t="shared" si="59"/>
        <v>3.1614336822279203E-2</v>
      </c>
      <c r="AP82" s="37">
        <f t="shared" si="60"/>
        <v>6.6521250000000009E-3</v>
      </c>
      <c r="AQ82" s="40">
        <f t="shared" si="61"/>
        <v>2.2499999999999998E-3</v>
      </c>
      <c r="AR82" s="39">
        <f t="shared" si="67"/>
        <v>0.40237579095156228</v>
      </c>
      <c r="AS82" s="37">
        <f t="shared" si="68"/>
        <v>4.375</v>
      </c>
      <c r="AT82" s="40">
        <f t="shared" si="69"/>
        <v>91.577472475293447</v>
      </c>
    </row>
    <row r="83" spans="17:46" x14ac:dyDescent="0.3">
      <c r="Q83">
        <v>76</v>
      </c>
      <c r="R83" s="39">
        <f t="shared" si="45"/>
        <v>20</v>
      </c>
      <c r="S83" s="37">
        <f t="shared" si="46"/>
        <v>0.22166666666666668</v>
      </c>
      <c r="T83" s="37">
        <f t="shared" si="47"/>
        <v>5</v>
      </c>
      <c r="U83" s="40">
        <f t="shared" si="48"/>
        <v>0.98518518518518527</v>
      </c>
      <c r="V83" s="39">
        <f t="shared" si="49"/>
        <v>2</v>
      </c>
      <c r="W83" s="37">
        <f t="shared" si="50"/>
        <v>0.75</v>
      </c>
      <c r="X83" s="40">
        <f t="shared" si="51"/>
        <v>0.25</v>
      </c>
      <c r="Y83" s="39">
        <f t="shared" si="52"/>
        <v>1.1415525114155252</v>
      </c>
      <c r="Z83" s="37">
        <f t="shared" si="71"/>
        <v>1.5559614408929479</v>
      </c>
      <c r="AA83" s="37">
        <f t="shared" si="72"/>
        <v>1.0388383065400306</v>
      </c>
      <c r="AB83" s="37">
        <v>0</v>
      </c>
      <c r="AC83" s="37">
        <f t="shared" si="53"/>
        <v>8.0938877035121884E-2</v>
      </c>
      <c r="AD83" s="40">
        <f t="shared" si="62"/>
        <v>8.0938877035121884E-2</v>
      </c>
      <c r="AE83" s="39">
        <f t="shared" si="70"/>
        <v>0.73888888888888893</v>
      </c>
      <c r="AF83" s="37">
        <f t="shared" si="63"/>
        <v>0.89966036388807247</v>
      </c>
      <c r="AG83" s="37">
        <f t="shared" si="54"/>
        <v>3.9660049747209736E-3</v>
      </c>
      <c r="AH83" s="37">
        <f t="shared" si="55"/>
        <v>3.2311076557027286E-2</v>
      </c>
      <c r="AI83" s="40">
        <f t="shared" si="64"/>
        <v>3.6277081531748259E-2</v>
      </c>
      <c r="AJ83" s="39">
        <f t="shared" si="65"/>
        <v>0.24629629629629632</v>
      </c>
      <c r="AK83" s="37">
        <f t="shared" si="56"/>
        <v>0.51941915327001531</v>
      </c>
      <c r="AL83" s="37">
        <f t="shared" si="57"/>
        <v>0.20393333333333336</v>
      </c>
      <c r="AM83" s="37">
        <f t="shared" si="58"/>
        <v>4.5814800000000003E-2</v>
      </c>
      <c r="AN83" s="40">
        <f t="shared" si="66"/>
        <v>0.24974813333333334</v>
      </c>
      <c r="AO83" s="39">
        <f t="shared" si="59"/>
        <v>3.2375550814048755E-2</v>
      </c>
      <c r="AP83" s="37">
        <f t="shared" si="60"/>
        <v>6.6521250000000009E-3</v>
      </c>
      <c r="AQ83" s="40">
        <f t="shared" si="61"/>
        <v>2.2499999999999998E-3</v>
      </c>
      <c r="AR83" s="39">
        <f t="shared" si="67"/>
        <v>0.40824176771425219</v>
      </c>
      <c r="AS83" s="37">
        <f t="shared" si="68"/>
        <v>4.4333333333333336</v>
      </c>
      <c r="AT83" s="40">
        <f t="shared" si="69"/>
        <v>91.567996794557203</v>
      </c>
    </row>
    <row r="84" spans="17:46" x14ac:dyDescent="0.3">
      <c r="Q84">
        <v>77</v>
      </c>
      <c r="R84" s="39">
        <f t="shared" si="45"/>
        <v>20</v>
      </c>
      <c r="S84" s="37">
        <f t="shared" si="46"/>
        <v>0.22458333333333336</v>
      </c>
      <c r="T84" s="37">
        <f t="shared" si="47"/>
        <v>5</v>
      </c>
      <c r="U84" s="40">
        <f t="shared" si="48"/>
        <v>0.99814814814814823</v>
      </c>
      <c r="V84" s="39">
        <f t="shared" si="49"/>
        <v>2</v>
      </c>
      <c r="W84" s="37">
        <f t="shared" si="50"/>
        <v>0.75</v>
      </c>
      <c r="X84" s="40">
        <f t="shared" si="51"/>
        <v>0.25</v>
      </c>
      <c r="Y84" s="39">
        <f t="shared" si="52"/>
        <v>1.1415525114155252</v>
      </c>
      <c r="Z84" s="37">
        <f t="shared" si="71"/>
        <v>1.5689244038559109</v>
      </c>
      <c r="AA84" s="37">
        <f t="shared" si="72"/>
        <v>1.0511398116702502</v>
      </c>
      <c r="AB84" s="37">
        <v>0</v>
      </c>
      <c r="AC84" s="37">
        <f t="shared" si="53"/>
        <v>8.286711777586267E-2</v>
      </c>
      <c r="AD84" s="40">
        <f t="shared" si="62"/>
        <v>8.286711777586267E-2</v>
      </c>
      <c r="AE84" s="39">
        <f t="shared" si="70"/>
        <v>0.74861111111111112</v>
      </c>
      <c r="AF84" s="37">
        <f t="shared" si="63"/>
        <v>0.91031377983562711</v>
      </c>
      <c r="AG84" s="37">
        <f t="shared" si="54"/>
        <v>4.060488771017271E-3</v>
      </c>
      <c r="AH84" s="37">
        <f t="shared" si="55"/>
        <v>3.2736222301198693E-2</v>
      </c>
      <c r="AI84" s="40">
        <f t="shared" si="64"/>
        <v>3.6796711072215965E-2</v>
      </c>
      <c r="AJ84" s="39">
        <f t="shared" si="65"/>
        <v>0.24953703703703706</v>
      </c>
      <c r="AK84" s="37">
        <f t="shared" si="56"/>
        <v>0.52556990583512508</v>
      </c>
      <c r="AL84" s="37">
        <f t="shared" si="57"/>
        <v>0.2066166666666667</v>
      </c>
      <c r="AM84" s="37">
        <f t="shared" si="58"/>
        <v>4.5814800000000003E-2</v>
      </c>
      <c r="AN84" s="40">
        <f t="shared" si="66"/>
        <v>0.25243146666666672</v>
      </c>
      <c r="AO84" s="39">
        <f t="shared" si="59"/>
        <v>3.3146847110345067E-2</v>
      </c>
      <c r="AP84" s="37">
        <f t="shared" si="60"/>
        <v>6.6521250000000009E-3</v>
      </c>
      <c r="AQ84" s="40">
        <f t="shared" si="61"/>
        <v>2.2499999999999998E-3</v>
      </c>
      <c r="AR84" s="39">
        <f t="shared" si="67"/>
        <v>0.41414426762509038</v>
      </c>
      <c r="AS84" s="37">
        <f t="shared" si="68"/>
        <v>4.4916666666666671</v>
      </c>
      <c r="AT84" s="40">
        <f t="shared" si="69"/>
        <v>91.558087476828547</v>
      </c>
    </row>
    <row r="85" spans="17:46" x14ac:dyDescent="0.3">
      <c r="Q85">
        <v>78</v>
      </c>
      <c r="R85" s="39">
        <f t="shared" si="45"/>
        <v>20</v>
      </c>
      <c r="S85" s="37">
        <f t="shared" si="46"/>
        <v>0.22750000000000001</v>
      </c>
      <c r="T85" s="37">
        <f t="shared" si="47"/>
        <v>5</v>
      </c>
      <c r="U85" s="40">
        <f t="shared" si="48"/>
        <v>1.0111111111111111</v>
      </c>
      <c r="V85" s="39">
        <f t="shared" si="49"/>
        <v>2</v>
      </c>
      <c r="W85" s="37">
        <f t="shared" si="50"/>
        <v>0.75</v>
      </c>
      <c r="X85" s="40">
        <f t="shared" si="51"/>
        <v>0.25</v>
      </c>
      <c r="Y85" s="39">
        <f t="shared" si="52"/>
        <v>1.1415525114155252</v>
      </c>
      <c r="Z85" s="37">
        <f t="shared" si="71"/>
        <v>1.5818873668188735</v>
      </c>
      <c r="AA85" s="37">
        <f t="shared" si="72"/>
        <v>1.0634570311201748</v>
      </c>
      <c r="AB85" s="37">
        <v>0</v>
      </c>
      <c r="AC85" s="37">
        <f t="shared" si="53"/>
        <v>8.4820564277920216E-2</v>
      </c>
      <c r="AD85" s="40">
        <f t="shared" si="62"/>
        <v>8.4820564277920216E-2</v>
      </c>
      <c r="AE85" s="39">
        <f t="shared" si="70"/>
        <v>0.7583333333333333</v>
      </c>
      <c r="AF85" s="37">
        <f t="shared" si="63"/>
        <v>0.92098080478324973</v>
      </c>
      <c r="AG85" s="37">
        <f t="shared" si="54"/>
        <v>4.1562076496180923E-3</v>
      </c>
      <c r="AH85" s="37">
        <f t="shared" si="55"/>
        <v>3.31613680453701E-2</v>
      </c>
      <c r="AI85" s="40">
        <f t="shared" si="64"/>
        <v>3.7317575694988191E-2</v>
      </c>
      <c r="AJ85" s="39">
        <f t="shared" si="65"/>
        <v>0.25277777777777777</v>
      </c>
      <c r="AK85" s="37">
        <f t="shared" si="56"/>
        <v>0.53172851556008738</v>
      </c>
      <c r="AL85" s="37">
        <f t="shared" si="57"/>
        <v>0.20930000000000001</v>
      </c>
      <c r="AM85" s="37">
        <f t="shared" si="58"/>
        <v>4.5814800000000003E-2</v>
      </c>
      <c r="AN85" s="40">
        <f t="shared" si="66"/>
        <v>0.25511480000000003</v>
      </c>
      <c r="AO85" s="39">
        <f t="shared" si="59"/>
        <v>3.3928225711168096E-2</v>
      </c>
      <c r="AP85" s="37">
        <f t="shared" si="60"/>
        <v>6.6521250000000009E-3</v>
      </c>
      <c r="AQ85" s="40">
        <f t="shared" si="61"/>
        <v>2.2499999999999998E-3</v>
      </c>
      <c r="AR85" s="39">
        <f t="shared" si="67"/>
        <v>0.42008329068407652</v>
      </c>
      <c r="AS85" s="37">
        <f t="shared" si="68"/>
        <v>4.55</v>
      </c>
      <c r="AT85" s="40">
        <f t="shared" si="69"/>
        <v>91.547761554188028</v>
      </c>
    </row>
    <row r="86" spans="17:46" x14ac:dyDescent="0.3">
      <c r="Q86">
        <v>79</v>
      </c>
      <c r="R86" s="39">
        <f t="shared" si="45"/>
        <v>20</v>
      </c>
      <c r="S86" s="37">
        <f t="shared" si="46"/>
        <v>0.23041666666666669</v>
      </c>
      <c r="T86" s="37">
        <f t="shared" si="47"/>
        <v>5</v>
      </c>
      <c r="U86" s="40">
        <f t="shared" si="48"/>
        <v>1.0240740740740741</v>
      </c>
      <c r="V86" s="39">
        <f t="shared" si="49"/>
        <v>2</v>
      </c>
      <c r="W86" s="37">
        <f t="shared" si="50"/>
        <v>0.75</v>
      </c>
      <c r="X86" s="40">
        <f t="shared" si="51"/>
        <v>0.25</v>
      </c>
      <c r="Y86" s="39">
        <f t="shared" si="52"/>
        <v>1.1415525114155252</v>
      </c>
      <c r="Z86" s="37">
        <f t="shared" si="71"/>
        <v>1.5948503297818366</v>
      </c>
      <c r="AA86" s="37">
        <f t="shared" si="72"/>
        <v>1.0757894251280142</v>
      </c>
      <c r="AB86" s="37">
        <v>0</v>
      </c>
      <c r="AC86" s="37">
        <f t="shared" si="53"/>
        <v>8.6799216541294757E-2</v>
      </c>
      <c r="AD86" s="40">
        <f t="shared" si="62"/>
        <v>8.6799216541294757E-2</v>
      </c>
      <c r="AE86" s="39">
        <f t="shared" si="70"/>
        <v>0.7680555555555556</v>
      </c>
      <c r="AF86" s="37">
        <f t="shared" si="63"/>
        <v>0.93166097128351755</v>
      </c>
      <c r="AG86" s="37">
        <f t="shared" si="54"/>
        <v>4.2531616105234427E-3</v>
      </c>
      <c r="AH86" s="37">
        <f t="shared" si="55"/>
        <v>3.3586513789541514E-2</v>
      </c>
      <c r="AI86" s="40">
        <f t="shared" si="64"/>
        <v>3.7839675400064957E-2</v>
      </c>
      <c r="AJ86" s="39">
        <f t="shared" si="65"/>
        <v>0.25601851851851853</v>
      </c>
      <c r="AK86" s="37">
        <f t="shared" si="56"/>
        <v>0.537894712564007</v>
      </c>
      <c r="AL86" s="37">
        <f t="shared" si="57"/>
        <v>0.21198333333333336</v>
      </c>
      <c r="AM86" s="37">
        <f t="shared" si="58"/>
        <v>4.5814800000000003E-2</v>
      </c>
      <c r="AN86" s="40">
        <f t="shared" si="66"/>
        <v>0.25779813333333335</v>
      </c>
      <c r="AO86" s="39">
        <f t="shared" si="59"/>
        <v>3.4719686616517892E-2</v>
      </c>
      <c r="AP86" s="37">
        <f t="shared" si="60"/>
        <v>6.6521250000000009E-3</v>
      </c>
      <c r="AQ86" s="40">
        <f t="shared" si="61"/>
        <v>2.2499999999999998E-3</v>
      </c>
      <c r="AR86" s="39">
        <f t="shared" si="67"/>
        <v>0.42605883689121093</v>
      </c>
      <c r="AS86" s="37">
        <f t="shared" si="68"/>
        <v>4.6083333333333334</v>
      </c>
      <c r="AT86" s="40">
        <f t="shared" si="69"/>
        <v>91.537035207326582</v>
      </c>
    </row>
    <row r="87" spans="17:46" x14ac:dyDescent="0.3">
      <c r="Q87">
        <v>80</v>
      </c>
      <c r="R87" s="39">
        <f t="shared" si="45"/>
        <v>20</v>
      </c>
      <c r="S87" s="37">
        <f t="shared" si="46"/>
        <v>0.23333333333333334</v>
      </c>
      <c r="T87" s="37">
        <f t="shared" si="47"/>
        <v>5</v>
      </c>
      <c r="U87" s="40">
        <f t="shared" si="48"/>
        <v>1.0370370370370372</v>
      </c>
      <c r="V87" s="39">
        <f t="shared" si="49"/>
        <v>2</v>
      </c>
      <c r="W87" s="37">
        <f t="shared" si="50"/>
        <v>0.75</v>
      </c>
      <c r="X87" s="40">
        <f t="shared" si="51"/>
        <v>0.25</v>
      </c>
      <c r="Y87" s="39">
        <f t="shared" si="52"/>
        <v>1.1415525114155252</v>
      </c>
      <c r="Z87" s="37">
        <f t="shared" si="71"/>
        <v>1.6078132927447997</v>
      </c>
      <c r="AA87" s="37">
        <f t="shared" si="72"/>
        <v>1.0881364777513656</v>
      </c>
      <c r="AB87" s="37">
        <v>0</v>
      </c>
      <c r="AC87" s="37">
        <f t="shared" si="53"/>
        <v>8.8803074565986101E-2</v>
      </c>
      <c r="AD87" s="40">
        <f t="shared" si="62"/>
        <v>8.8803074565986101E-2</v>
      </c>
      <c r="AE87" s="39">
        <f t="shared" si="70"/>
        <v>0.7777777777777779</v>
      </c>
      <c r="AF87" s="37">
        <f t="shared" si="63"/>
        <v>0.94235383251720306</v>
      </c>
      <c r="AG87" s="37">
        <f t="shared" si="54"/>
        <v>4.3513506537333187E-3</v>
      </c>
      <c r="AH87" s="37">
        <f t="shared" si="55"/>
        <v>3.4011659533712935E-2</v>
      </c>
      <c r="AI87" s="40">
        <f t="shared" si="64"/>
        <v>3.8363010187446256E-2</v>
      </c>
      <c r="AJ87" s="39">
        <f t="shared" si="65"/>
        <v>0.2592592592592593</v>
      </c>
      <c r="AK87" s="37">
        <f t="shared" si="56"/>
        <v>0.54406823887568267</v>
      </c>
      <c r="AL87" s="37">
        <f t="shared" si="57"/>
        <v>0.21466666666666667</v>
      </c>
      <c r="AM87" s="37">
        <f t="shared" si="58"/>
        <v>4.5814800000000003E-2</v>
      </c>
      <c r="AN87" s="40">
        <f t="shared" si="66"/>
        <v>0.26048146666666666</v>
      </c>
      <c r="AO87" s="39">
        <f t="shared" si="59"/>
        <v>3.5521229826394433E-2</v>
      </c>
      <c r="AP87" s="37">
        <f t="shared" si="60"/>
        <v>6.6521250000000009E-3</v>
      </c>
      <c r="AQ87" s="40">
        <f t="shared" si="61"/>
        <v>2.2499999999999998E-3</v>
      </c>
      <c r="AR87" s="39">
        <f t="shared" si="67"/>
        <v>0.43207090624649347</v>
      </c>
      <c r="AS87" s="37">
        <f t="shared" si="68"/>
        <v>4.666666666666667</v>
      </c>
      <c r="AT87" s="40">
        <f t="shared" si="69"/>
        <v>91.525923818047573</v>
      </c>
    </row>
    <row r="88" spans="17:46" x14ac:dyDescent="0.3">
      <c r="Q88">
        <v>81</v>
      </c>
      <c r="R88" s="39">
        <f t="shared" si="45"/>
        <v>20</v>
      </c>
      <c r="S88" s="37">
        <f t="shared" si="46"/>
        <v>0.23625000000000002</v>
      </c>
      <c r="T88" s="37">
        <f t="shared" si="47"/>
        <v>5</v>
      </c>
      <c r="U88" s="40">
        <f t="shared" si="48"/>
        <v>1.05</v>
      </c>
      <c r="V88" s="39">
        <f t="shared" si="49"/>
        <v>2</v>
      </c>
      <c r="W88" s="37">
        <f t="shared" si="50"/>
        <v>0.75</v>
      </c>
      <c r="X88" s="40">
        <f t="shared" si="51"/>
        <v>0.25</v>
      </c>
      <c r="Y88" s="39">
        <f t="shared" si="52"/>
        <v>1.1415525114155252</v>
      </c>
      <c r="Z88" s="37">
        <f t="shared" si="71"/>
        <v>1.6207762557077627</v>
      </c>
      <c r="AA88" s="37">
        <f t="shared" si="72"/>
        <v>1.1004976956025809</v>
      </c>
      <c r="AB88" s="37">
        <v>0</v>
      </c>
      <c r="AC88" s="37">
        <f t="shared" si="53"/>
        <v>9.0832138351994315E-2</v>
      </c>
      <c r="AD88" s="40">
        <f t="shared" si="62"/>
        <v>9.0832138351994315E-2</v>
      </c>
      <c r="AE88" s="39">
        <f t="shared" si="70"/>
        <v>0.78750000000000009</v>
      </c>
      <c r="AF88" s="37">
        <f t="shared" si="63"/>
        <v>0.95305896119806954</v>
      </c>
      <c r="AG88" s="37">
        <f t="shared" si="54"/>
        <v>4.450774779247723E-3</v>
      </c>
      <c r="AH88" s="37">
        <f t="shared" si="55"/>
        <v>3.4436805277884341E-2</v>
      </c>
      <c r="AI88" s="40">
        <f t="shared" si="64"/>
        <v>3.8887580057132068E-2</v>
      </c>
      <c r="AJ88" s="39">
        <f t="shared" si="65"/>
        <v>0.26250000000000001</v>
      </c>
      <c r="AK88" s="37">
        <f t="shared" si="56"/>
        <v>0.55024884780129057</v>
      </c>
      <c r="AL88" s="37">
        <f t="shared" si="57"/>
        <v>0.21735000000000002</v>
      </c>
      <c r="AM88" s="37">
        <f t="shared" si="58"/>
        <v>4.5814800000000003E-2</v>
      </c>
      <c r="AN88" s="40">
        <f t="shared" si="66"/>
        <v>0.26316480000000003</v>
      </c>
      <c r="AO88" s="39">
        <f t="shared" si="59"/>
        <v>3.6332855340797734E-2</v>
      </c>
      <c r="AP88" s="37">
        <f t="shared" si="60"/>
        <v>6.6521250000000009E-3</v>
      </c>
      <c r="AQ88" s="40">
        <f t="shared" si="61"/>
        <v>2.2499999999999998E-3</v>
      </c>
      <c r="AR88" s="39">
        <f t="shared" si="67"/>
        <v>0.43811949874992412</v>
      </c>
      <c r="AS88" s="37">
        <f t="shared" si="68"/>
        <v>4.7250000000000005</v>
      </c>
      <c r="AT88" s="40">
        <f t="shared" si="69"/>
        <v>91.514442017931202</v>
      </c>
    </row>
    <row r="89" spans="17:46" x14ac:dyDescent="0.3">
      <c r="Q89">
        <v>82</v>
      </c>
      <c r="R89" s="39">
        <f t="shared" si="45"/>
        <v>20</v>
      </c>
      <c r="S89" s="37">
        <f t="shared" si="46"/>
        <v>0.23916666666666667</v>
      </c>
      <c r="T89" s="37">
        <f t="shared" si="47"/>
        <v>5</v>
      </c>
      <c r="U89" s="40">
        <f t="shared" si="48"/>
        <v>1.0629629629629629</v>
      </c>
      <c r="V89" s="39">
        <f t="shared" si="49"/>
        <v>2</v>
      </c>
      <c r="W89" s="37">
        <f t="shared" si="50"/>
        <v>0.75</v>
      </c>
      <c r="X89" s="40">
        <f t="shared" si="51"/>
        <v>0.25</v>
      </c>
      <c r="Y89" s="39">
        <f t="shared" si="52"/>
        <v>1.1415525114155252</v>
      </c>
      <c r="Z89" s="37">
        <f t="shared" si="71"/>
        <v>1.6337392186707254</v>
      </c>
      <c r="AA89" s="37">
        <f t="shared" si="72"/>
        <v>1.1128726066615138</v>
      </c>
      <c r="AB89" s="37">
        <v>0</v>
      </c>
      <c r="AC89" s="37">
        <f t="shared" si="53"/>
        <v>9.2886407899319415E-2</v>
      </c>
      <c r="AD89" s="40">
        <f t="shared" si="62"/>
        <v>9.2886407899319415E-2</v>
      </c>
      <c r="AE89" s="39">
        <f t="shared" si="70"/>
        <v>0.79722222222222217</v>
      </c>
      <c r="AF89" s="37">
        <f t="shared" si="63"/>
        <v>0.96377594854467796</v>
      </c>
      <c r="AG89" s="37">
        <f t="shared" si="54"/>
        <v>4.5514339870666503E-3</v>
      </c>
      <c r="AH89" s="37">
        <f t="shared" si="55"/>
        <v>3.4861951022055748E-2</v>
      </c>
      <c r="AI89" s="40">
        <f t="shared" si="64"/>
        <v>3.9413385009122399E-2</v>
      </c>
      <c r="AJ89" s="39">
        <f t="shared" si="65"/>
        <v>0.26574074074074072</v>
      </c>
      <c r="AK89" s="37">
        <f t="shared" si="56"/>
        <v>0.55643630333075678</v>
      </c>
      <c r="AL89" s="37">
        <f t="shared" si="57"/>
        <v>0.22003333333333333</v>
      </c>
      <c r="AM89" s="37">
        <f t="shared" si="58"/>
        <v>4.5814800000000003E-2</v>
      </c>
      <c r="AN89" s="40">
        <f t="shared" si="66"/>
        <v>0.26584813333333335</v>
      </c>
      <c r="AO89" s="39">
        <f t="shared" si="59"/>
        <v>3.7154563159727753E-2</v>
      </c>
      <c r="AP89" s="37">
        <f t="shared" si="60"/>
        <v>6.6521250000000009E-3</v>
      </c>
      <c r="AQ89" s="40">
        <f t="shared" si="61"/>
        <v>2.2499999999999998E-3</v>
      </c>
      <c r="AR89" s="39">
        <f t="shared" si="67"/>
        <v>0.44420461440150288</v>
      </c>
      <c r="AS89" s="37">
        <f t="shared" si="68"/>
        <v>4.7833333333333332</v>
      </c>
      <c r="AT89" s="40">
        <f t="shared" si="69"/>
        <v>91.502603733484449</v>
      </c>
    </row>
    <row r="90" spans="17:46" x14ac:dyDescent="0.3">
      <c r="Q90">
        <v>83</v>
      </c>
      <c r="R90" s="39">
        <f t="shared" si="45"/>
        <v>20</v>
      </c>
      <c r="S90" s="37">
        <f t="shared" si="46"/>
        <v>0.24208333333333334</v>
      </c>
      <c r="T90" s="37">
        <f t="shared" si="47"/>
        <v>5</v>
      </c>
      <c r="U90" s="40">
        <f t="shared" si="48"/>
        <v>1.075925925925926</v>
      </c>
      <c r="V90" s="39">
        <f t="shared" si="49"/>
        <v>2</v>
      </c>
      <c r="W90" s="37">
        <f t="shared" si="50"/>
        <v>0.75</v>
      </c>
      <c r="X90" s="40">
        <f t="shared" si="51"/>
        <v>0.25</v>
      </c>
      <c r="Y90" s="39">
        <f t="shared" si="52"/>
        <v>1.1415525114155252</v>
      </c>
      <c r="Z90" s="37">
        <f t="shared" si="71"/>
        <v>1.6467021816336884</v>
      </c>
      <c r="AA90" s="37">
        <f t="shared" si="72"/>
        <v>1.1252607591603612</v>
      </c>
      <c r="AB90" s="37">
        <v>0</v>
      </c>
      <c r="AC90" s="37">
        <f t="shared" si="53"/>
        <v>9.4965883207961427E-2</v>
      </c>
      <c r="AD90" s="40">
        <f t="shared" si="62"/>
        <v>9.4965883207961427E-2</v>
      </c>
      <c r="AE90" s="39">
        <f t="shared" si="70"/>
        <v>0.80694444444444446</v>
      </c>
      <c r="AF90" s="37">
        <f t="shared" si="63"/>
        <v>0.97450440331463561</v>
      </c>
      <c r="AG90" s="37">
        <f t="shared" si="54"/>
        <v>4.6533282771901094E-3</v>
      </c>
      <c r="AH90" s="37">
        <f t="shared" si="55"/>
        <v>3.5287096766227162E-2</v>
      </c>
      <c r="AI90" s="40">
        <f t="shared" si="64"/>
        <v>3.9940425043417271E-2</v>
      </c>
      <c r="AJ90" s="39">
        <f t="shared" si="65"/>
        <v>0.26898148148148149</v>
      </c>
      <c r="AK90" s="37">
        <f t="shared" si="56"/>
        <v>0.56263037958018047</v>
      </c>
      <c r="AL90" s="37">
        <f t="shared" si="57"/>
        <v>0.22271666666666667</v>
      </c>
      <c r="AM90" s="37">
        <f t="shared" si="58"/>
        <v>4.5814800000000003E-2</v>
      </c>
      <c r="AN90" s="40">
        <f t="shared" si="66"/>
        <v>0.26853146666666666</v>
      </c>
      <c r="AO90" s="39">
        <f t="shared" si="59"/>
        <v>3.798635328318456E-2</v>
      </c>
      <c r="AP90" s="37">
        <f t="shared" si="60"/>
        <v>6.6521250000000009E-3</v>
      </c>
      <c r="AQ90" s="40">
        <f t="shared" si="61"/>
        <v>2.2499999999999998E-3</v>
      </c>
      <c r="AR90" s="39">
        <f t="shared" si="67"/>
        <v>0.45032625320122988</v>
      </c>
      <c r="AS90" s="37">
        <f t="shared" si="68"/>
        <v>4.8416666666666668</v>
      </c>
      <c r="AT90" s="40">
        <f t="shared" si="69"/>
        <v>91.490422228069207</v>
      </c>
    </row>
    <row r="91" spans="17:46" x14ac:dyDescent="0.3">
      <c r="Q91">
        <v>84</v>
      </c>
      <c r="R91" s="39">
        <f t="shared" si="45"/>
        <v>20</v>
      </c>
      <c r="S91" s="37">
        <f t="shared" si="46"/>
        <v>0.24500000000000002</v>
      </c>
      <c r="T91" s="37">
        <f t="shared" si="47"/>
        <v>5</v>
      </c>
      <c r="U91" s="40">
        <f t="shared" si="48"/>
        <v>1.088888888888889</v>
      </c>
      <c r="V91" s="39">
        <f t="shared" si="49"/>
        <v>2</v>
      </c>
      <c r="W91" s="37">
        <f t="shared" si="50"/>
        <v>0.75</v>
      </c>
      <c r="X91" s="40">
        <f t="shared" si="51"/>
        <v>0.25</v>
      </c>
      <c r="Y91" s="39">
        <f t="shared" si="52"/>
        <v>1.1415525114155252</v>
      </c>
      <c r="Z91" s="37">
        <f t="shared" si="71"/>
        <v>1.6596651445966515</v>
      </c>
      <c r="AA91" s="37">
        <f t="shared" si="72"/>
        <v>1.1376617205357094</v>
      </c>
      <c r="AB91" s="37">
        <v>0</v>
      </c>
      <c r="AC91" s="37">
        <f t="shared" si="53"/>
        <v>9.7070564277920282E-2</v>
      </c>
      <c r="AD91" s="40">
        <f t="shared" si="62"/>
        <v>9.7070564277920282E-2</v>
      </c>
      <c r="AE91" s="39">
        <f t="shared" si="70"/>
        <v>0.81666666666666676</v>
      </c>
      <c r="AF91" s="37">
        <f t="shared" si="63"/>
        <v>0.98524395089703676</v>
      </c>
      <c r="AG91" s="37">
        <f t="shared" si="54"/>
        <v>4.7564576496180932E-3</v>
      </c>
      <c r="AH91" s="37">
        <f t="shared" si="55"/>
        <v>3.5712242510398576E-2</v>
      </c>
      <c r="AI91" s="40">
        <f t="shared" si="64"/>
        <v>4.046870016001667E-2</v>
      </c>
      <c r="AJ91" s="39">
        <f t="shared" si="65"/>
        <v>0.27222222222222225</v>
      </c>
      <c r="AK91" s="37">
        <f t="shared" si="56"/>
        <v>0.56883086026785457</v>
      </c>
      <c r="AL91" s="37">
        <f t="shared" si="57"/>
        <v>0.22540000000000004</v>
      </c>
      <c r="AM91" s="37">
        <f t="shared" si="58"/>
        <v>4.5814800000000003E-2</v>
      </c>
      <c r="AN91" s="40">
        <f t="shared" si="66"/>
        <v>0.27121480000000003</v>
      </c>
      <c r="AO91" s="39">
        <f t="shared" si="59"/>
        <v>3.8828225711168105E-2</v>
      </c>
      <c r="AP91" s="37">
        <f t="shared" si="60"/>
        <v>6.6521250000000009E-3</v>
      </c>
      <c r="AQ91" s="40">
        <f t="shared" si="61"/>
        <v>2.2499999999999998E-3</v>
      </c>
      <c r="AR91" s="39">
        <f t="shared" si="67"/>
        <v>0.45648441514910509</v>
      </c>
      <c r="AS91" s="37">
        <f t="shared" si="68"/>
        <v>4.9000000000000004</v>
      </c>
      <c r="AT91" s="40">
        <f t="shared" si="69"/>
        <v>91.477910140873647</v>
      </c>
    </row>
    <row r="92" spans="17:46" x14ac:dyDescent="0.3">
      <c r="Q92">
        <v>85</v>
      </c>
      <c r="R92" s="39">
        <f t="shared" si="45"/>
        <v>20</v>
      </c>
      <c r="S92" s="37">
        <f t="shared" si="46"/>
        <v>0.24791666666666667</v>
      </c>
      <c r="T92" s="37">
        <f t="shared" si="47"/>
        <v>5</v>
      </c>
      <c r="U92" s="40">
        <f t="shared" si="48"/>
        <v>1.1018518518518521</v>
      </c>
      <c r="V92" s="39">
        <f t="shared" si="49"/>
        <v>2</v>
      </c>
      <c r="W92" s="37">
        <f t="shared" si="50"/>
        <v>0.75</v>
      </c>
      <c r="X92" s="40">
        <f t="shared" si="51"/>
        <v>0.25</v>
      </c>
      <c r="Y92" s="39">
        <f t="shared" si="52"/>
        <v>1.1415525114155252</v>
      </c>
      <c r="Z92" s="37">
        <f t="shared" si="71"/>
        <v>1.6726281075596146</v>
      </c>
      <c r="AA92" s="37">
        <f t="shared" si="72"/>
        <v>1.1500750764432497</v>
      </c>
      <c r="AB92" s="37">
        <v>0</v>
      </c>
      <c r="AC92" s="37">
        <f t="shared" si="53"/>
        <v>9.9200451109195995E-2</v>
      </c>
      <c r="AD92" s="40">
        <f t="shared" si="62"/>
        <v>9.9200451109195995E-2</v>
      </c>
      <c r="AE92" s="39">
        <f t="shared" si="70"/>
        <v>0.82638888888888906</v>
      </c>
      <c r="AF92" s="37">
        <f t="shared" si="63"/>
        <v>0.99599423245918428</v>
      </c>
      <c r="AG92" s="37">
        <f t="shared" si="54"/>
        <v>4.8608221043506027E-3</v>
      </c>
      <c r="AH92" s="37">
        <f t="shared" si="55"/>
        <v>3.613738825456999E-2</v>
      </c>
      <c r="AI92" s="40">
        <f t="shared" si="64"/>
        <v>4.0998210358920595E-2</v>
      </c>
      <c r="AJ92" s="39">
        <f t="shared" si="65"/>
        <v>0.27546296296296302</v>
      </c>
      <c r="AK92" s="37">
        <f t="shared" si="56"/>
        <v>0.57503753822162473</v>
      </c>
      <c r="AL92" s="37">
        <f t="shared" si="57"/>
        <v>0.22808333333333336</v>
      </c>
      <c r="AM92" s="37">
        <f t="shared" si="58"/>
        <v>4.5814800000000003E-2</v>
      </c>
      <c r="AN92" s="40">
        <f t="shared" si="66"/>
        <v>0.27389813333333335</v>
      </c>
      <c r="AO92" s="39">
        <f t="shared" si="59"/>
        <v>3.9680180443678388E-2</v>
      </c>
      <c r="AP92" s="37">
        <f t="shared" si="60"/>
        <v>6.6521250000000009E-3</v>
      </c>
      <c r="AQ92" s="40">
        <f t="shared" si="61"/>
        <v>2.2499999999999998E-3</v>
      </c>
      <c r="AR92" s="39">
        <f t="shared" si="67"/>
        <v>0.46267910024512832</v>
      </c>
      <c r="AS92" s="37">
        <f t="shared" si="68"/>
        <v>4.9583333333333339</v>
      </c>
      <c r="AT92" s="40">
        <f t="shared" si="69"/>
        <v>91.465079523167418</v>
      </c>
    </row>
    <row r="93" spans="17:46" x14ac:dyDescent="0.3">
      <c r="Q93">
        <v>86</v>
      </c>
      <c r="R93" s="39">
        <f t="shared" si="45"/>
        <v>20</v>
      </c>
      <c r="S93" s="37">
        <f t="shared" si="46"/>
        <v>0.25083333333333335</v>
      </c>
      <c r="T93" s="37">
        <f t="shared" si="47"/>
        <v>5</v>
      </c>
      <c r="U93" s="40">
        <f t="shared" si="48"/>
        <v>1.1148148148148149</v>
      </c>
      <c r="V93" s="39">
        <f t="shared" si="49"/>
        <v>2</v>
      </c>
      <c r="W93" s="37">
        <f t="shared" si="50"/>
        <v>0.75</v>
      </c>
      <c r="X93" s="40">
        <f t="shared" si="51"/>
        <v>0.25</v>
      </c>
      <c r="Y93" s="39">
        <f t="shared" si="52"/>
        <v>1.1415525114155252</v>
      </c>
      <c r="Z93" s="37">
        <f t="shared" si="71"/>
        <v>1.6855910705225776</v>
      </c>
      <c r="AA93" s="37">
        <f t="shared" si="72"/>
        <v>1.1625004298309662</v>
      </c>
      <c r="AB93" s="37">
        <v>0</v>
      </c>
      <c r="AC93" s="37">
        <f t="shared" si="53"/>
        <v>0.10135554370178861</v>
      </c>
      <c r="AD93" s="40">
        <f t="shared" si="62"/>
        <v>0.10135554370178861</v>
      </c>
      <c r="AE93" s="39">
        <f t="shared" si="70"/>
        <v>0.83611111111111125</v>
      </c>
      <c r="AF93" s="37">
        <f t="shared" si="63"/>
        <v>1.0067549041439461</v>
      </c>
      <c r="AG93" s="37">
        <f t="shared" si="54"/>
        <v>4.9664216413876422E-3</v>
      </c>
      <c r="AH93" s="37">
        <f t="shared" si="55"/>
        <v>3.6562533998741396E-2</v>
      </c>
      <c r="AI93" s="40">
        <f t="shared" si="64"/>
        <v>4.1528955640129039E-2</v>
      </c>
      <c r="AJ93" s="39">
        <f t="shared" si="65"/>
        <v>0.27870370370370373</v>
      </c>
      <c r="AK93" s="37">
        <f t="shared" si="56"/>
        <v>0.58125021491548312</v>
      </c>
      <c r="AL93" s="37">
        <f t="shared" si="57"/>
        <v>0.2307666666666667</v>
      </c>
      <c r="AM93" s="37">
        <f t="shared" si="58"/>
        <v>4.5814800000000003E-2</v>
      </c>
      <c r="AN93" s="40">
        <f t="shared" si="66"/>
        <v>0.27658146666666672</v>
      </c>
      <c r="AO93" s="39">
        <f t="shared" si="59"/>
        <v>4.0542217480715445E-2</v>
      </c>
      <c r="AP93" s="37">
        <f t="shared" si="60"/>
        <v>6.6521250000000009E-3</v>
      </c>
      <c r="AQ93" s="40">
        <f t="shared" si="61"/>
        <v>2.2499999999999998E-3</v>
      </c>
      <c r="AR93" s="39">
        <f t="shared" si="67"/>
        <v>0.46891030848929982</v>
      </c>
      <c r="AS93" s="37">
        <f t="shared" si="68"/>
        <v>5.0166666666666675</v>
      </c>
      <c r="AT93" s="40">
        <f t="shared" si="69"/>
        <v>91.451941872058626</v>
      </c>
    </row>
    <row r="94" spans="17:46" x14ac:dyDescent="0.3">
      <c r="Q94">
        <v>87</v>
      </c>
      <c r="R94" s="39">
        <f t="shared" si="45"/>
        <v>20</v>
      </c>
      <c r="S94" s="37">
        <f t="shared" si="46"/>
        <v>0.25375000000000003</v>
      </c>
      <c r="T94" s="37">
        <f t="shared" si="47"/>
        <v>5</v>
      </c>
      <c r="U94" s="40">
        <f t="shared" si="48"/>
        <v>1.127777777777778</v>
      </c>
      <c r="V94" s="39">
        <f t="shared" si="49"/>
        <v>2</v>
      </c>
      <c r="W94" s="37">
        <f t="shared" si="50"/>
        <v>0.75</v>
      </c>
      <c r="X94" s="40">
        <f t="shared" si="51"/>
        <v>0.25</v>
      </c>
      <c r="Y94" s="39">
        <f t="shared" si="52"/>
        <v>1.1415525114155252</v>
      </c>
      <c r="Z94" s="37">
        <f t="shared" si="71"/>
        <v>1.6985540334855407</v>
      </c>
      <c r="AA94" s="37">
        <f t="shared" si="72"/>
        <v>1.1749374000669033</v>
      </c>
      <c r="AB94" s="37">
        <v>0</v>
      </c>
      <c r="AC94" s="37">
        <f t="shared" si="53"/>
        <v>0.10353584205569807</v>
      </c>
      <c r="AD94" s="40">
        <f t="shared" si="62"/>
        <v>0.10353584205569807</v>
      </c>
      <c r="AE94" s="39">
        <f t="shared" si="70"/>
        <v>0.84583333333333344</v>
      </c>
      <c r="AF94" s="37">
        <f t="shared" si="63"/>
        <v>1.0175256363143785</v>
      </c>
      <c r="AG94" s="37">
        <f t="shared" si="54"/>
        <v>5.0732562607292081E-3</v>
      </c>
      <c r="AH94" s="37">
        <f t="shared" si="55"/>
        <v>3.6987679742912817E-2</v>
      </c>
      <c r="AI94" s="40">
        <f t="shared" si="64"/>
        <v>4.2060936003642024E-2</v>
      </c>
      <c r="AJ94" s="39">
        <f t="shared" si="65"/>
        <v>0.2819444444444445</v>
      </c>
      <c r="AK94" s="37">
        <f t="shared" si="56"/>
        <v>0.58746870003345164</v>
      </c>
      <c r="AL94" s="37">
        <f t="shared" si="57"/>
        <v>0.23345000000000005</v>
      </c>
      <c r="AM94" s="37">
        <f t="shared" si="58"/>
        <v>4.5814800000000003E-2</v>
      </c>
      <c r="AN94" s="40">
        <f t="shared" si="66"/>
        <v>0.27926480000000004</v>
      </c>
      <c r="AO94" s="39">
        <f t="shared" si="59"/>
        <v>4.1414336822279241E-2</v>
      </c>
      <c r="AP94" s="37">
        <f t="shared" si="60"/>
        <v>6.6521250000000009E-3</v>
      </c>
      <c r="AQ94" s="40">
        <f t="shared" si="61"/>
        <v>2.2499999999999998E-3</v>
      </c>
      <c r="AR94" s="39">
        <f t="shared" si="67"/>
        <v>0.47517803988161933</v>
      </c>
      <c r="AS94" s="37">
        <f t="shared" si="68"/>
        <v>5.0750000000000011</v>
      </c>
      <c r="AT94" s="40">
        <f t="shared" si="69"/>
        <v>91.438508161951603</v>
      </c>
    </row>
    <row r="95" spans="17:46" x14ac:dyDescent="0.3">
      <c r="Q95">
        <v>88</v>
      </c>
      <c r="R95" s="39">
        <f t="shared" si="45"/>
        <v>20</v>
      </c>
      <c r="S95" s="37">
        <f t="shared" si="46"/>
        <v>0.25666666666666665</v>
      </c>
      <c r="T95" s="37">
        <f t="shared" si="47"/>
        <v>5</v>
      </c>
      <c r="U95" s="40">
        <f t="shared" si="48"/>
        <v>1.1407407407407406</v>
      </c>
      <c r="V95" s="39">
        <f t="shared" si="49"/>
        <v>2</v>
      </c>
      <c r="W95" s="37">
        <f t="shared" si="50"/>
        <v>0.75</v>
      </c>
      <c r="X95" s="40">
        <f t="shared" si="51"/>
        <v>0.25</v>
      </c>
      <c r="Y95" s="39">
        <f t="shared" si="52"/>
        <v>1.1415525114155252</v>
      </c>
      <c r="Z95" s="37">
        <f t="shared" si="71"/>
        <v>1.7115169964485033</v>
      </c>
      <c r="AA95" s="37">
        <f t="shared" si="72"/>
        <v>1.1873856221179051</v>
      </c>
      <c r="AB95" s="37">
        <v>0</v>
      </c>
      <c r="AC95" s="37">
        <f t="shared" si="53"/>
        <v>0.10574134617092434</v>
      </c>
      <c r="AD95" s="40">
        <f t="shared" si="62"/>
        <v>0.10574134617092434</v>
      </c>
      <c r="AE95" s="39">
        <f t="shared" si="70"/>
        <v>0.8555555555555554</v>
      </c>
      <c r="AF95" s="37">
        <f t="shared" si="63"/>
        <v>1.0283061128424957</v>
      </c>
      <c r="AG95" s="37">
        <f t="shared" si="54"/>
        <v>5.1813259623752946E-3</v>
      </c>
      <c r="AH95" s="37">
        <f t="shared" si="55"/>
        <v>3.7412825487084217E-2</v>
      </c>
      <c r="AI95" s="40">
        <f t="shared" si="64"/>
        <v>4.2594151449459508E-2</v>
      </c>
      <c r="AJ95" s="39">
        <f t="shared" si="65"/>
        <v>0.28518518518518515</v>
      </c>
      <c r="AK95" s="37">
        <f t="shared" si="56"/>
        <v>0.59369281105895266</v>
      </c>
      <c r="AL95" s="37">
        <f t="shared" si="57"/>
        <v>0.23613333333333333</v>
      </c>
      <c r="AM95" s="37">
        <f t="shared" si="58"/>
        <v>4.5814800000000003E-2</v>
      </c>
      <c r="AN95" s="40">
        <f t="shared" si="66"/>
        <v>0.28194813333333335</v>
      </c>
      <c r="AO95" s="39">
        <f t="shared" si="59"/>
        <v>4.2296538468369747E-2</v>
      </c>
      <c r="AP95" s="37">
        <f t="shared" si="60"/>
        <v>6.6521250000000009E-3</v>
      </c>
      <c r="AQ95" s="40">
        <f t="shared" si="61"/>
        <v>2.2499999999999998E-3</v>
      </c>
      <c r="AR95" s="39">
        <f t="shared" si="67"/>
        <v>0.4814822944220869</v>
      </c>
      <c r="AS95" s="37">
        <f t="shared" si="68"/>
        <v>5.1333333333333329</v>
      </c>
      <c r="AT95" s="40">
        <f t="shared" si="69"/>
        <v>91.424788873885703</v>
      </c>
    </row>
    <row r="96" spans="17:46" x14ac:dyDescent="0.3">
      <c r="Q96">
        <v>89</v>
      </c>
      <c r="R96" s="39">
        <f t="shared" si="45"/>
        <v>20</v>
      </c>
      <c r="S96" s="37">
        <f t="shared" si="46"/>
        <v>0.25958333333333333</v>
      </c>
      <c r="T96" s="37">
        <f t="shared" si="47"/>
        <v>5</v>
      </c>
      <c r="U96" s="40">
        <f t="shared" si="48"/>
        <v>1.1537037037037037</v>
      </c>
      <c r="V96" s="39">
        <f t="shared" si="49"/>
        <v>2</v>
      </c>
      <c r="W96" s="37">
        <f t="shared" si="50"/>
        <v>0.75</v>
      </c>
      <c r="X96" s="40">
        <f t="shared" si="51"/>
        <v>0.25</v>
      </c>
      <c r="Y96" s="39">
        <f t="shared" si="52"/>
        <v>1.1415525114155252</v>
      </c>
      <c r="Z96" s="37">
        <f t="shared" si="71"/>
        <v>1.7244799594114664</v>
      </c>
      <c r="AA96" s="37">
        <f t="shared" si="72"/>
        <v>1.1998447457759835</v>
      </c>
      <c r="AB96" s="37">
        <v>0</v>
      </c>
      <c r="AC96" s="37">
        <f t="shared" si="53"/>
        <v>0.1079720560474676</v>
      </c>
      <c r="AD96" s="40">
        <f t="shared" si="62"/>
        <v>0.1079720560474676</v>
      </c>
      <c r="AE96" s="39">
        <f t="shared" si="70"/>
        <v>0.86527777777777781</v>
      </c>
      <c r="AF96" s="37">
        <f t="shared" si="63"/>
        <v>1.0390960304392831</v>
      </c>
      <c r="AG96" s="37">
        <f t="shared" si="54"/>
        <v>5.290630746325911E-3</v>
      </c>
      <c r="AH96" s="37">
        <f t="shared" si="55"/>
        <v>3.7837971231255631E-2</v>
      </c>
      <c r="AI96" s="40">
        <f t="shared" si="64"/>
        <v>4.3128601977581539E-2</v>
      </c>
      <c r="AJ96" s="39">
        <f t="shared" si="65"/>
        <v>0.28842592592592592</v>
      </c>
      <c r="AK96" s="37">
        <f t="shared" si="56"/>
        <v>0.59992237288799177</v>
      </c>
      <c r="AL96" s="37">
        <f t="shared" si="57"/>
        <v>0.23881666666666668</v>
      </c>
      <c r="AM96" s="37">
        <f t="shared" si="58"/>
        <v>4.5814800000000003E-2</v>
      </c>
      <c r="AN96" s="40">
        <f t="shared" si="66"/>
        <v>0.28463146666666667</v>
      </c>
      <c r="AO96" s="39">
        <f t="shared" si="59"/>
        <v>4.318882241898702E-2</v>
      </c>
      <c r="AP96" s="37">
        <f t="shared" si="60"/>
        <v>6.6521250000000009E-3</v>
      </c>
      <c r="AQ96" s="40">
        <f t="shared" si="61"/>
        <v>2.2499999999999998E-3</v>
      </c>
      <c r="AR96" s="39">
        <f t="shared" si="67"/>
        <v>0.48782307211070286</v>
      </c>
      <c r="AS96" s="37">
        <f t="shared" si="68"/>
        <v>5.1916666666666664</v>
      </c>
      <c r="AT96" s="40">
        <f t="shared" si="69"/>
        <v>91.410794022920143</v>
      </c>
    </row>
    <row r="97" spans="17:46" x14ac:dyDescent="0.3">
      <c r="Q97">
        <v>90</v>
      </c>
      <c r="R97" s="39">
        <f t="shared" si="45"/>
        <v>20</v>
      </c>
      <c r="S97" s="37">
        <f t="shared" si="46"/>
        <v>0.26250000000000001</v>
      </c>
      <c r="T97" s="37">
        <f t="shared" si="47"/>
        <v>5</v>
      </c>
      <c r="U97" s="40">
        <f t="shared" si="48"/>
        <v>1.1666666666666667</v>
      </c>
      <c r="V97" s="39">
        <f t="shared" si="49"/>
        <v>2</v>
      </c>
      <c r="W97" s="37">
        <f t="shared" si="50"/>
        <v>0.75</v>
      </c>
      <c r="X97" s="40">
        <f t="shared" si="51"/>
        <v>0.25</v>
      </c>
      <c r="Y97" s="39">
        <f t="shared" si="52"/>
        <v>1.1415525114155252</v>
      </c>
      <c r="Z97" s="37">
        <f t="shared" si="71"/>
        <v>1.7374429223744294</v>
      </c>
      <c r="AA97" s="37">
        <f t="shared" si="72"/>
        <v>1.2123144349291988</v>
      </c>
      <c r="AB97" s="37">
        <v>0</v>
      </c>
      <c r="AC97" s="37">
        <f t="shared" si="53"/>
        <v>0.11022797168532769</v>
      </c>
      <c r="AD97" s="40">
        <f t="shared" si="62"/>
        <v>0.11022797168532769</v>
      </c>
      <c r="AE97" s="39">
        <f t="shared" si="70"/>
        <v>0.875</v>
      </c>
      <c r="AF97" s="37">
        <f t="shared" si="63"/>
        <v>1.0498950980232631</v>
      </c>
      <c r="AG97" s="37">
        <f t="shared" si="54"/>
        <v>5.4011706125810591E-3</v>
      </c>
      <c r="AH97" s="37">
        <f t="shared" si="55"/>
        <v>3.8263116975427051E-2</v>
      </c>
      <c r="AI97" s="40">
        <f t="shared" si="64"/>
        <v>4.366428758800811E-2</v>
      </c>
      <c r="AJ97" s="39">
        <f t="shared" si="65"/>
        <v>0.29166666666666669</v>
      </c>
      <c r="AK97" s="37">
        <f t="shared" si="56"/>
        <v>0.60615721746459938</v>
      </c>
      <c r="AL97" s="37">
        <f t="shared" si="57"/>
        <v>0.24150000000000002</v>
      </c>
      <c r="AM97" s="37">
        <f t="shared" si="58"/>
        <v>4.5814800000000003E-2</v>
      </c>
      <c r="AN97" s="40">
        <f t="shared" si="66"/>
        <v>0.28731480000000004</v>
      </c>
      <c r="AO97" s="39">
        <f t="shared" si="59"/>
        <v>4.4091188674131088E-2</v>
      </c>
      <c r="AP97" s="37">
        <f t="shared" si="60"/>
        <v>6.6521250000000009E-3</v>
      </c>
      <c r="AQ97" s="40">
        <f t="shared" si="61"/>
        <v>2.2499999999999998E-3</v>
      </c>
      <c r="AR97" s="39">
        <f t="shared" si="67"/>
        <v>0.49420037294746688</v>
      </c>
      <c r="AS97" s="37">
        <f t="shared" si="68"/>
        <v>5.25</v>
      </c>
      <c r="AT97" s="40">
        <f t="shared" si="69"/>
        <v>91.396533183714794</v>
      </c>
    </row>
    <row r="98" spans="17:46" x14ac:dyDescent="0.3">
      <c r="Q98">
        <v>91</v>
      </c>
      <c r="R98" s="39">
        <f t="shared" si="45"/>
        <v>20</v>
      </c>
      <c r="S98" s="37">
        <f t="shared" si="46"/>
        <v>0.26541666666666669</v>
      </c>
      <c r="T98" s="37">
        <f t="shared" si="47"/>
        <v>5</v>
      </c>
      <c r="U98" s="40">
        <f t="shared" si="48"/>
        <v>1.1796296296296296</v>
      </c>
      <c r="V98" s="39">
        <f t="shared" si="49"/>
        <v>2</v>
      </c>
      <c r="W98" s="37">
        <f t="shared" si="50"/>
        <v>0.75</v>
      </c>
      <c r="X98" s="40">
        <f t="shared" si="51"/>
        <v>0.25</v>
      </c>
      <c r="Y98" s="39">
        <f t="shared" si="52"/>
        <v>1.1415525114155252</v>
      </c>
      <c r="Z98" s="37">
        <f t="shared" si="71"/>
        <v>1.7504058853373921</v>
      </c>
      <c r="AA98" s="37">
        <f t="shared" si="72"/>
        <v>1.2247943668741819</v>
      </c>
      <c r="AB98" s="37">
        <v>0</v>
      </c>
      <c r="AC98" s="37">
        <f t="shared" si="53"/>
        <v>0.11250909308450459</v>
      </c>
      <c r="AD98" s="40">
        <f t="shared" si="62"/>
        <v>0.11250909308450459</v>
      </c>
      <c r="AE98" s="39">
        <f t="shared" si="70"/>
        <v>0.88472222222222219</v>
      </c>
      <c r="AF98" s="37">
        <f t="shared" si="63"/>
        <v>1.0607030361251191</v>
      </c>
      <c r="AG98" s="37">
        <f t="shared" si="54"/>
        <v>5.5129455611407242E-3</v>
      </c>
      <c r="AH98" s="37">
        <f t="shared" si="55"/>
        <v>3.8688262719598458E-2</v>
      </c>
      <c r="AI98" s="40">
        <f t="shared" si="64"/>
        <v>4.4201208280739181E-2</v>
      </c>
      <c r="AJ98" s="39">
        <f t="shared" si="65"/>
        <v>0.2949074074074074</v>
      </c>
      <c r="AK98" s="37">
        <f t="shared" si="56"/>
        <v>0.61239718343709093</v>
      </c>
      <c r="AL98" s="37">
        <f t="shared" si="57"/>
        <v>0.24418333333333336</v>
      </c>
      <c r="AM98" s="37">
        <f t="shared" si="58"/>
        <v>4.5814800000000003E-2</v>
      </c>
      <c r="AN98" s="40">
        <f t="shared" si="66"/>
        <v>0.28999813333333335</v>
      </c>
      <c r="AO98" s="39">
        <f t="shared" si="59"/>
        <v>4.5003637233801824E-2</v>
      </c>
      <c r="AP98" s="37">
        <f t="shared" si="60"/>
        <v>6.6521250000000009E-3</v>
      </c>
      <c r="AQ98" s="40">
        <f t="shared" si="61"/>
        <v>2.2499999999999998E-3</v>
      </c>
      <c r="AR98" s="39">
        <f t="shared" si="67"/>
        <v>0.50061419693237896</v>
      </c>
      <c r="AS98" s="37">
        <f t="shared" si="68"/>
        <v>5.3083333333333336</v>
      </c>
      <c r="AT98" s="40">
        <f t="shared" si="69"/>
        <v>91.382015514444163</v>
      </c>
    </row>
    <row r="99" spans="17:46" x14ac:dyDescent="0.3">
      <c r="Q99">
        <v>92</v>
      </c>
      <c r="R99" s="39">
        <f t="shared" si="45"/>
        <v>20</v>
      </c>
      <c r="S99" s="37">
        <f t="shared" si="46"/>
        <v>0.26833333333333337</v>
      </c>
      <c r="T99" s="37">
        <f t="shared" si="47"/>
        <v>5</v>
      </c>
      <c r="U99" s="40">
        <f t="shared" si="48"/>
        <v>1.1925925925925926</v>
      </c>
      <c r="V99" s="39">
        <f t="shared" si="49"/>
        <v>2</v>
      </c>
      <c r="W99" s="37">
        <f t="shared" si="50"/>
        <v>0.75</v>
      </c>
      <c r="X99" s="40">
        <f t="shared" si="51"/>
        <v>0.25</v>
      </c>
      <c r="Y99" s="39">
        <f t="shared" si="52"/>
        <v>1.1415525114155252</v>
      </c>
      <c r="Z99" s="37">
        <f t="shared" si="71"/>
        <v>1.7633688483003551</v>
      </c>
      <c r="AA99" s="37">
        <f t="shared" si="72"/>
        <v>1.2372842316676118</v>
      </c>
      <c r="AB99" s="37">
        <v>0</v>
      </c>
      <c r="AC99" s="37">
        <f t="shared" si="53"/>
        <v>0.11481542024499844</v>
      </c>
      <c r="AD99" s="40">
        <f t="shared" si="62"/>
        <v>0.11481542024499844</v>
      </c>
      <c r="AE99" s="39">
        <f t="shared" si="70"/>
        <v>0.89444444444444449</v>
      </c>
      <c r="AF99" s="37">
        <f t="shared" si="63"/>
        <v>1.0715195763260625</v>
      </c>
      <c r="AG99" s="37">
        <f t="shared" si="54"/>
        <v>5.6259555920049253E-3</v>
      </c>
      <c r="AH99" s="37">
        <f t="shared" si="55"/>
        <v>3.9113408463769872E-2</v>
      </c>
      <c r="AI99" s="40">
        <f t="shared" si="64"/>
        <v>4.4739364055774798E-2</v>
      </c>
      <c r="AJ99" s="39">
        <f t="shared" si="65"/>
        <v>0.29814814814814816</v>
      </c>
      <c r="AK99" s="37">
        <f t="shared" si="56"/>
        <v>0.61864211583380591</v>
      </c>
      <c r="AL99" s="37">
        <f t="shared" si="57"/>
        <v>0.24686666666666671</v>
      </c>
      <c r="AM99" s="37">
        <f t="shared" si="58"/>
        <v>4.5814800000000003E-2</v>
      </c>
      <c r="AN99" s="40">
        <f t="shared" si="66"/>
        <v>0.29268146666666672</v>
      </c>
      <c r="AO99" s="39">
        <f t="shared" si="59"/>
        <v>4.592616809799939E-2</v>
      </c>
      <c r="AP99" s="37">
        <f t="shared" si="60"/>
        <v>6.6521250000000009E-3</v>
      </c>
      <c r="AQ99" s="40">
        <f t="shared" si="61"/>
        <v>2.2499999999999998E-3</v>
      </c>
      <c r="AR99" s="39">
        <f t="shared" si="67"/>
        <v>0.50706454406543933</v>
      </c>
      <c r="AS99" s="37">
        <f t="shared" si="68"/>
        <v>5.3666666666666671</v>
      </c>
      <c r="AT99" s="40">
        <f t="shared" si="69"/>
        <v>91.367249779169953</v>
      </c>
    </row>
    <row r="100" spans="17:46" x14ac:dyDescent="0.3">
      <c r="Q100">
        <v>93</v>
      </c>
      <c r="R100" s="39">
        <f t="shared" si="45"/>
        <v>20</v>
      </c>
      <c r="S100" s="37">
        <f t="shared" si="46"/>
        <v>0.27124999999999999</v>
      </c>
      <c r="T100" s="37">
        <f t="shared" si="47"/>
        <v>5</v>
      </c>
      <c r="U100" s="40">
        <f t="shared" si="48"/>
        <v>1.2055555555555555</v>
      </c>
      <c r="V100" s="39">
        <f t="shared" si="49"/>
        <v>2</v>
      </c>
      <c r="W100" s="37">
        <f t="shared" si="50"/>
        <v>0.75</v>
      </c>
      <c r="X100" s="40">
        <f t="shared" si="51"/>
        <v>0.25</v>
      </c>
      <c r="Y100" s="39">
        <f t="shared" si="52"/>
        <v>1.1415525114155252</v>
      </c>
      <c r="Z100" s="37">
        <f t="shared" si="71"/>
        <v>1.7763318112633182</v>
      </c>
      <c r="AA100" s="37">
        <f t="shared" si="72"/>
        <v>1.2497837315141589</v>
      </c>
      <c r="AB100" s="37">
        <v>0</v>
      </c>
      <c r="AC100" s="37">
        <f t="shared" si="53"/>
        <v>0.11714695316680913</v>
      </c>
      <c r="AD100" s="40">
        <f t="shared" si="62"/>
        <v>0.11714695316680913</v>
      </c>
      <c r="AE100" s="39">
        <f t="shared" si="70"/>
        <v>0.90416666666666656</v>
      </c>
      <c r="AF100" s="37">
        <f t="shared" si="63"/>
        <v>1.0823444607277719</v>
      </c>
      <c r="AG100" s="37">
        <f t="shared" si="54"/>
        <v>5.7402007051736486E-3</v>
      </c>
      <c r="AH100" s="37">
        <f t="shared" si="55"/>
        <v>3.9538554207941272E-2</v>
      </c>
      <c r="AI100" s="40">
        <f t="shared" si="64"/>
        <v>4.5278754913114921E-2</v>
      </c>
      <c r="AJ100" s="39">
        <f t="shared" si="65"/>
        <v>0.30138888888888887</v>
      </c>
      <c r="AK100" s="37">
        <f t="shared" si="56"/>
        <v>0.62489186575707945</v>
      </c>
      <c r="AL100" s="37">
        <f t="shared" si="57"/>
        <v>0.24954999999999999</v>
      </c>
      <c r="AM100" s="37">
        <f t="shared" si="58"/>
        <v>4.5814800000000003E-2</v>
      </c>
      <c r="AN100" s="40">
        <f t="shared" si="66"/>
        <v>0.29536479999999998</v>
      </c>
      <c r="AO100" s="39">
        <f t="shared" si="59"/>
        <v>4.6858781266723659E-2</v>
      </c>
      <c r="AP100" s="37">
        <f t="shared" si="60"/>
        <v>6.6521250000000009E-3</v>
      </c>
      <c r="AQ100" s="40">
        <f t="shared" si="61"/>
        <v>2.2499999999999998E-3</v>
      </c>
      <c r="AR100" s="39">
        <f t="shared" si="67"/>
        <v>0.51355141434664764</v>
      </c>
      <c r="AS100" s="37">
        <f t="shared" si="68"/>
        <v>5.4249999999999998</v>
      </c>
      <c r="AT100" s="40">
        <f t="shared" si="69"/>
        <v>91.352244368786899</v>
      </c>
    </row>
    <row r="101" spans="17:46" x14ac:dyDescent="0.3">
      <c r="Q101">
        <v>94</v>
      </c>
      <c r="R101" s="39">
        <f t="shared" si="45"/>
        <v>20</v>
      </c>
      <c r="S101" s="37">
        <f t="shared" si="46"/>
        <v>0.27416666666666667</v>
      </c>
      <c r="T101" s="37">
        <f t="shared" si="47"/>
        <v>5</v>
      </c>
      <c r="U101" s="40">
        <f t="shared" si="48"/>
        <v>1.2185185185185186</v>
      </c>
      <c r="V101" s="39">
        <f t="shared" si="49"/>
        <v>2</v>
      </c>
      <c r="W101" s="37">
        <f t="shared" si="50"/>
        <v>0.75</v>
      </c>
      <c r="X101" s="40">
        <f t="shared" si="51"/>
        <v>0.25</v>
      </c>
      <c r="Y101" s="39">
        <f t="shared" si="52"/>
        <v>1.1415525114155252</v>
      </c>
      <c r="Z101" s="37">
        <f t="shared" si="71"/>
        <v>1.7892947742262812</v>
      </c>
      <c r="AA101" s="37">
        <f t="shared" si="72"/>
        <v>1.2622925801885854</v>
      </c>
      <c r="AB101" s="37">
        <v>0</v>
      </c>
      <c r="AC101" s="37">
        <f t="shared" si="53"/>
        <v>0.11950369184993671</v>
      </c>
      <c r="AD101" s="40">
        <f t="shared" si="62"/>
        <v>0.11950369184993671</v>
      </c>
      <c r="AE101" s="39">
        <f t="shared" si="70"/>
        <v>0.91388888888888897</v>
      </c>
      <c r="AF101" s="37">
        <f t="shared" si="63"/>
        <v>1.0931774414519206</v>
      </c>
      <c r="AG101" s="37">
        <f t="shared" si="54"/>
        <v>5.8556809006469011E-3</v>
      </c>
      <c r="AH101" s="37">
        <f t="shared" si="55"/>
        <v>3.9963699952112686E-2</v>
      </c>
      <c r="AI101" s="40">
        <f t="shared" si="64"/>
        <v>4.5819380852759585E-2</v>
      </c>
      <c r="AJ101" s="39">
        <f t="shared" si="65"/>
        <v>0.30462962962962964</v>
      </c>
      <c r="AK101" s="37">
        <f t="shared" si="56"/>
        <v>0.63114629009429268</v>
      </c>
      <c r="AL101" s="37">
        <f t="shared" si="57"/>
        <v>0.25223333333333336</v>
      </c>
      <c r="AM101" s="37">
        <f t="shared" si="58"/>
        <v>4.5814800000000003E-2</v>
      </c>
      <c r="AN101" s="40">
        <f t="shared" si="66"/>
        <v>0.29804813333333335</v>
      </c>
      <c r="AO101" s="39">
        <f t="shared" si="59"/>
        <v>4.7801476739974702E-2</v>
      </c>
      <c r="AP101" s="37">
        <f t="shared" si="60"/>
        <v>6.6521250000000009E-3</v>
      </c>
      <c r="AQ101" s="40">
        <f t="shared" si="61"/>
        <v>2.2499999999999998E-3</v>
      </c>
      <c r="AR101" s="39">
        <f t="shared" si="67"/>
        <v>0.52007480777600434</v>
      </c>
      <c r="AS101" s="37">
        <f t="shared" si="68"/>
        <v>5.4833333333333334</v>
      </c>
      <c r="AT101" s="40">
        <f t="shared" si="69"/>
        <v>91.337007320646663</v>
      </c>
    </row>
    <row r="102" spans="17:46" x14ac:dyDescent="0.3">
      <c r="Q102">
        <v>95</v>
      </c>
      <c r="R102" s="39">
        <f t="shared" si="45"/>
        <v>20</v>
      </c>
      <c r="S102" s="37">
        <f t="shared" si="46"/>
        <v>0.27708333333333335</v>
      </c>
      <c r="T102" s="37">
        <f t="shared" si="47"/>
        <v>5</v>
      </c>
      <c r="U102" s="40">
        <f t="shared" si="48"/>
        <v>1.2314814814814816</v>
      </c>
      <c r="V102" s="39">
        <f t="shared" si="49"/>
        <v>2</v>
      </c>
      <c r="W102" s="37">
        <f t="shared" si="50"/>
        <v>0.75</v>
      </c>
      <c r="X102" s="40">
        <f t="shared" si="51"/>
        <v>0.25</v>
      </c>
      <c r="Y102" s="39">
        <f t="shared" si="52"/>
        <v>1.1415525114155252</v>
      </c>
      <c r="Z102" s="37">
        <f t="shared" si="71"/>
        <v>1.8022577371892443</v>
      </c>
      <c r="AA102" s="37">
        <f t="shared" si="72"/>
        <v>1.2748105024898468</v>
      </c>
      <c r="AB102" s="37">
        <v>0</v>
      </c>
      <c r="AC102" s="37">
        <f t="shared" si="53"/>
        <v>0.12188563629438118</v>
      </c>
      <c r="AD102" s="40">
        <f t="shared" si="62"/>
        <v>0.12188563629438118</v>
      </c>
      <c r="AE102" s="39">
        <f t="shared" si="70"/>
        <v>0.92361111111111116</v>
      </c>
      <c r="AF102" s="37">
        <f t="shared" si="63"/>
        <v>1.1040182801674128</v>
      </c>
      <c r="AG102" s="37">
        <f t="shared" si="54"/>
        <v>5.9723961784246792E-3</v>
      </c>
      <c r="AH102" s="37">
        <f t="shared" si="55"/>
        <v>4.0388845696284106E-2</v>
      </c>
      <c r="AI102" s="40">
        <f t="shared" si="64"/>
        <v>4.6361241874708789E-2</v>
      </c>
      <c r="AJ102" s="39">
        <f t="shared" si="65"/>
        <v>0.30787037037037041</v>
      </c>
      <c r="AK102" s="37">
        <f t="shared" si="56"/>
        <v>0.63740525124492342</v>
      </c>
      <c r="AL102" s="37">
        <f t="shared" si="57"/>
        <v>0.25491666666666668</v>
      </c>
      <c r="AM102" s="37">
        <f t="shared" si="58"/>
        <v>4.5814800000000003E-2</v>
      </c>
      <c r="AN102" s="40">
        <f t="shared" si="66"/>
        <v>0.30073146666666667</v>
      </c>
      <c r="AO102" s="39">
        <f t="shared" si="59"/>
        <v>4.8754254517752477E-2</v>
      </c>
      <c r="AP102" s="37">
        <f t="shared" si="60"/>
        <v>6.6521250000000009E-3</v>
      </c>
      <c r="AQ102" s="40">
        <f t="shared" si="61"/>
        <v>2.2499999999999998E-3</v>
      </c>
      <c r="AR102" s="39">
        <f t="shared" si="67"/>
        <v>0.52663472435350911</v>
      </c>
      <c r="AS102" s="37">
        <f t="shared" si="68"/>
        <v>5.541666666666667</v>
      </c>
      <c r="AT102" s="40">
        <f t="shared" si="69"/>
        <v>91.321546336956516</v>
      </c>
    </row>
    <row r="103" spans="17:46" x14ac:dyDescent="0.3">
      <c r="Q103">
        <v>96</v>
      </c>
      <c r="R103" s="39">
        <f t="shared" si="45"/>
        <v>20</v>
      </c>
      <c r="S103" s="37">
        <f t="shared" ref="S103:S134" si="73">Q103*$O$12</f>
        <v>0.28000000000000003</v>
      </c>
      <c r="T103" s="37">
        <f t="shared" si="47"/>
        <v>5</v>
      </c>
      <c r="U103" s="40">
        <f t="shared" ref="U103:U134" si="74">(R103*S103)/(T103*EFF_est)</f>
        <v>1.2444444444444445</v>
      </c>
      <c r="V103" s="39">
        <f t="shared" ref="V103:V134" si="75">IF((S103*R103/T103)&lt;((T103*(1-(T103/R103)))/(2*Lm*Fsw)),1,2)</f>
        <v>2</v>
      </c>
      <c r="W103" s="37">
        <f t="shared" ref="W103:W134" si="76">CHOOSE(V103,SQRT((2*S103*Lm*Fsw*(R103-T103))/((T103)^2)),1-(T103/R103))</f>
        <v>0.75</v>
      </c>
      <c r="X103" s="40">
        <f t="shared" ref="X103:X134" si="77">CHOOSE(V103,(Lm*W103*Fsw)/(R103-T103),1-W103)</f>
        <v>0.25</v>
      </c>
      <c r="Y103" s="39">
        <f t="shared" ref="Y103:Y134" si="78">(T103*W103)/(Lm*Fsw)</f>
        <v>1.1415525114155252</v>
      </c>
      <c r="Z103" s="37">
        <f t="shared" si="71"/>
        <v>1.8152207001522069</v>
      </c>
      <c r="AA103" s="37">
        <f t="shared" si="72"/>
        <v>1.2873372337251934</v>
      </c>
      <c r="AB103" s="37">
        <v>0</v>
      </c>
      <c r="AC103" s="37">
        <f t="shared" ref="AC103:AC134" si="79">(AA103^2)*Rdcr</f>
        <v>0.12429278650014249</v>
      </c>
      <c r="AD103" s="40">
        <f t="shared" si="62"/>
        <v>0.12429278650014249</v>
      </c>
      <c r="AE103" s="39">
        <f t="shared" si="70"/>
        <v>0.93333333333333335</v>
      </c>
      <c r="AF103" s="37">
        <f t="shared" si="63"/>
        <v>1.1148667476436025</v>
      </c>
      <c r="AG103" s="37">
        <f t="shared" ref="AG103:AG134" si="80">(AF103^2)*RDS_on</f>
        <v>6.0903465385069794E-3</v>
      </c>
      <c r="AH103" s="37">
        <f t="shared" ref="AH103:AH134" si="81">((R103*U103)/2)*Fsw*(tr_sw+tf_sw)</f>
        <v>4.0813991440455513E-2</v>
      </c>
      <c r="AI103" s="40">
        <f t="shared" si="64"/>
        <v>4.6904337978962492E-2</v>
      </c>
      <c r="AJ103" s="39">
        <f t="shared" si="65"/>
        <v>0.31111111111111112</v>
      </c>
      <c r="AK103" s="37">
        <f t="shared" ref="AK103:AK134" si="82">CHOOSE(V103,Z103*SQRT(X103/3),SQRT(X103*((Z103^2)+((Y103^2)/3)-(Y103*Z103))))</f>
        <v>0.64366861686259658</v>
      </c>
      <c r="AL103" s="37">
        <f t="shared" ref="AL103:AL134" si="83">S103*Vd_rect</f>
        <v>0.25760000000000005</v>
      </c>
      <c r="AM103" s="37">
        <f t="shared" ref="AM103:AM134" si="84">CHOOSE(V103,(R103+Vd_rect)*Qrr*Fsw,(R103+Vd_rect)*Qrr*Fsw)</f>
        <v>4.5814800000000003E-2</v>
      </c>
      <c r="AN103" s="40">
        <f t="shared" si="66"/>
        <v>0.30341480000000004</v>
      </c>
      <c r="AO103" s="39">
        <f t="shared" ref="AO103:AO134" si="85">(AF103^2)*R_cs</f>
        <v>4.9717114600056969E-2</v>
      </c>
      <c r="AP103" s="37">
        <f t="shared" ref="AP103:AP134" si="86">Qg_tot*Vcc*Fsw</f>
        <v>6.6521250000000009E-3</v>
      </c>
      <c r="AQ103" s="40">
        <f t="shared" ref="AQ103:AQ134" si="87">IQ*T103</f>
        <v>2.2499999999999998E-3</v>
      </c>
      <c r="AR103" s="39">
        <f t="shared" si="67"/>
        <v>0.53323116407916193</v>
      </c>
      <c r="AS103" s="37">
        <f t="shared" si="68"/>
        <v>5.6000000000000005</v>
      </c>
      <c r="AT103" s="40">
        <f t="shared" si="69"/>
        <v>91.305868802040806</v>
      </c>
    </row>
    <row r="104" spans="17:46" x14ac:dyDescent="0.3">
      <c r="Q104">
        <v>97</v>
      </c>
      <c r="R104" s="39">
        <f t="shared" si="45"/>
        <v>20</v>
      </c>
      <c r="S104" s="37">
        <f t="shared" si="73"/>
        <v>0.28291666666666671</v>
      </c>
      <c r="T104" s="37">
        <f t="shared" si="47"/>
        <v>5</v>
      </c>
      <c r="U104" s="40">
        <f t="shared" si="74"/>
        <v>1.2574074074074075</v>
      </c>
      <c r="V104" s="39">
        <f t="shared" si="75"/>
        <v>2</v>
      </c>
      <c r="W104" s="37">
        <f t="shared" si="76"/>
        <v>0.75</v>
      </c>
      <c r="X104" s="40">
        <f t="shared" si="77"/>
        <v>0.25</v>
      </c>
      <c r="Y104" s="39">
        <f t="shared" si="78"/>
        <v>1.1415525114155252</v>
      </c>
      <c r="Z104" s="37">
        <f t="shared" si="71"/>
        <v>1.82818366311517</v>
      </c>
      <c r="AA104" s="37">
        <f t="shared" si="72"/>
        <v>1.2998725192224079</v>
      </c>
      <c r="AB104" s="37">
        <v>0</v>
      </c>
      <c r="AC104" s="37">
        <f t="shared" si="79"/>
        <v>0.12672514246722069</v>
      </c>
      <c r="AD104" s="40">
        <f t="shared" si="62"/>
        <v>0.12672514246722069</v>
      </c>
      <c r="AE104" s="39">
        <f t="shared" si="70"/>
        <v>0.94305555555555565</v>
      </c>
      <c r="AF104" s="37">
        <f t="shared" si="63"/>
        <v>1.1257226233278812</v>
      </c>
      <c r="AG104" s="37">
        <f t="shared" si="80"/>
        <v>6.2095319808938131E-3</v>
      </c>
      <c r="AH104" s="37">
        <f t="shared" si="81"/>
        <v>4.1239137184626927E-2</v>
      </c>
      <c r="AI104" s="40">
        <f t="shared" si="64"/>
        <v>4.7448669165520742E-2</v>
      </c>
      <c r="AJ104" s="39">
        <f t="shared" si="65"/>
        <v>0.31435185185185188</v>
      </c>
      <c r="AK104" s="37">
        <f t="shared" si="82"/>
        <v>0.64993625961120394</v>
      </c>
      <c r="AL104" s="37">
        <f t="shared" si="83"/>
        <v>0.26028333333333337</v>
      </c>
      <c r="AM104" s="37">
        <f t="shared" si="84"/>
        <v>4.5814800000000003E-2</v>
      </c>
      <c r="AN104" s="40">
        <f t="shared" si="66"/>
        <v>0.30609813333333336</v>
      </c>
      <c r="AO104" s="39">
        <f t="shared" si="85"/>
        <v>5.069005698688827E-2</v>
      </c>
      <c r="AP104" s="37">
        <f t="shared" si="86"/>
        <v>6.6521250000000009E-3</v>
      </c>
      <c r="AQ104" s="40">
        <f t="shared" si="87"/>
        <v>2.2499999999999998E-3</v>
      </c>
      <c r="AR104" s="39">
        <f t="shared" si="67"/>
        <v>0.53986412695296304</v>
      </c>
      <c r="AS104" s="37">
        <f t="shared" si="68"/>
        <v>5.6583333333333341</v>
      </c>
      <c r="AT104" s="40">
        <f t="shared" si="69"/>
        <v>91.289981798546521</v>
      </c>
    </row>
    <row r="105" spans="17:46" x14ac:dyDescent="0.3">
      <c r="Q105">
        <v>98</v>
      </c>
      <c r="R105" s="39">
        <f t="shared" si="45"/>
        <v>20</v>
      </c>
      <c r="S105" s="37">
        <f t="shared" si="73"/>
        <v>0.28583333333333333</v>
      </c>
      <c r="T105" s="37">
        <f t="shared" si="47"/>
        <v>5</v>
      </c>
      <c r="U105" s="40">
        <f t="shared" si="74"/>
        <v>1.2703703703703704</v>
      </c>
      <c r="V105" s="39">
        <f t="shared" si="75"/>
        <v>2</v>
      </c>
      <c r="W105" s="37">
        <f t="shared" si="76"/>
        <v>0.75</v>
      </c>
      <c r="X105" s="40">
        <f t="shared" si="77"/>
        <v>0.25</v>
      </c>
      <c r="Y105" s="39">
        <f t="shared" si="78"/>
        <v>1.1415525114155252</v>
      </c>
      <c r="Z105" s="37">
        <f t="shared" si="71"/>
        <v>1.8411466260781331</v>
      </c>
      <c r="AA105" s="37">
        <f t="shared" si="72"/>
        <v>1.3124161138684418</v>
      </c>
      <c r="AB105" s="37">
        <v>0</v>
      </c>
      <c r="AC105" s="37">
        <f t="shared" si="79"/>
        <v>0.1291827041956157</v>
      </c>
      <c r="AD105" s="40">
        <f t="shared" si="62"/>
        <v>0.1291827041956157</v>
      </c>
      <c r="AE105" s="39">
        <f t="shared" si="70"/>
        <v>0.95277777777777772</v>
      </c>
      <c r="AF105" s="37">
        <f t="shared" si="63"/>
        <v>1.1365856949461215</v>
      </c>
      <c r="AG105" s="37">
        <f t="shared" si="80"/>
        <v>6.3299525055851751E-3</v>
      </c>
      <c r="AH105" s="37">
        <f t="shared" si="81"/>
        <v>4.1664282928798334E-2</v>
      </c>
      <c r="AI105" s="40">
        <f t="shared" si="64"/>
        <v>4.7994235434383511E-2</v>
      </c>
      <c r="AJ105" s="39">
        <f t="shared" si="65"/>
        <v>0.31759259259259259</v>
      </c>
      <c r="AK105" s="37">
        <f t="shared" si="82"/>
        <v>0.65620805693422102</v>
      </c>
      <c r="AL105" s="37">
        <f t="shared" si="83"/>
        <v>0.26296666666666668</v>
      </c>
      <c r="AM105" s="37">
        <f t="shared" si="84"/>
        <v>4.5814800000000003E-2</v>
      </c>
      <c r="AN105" s="40">
        <f t="shared" si="66"/>
        <v>0.30878146666666667</v>
      </c>
      <c r="AO105" s="39">
        <f t="shared" si="85"/>
        <v>5.1673081678246316E-2</v>
      </c>
      <c r="AP105" s="37">
        <f t="shared" si="86"/>
        <v>6.6521250000000009E-3</v>
      </c>
      <c r="AQ105" s="40">
        <f t="shared" si="87"/>
        <v>2.2499999999999998E-3</v>
      </c>
      <c r="AR105" s="39">
        <f t="shared" si="67"/>
        <v>0.54653361297491221</v>
      </c>
      <c r="AS105" s="37">
        <f t="shared" si="68"/>
        <v>5.7166666666666668</v>
      </c>
      <c r="AT105" s="40">
        <f t="shared" si="69"/>
        <v>91.273892122667561</v>
      </c>
    </row>
    <row r="106" spans="17:46" x14ac:dyDescent="0.3">
      <c r="Q106">
        <v>99</v>
      </c>
      <c r="R106" s="39">
        <f t="shared" si="45"/>
        <v>20</v>
      </c>
      <c r="S106" s="37">
        <f t="shared" si="73"/>
        <v>0.28875000000000001</v>
      </c>
      <c r="T106" s="37">
        <f t="shared" si="47"/>
        <v>5</v>
      </c>
      <c r="U106" s="40">
        <f t="shared" si="74"/>
        <v>1.2833333333333334</v>
      </c>
      <c r="V106" s="39">
        <f t="shared" si="75"/>
        <v>2</v>
      </c>
      <c r="W106" s="37">
        <f t="shared" si="76"/>
        <v>0.75</v>
      </c>
      <c r="X106" s="40">
        <f t="shared" si="77"/>
        <v>0.25</v>
      </c>
      <c r="Y106" s="39">
        <f t="shared" si="78"/>
        <v>1.1415525114155252</v>
      </c>
      <c r="Z106" s="37">
        <f t="shared" si="71"/>
        <v>1.8541095890410961</v>
      </c>
      <c r="AA106" s="37">
        <f t="shared" si="72"/>
        <v>1.324967781672836</v>
      </c>
      <c r="AB106" s="37">
        <v>0</v>
      </c>
      <c r="AC106" s="37">
        <f t="shared" si="79"/>
        <v>0.13166547168532769</v>
      </c>
      <c r="AD106" s="40">
        <f t="shared" si="62"/>
        <v>0.13166547168532769</v>
      </c>
      <c r="AE106" s="39">
        <f t="shared" si="70"/>
        <v>0.96250000000000013</v>
      </c>
      <c r="AF106" s="37">
        <f t="shared" si="63"/>
        <v>1.1474557581245897</v>
      </c>
      <c r="AG106" s="37">
        <f t="shared" si="80"/>
        <v>6.4516081125810566E-3</v>
      </c>
      <c r="AH106" s="37">
        <f t="shared" si="81"/>
        <v>4.2089428672969748E-2</v>
      </c>
      <c r="AI106" s="40">
        <f t="shared" si="64"/>
        <v>4.8541036785550801E-2</v>
      </c>
      <c r="AJ106" s="39">
        <f t="shared" si="65"/>
        <v>0.32083333333333336</v>
      </c>
      <c r="AK106" s="37">
        <f t="shared" si="82"/>
        <v>0.66248389083641801</v>
      </c>
      <c r="AL106" s="37">
        <f t="shared" si="83"/>
        <v>0.26565</v>
      </c>
      <c r="AM106" s="37">
        <f t="shared" si="84"/>
        <v>4.5814800000000003E-2</v>
      </c>
      <c r="AN106" s="40">
        <f t="shared" si="66"/>
        <v>0.31146479999999999</v>
      </c>
      <c r="AO106" s="39">
        <f t="shared" si="85"/>
        <v>5.2666188674131073E-2</v>
      </c>
      <c r="AP106" s="37">
        <f t="shared" si="86"/>
        <v>6.6521250000000009E-3</v>
      </c>
      <c r="AQ106" s="40">
        <f t="shared" si="87"/>
        <v>2.2499999999999998E-3</v>
      </c>
      <c r="AR106" s="39">
        <f t="shared" si="67"/>
        <v>0.55323962214500955</v>
      </c>
      <c r="AS106" s="37">
        <f t="shared" si="68"/>
        <v>5.7750000000000004</v>
      </c>
      <c r="AT106" s="40">
        <f t="shared" si="69"/>
        <v>91.257606298456125</v>
      </c>
    </row>
    <row r="107" spans="17:46" x14ac:dyDescent="0.3">
      <c r="Q107">
        <v>100</v>
      </c>
      <c r="R107" s="39">
        <f t="shared" si="45"/>
        <v>20</v>
      </c>
      <c r="S107" s="37">
        <f t="shared" si="73"/>
        <v>0.29166666666666669</v>
      </c>
      <c r="T107" s="37">
        <f t="shared" si="47"/>
        <v>5</v>
      </c>
      <c r="U107" s="40">
        <f t="shared" si="74"/>
        <v>1.2962962962962965</v>
      </c>
      <c r="V107" s="39">
        <f t="shared" si="75"/>
        <v>2</v>
      </c>
      <c r="W107" s="37">
        <f t="shared" si="76"/>
        <v>0.75</v>
      </c>
      <c r="X107" s="40">
        <f t="shared" si="77"/>
        <v>0.25</v>
      </c>
      <c r="Y107" s="39">
        <f t="shared" si="78"/>
        <v>1.1415525114155252</v>
      </c>
      <c r="Z107" s="37">
        <f t="shared" si="71"/>
        <v>1.8670725520040592</v>
      </c>
      <c r="AA107" s="37">
        <f t="shared" si="72"/>
        <v>1.3375272953544113</v>
      </c>
      <c r="AB107" s="37">
        <v>0</v>
      </c>
      <c r="AC107" s="37">
        <f t="shared" si="79"/>
        <v>0.1341734449363565</v>
      </c>
      <c r="AD107" s="40">
        <f t="shared" si="62"/>
        <v>0.1341734449363565</v>
      </c>
      <c r="AE107" s="39">
        <f t="shared" si="70"/>
        <v>0.97222222222222232</v>
      </c>
      <c r="AF107" s="37">
        <f t="shared" si="63"/>
        <v>1.1583326160320122</v>
      </c>
      <c r="AG107" s="37">
        <f t="shared" si="80"/>
        <v>6.5744988018814699E-3</v>
      </c>
      <c r="AH107" s="37">
        <f t="shared" si="81"/>
        <v>4.2514574417141168E-2</v>
      </c>
      <c r="AI107" s="40">
        <f t="shared" si="64"/>
        <v>4.9089073219022637E-2</v>
      </c>
      <c r="AJ107" s="39">
        <f t="shared" si="65"/>
        <v>0.32407407407407413</v>
      </c>
      <c r="AK107" s="37">
        <f t="shared" si="82"/>
        <v>0.66876364767720575</v>
      </c>
      <c r="AL107" s="37">
        <f t="shared" si="83"/>
        <v>0.26833333333333337</v>
      </c>
      <c r="AM107" s="37">
        <f t="shared" si="84"/>
        <v>4.5814800000000003E-2</v>
      </c>
      <c r="AN107" s="40">
        <f t="shared" si="66"/>
        <v>0.31414813333333336</v>
      </c>
      <c r="AO107" s="39">
        <f t="shared" si="85"/>
        <v>5.3669377974542604E-2</v>
      </c>
      <c r="AP107" s="37">
        <f t="shared" si="86"/>
        <v>6.6521250000000009E-3</v>
      </c>
      <c r="AQ107" s="40">
        <f t="shared" si="87"/>
        <v>2.2499999999999998E-3</v>
      </c>
      <c r="AR107" s="39">
        <f t="shared" si="67"/>
        <v>0.55998215446325506</v>
      </c>
      <c r="AS107" s="37">
        <f t="shared" si="68"/>
        <v>5.8333333333333339</v>
      </c>
      <c r="AT107" s="40">
        <f t="shared" si="69"/>
        <v>91.241130591284971</v>
      </c>
    </row>
    <row r="108" spans="17:46" x14ac:dyDescent="0.3">
      <c r="Q108">
        <v>101</v>
      </c>
      <c r="R108" s="39">
        <f t="shared" si="45"/>
        <v>20</v>
      </c>
      <c r="S108" s="37">
        <f t="shared" si="73"/>
        <v>0.29458333333333336</v>
      </c>
      <c r="T108" s="37">
        <f t="shared" si="47"/>
        <v>5</v>
      </c>
      <c r="U108" s="40">
        <f t="shared" si="74"/>
        <v>1.3092592592592593</v>
      </c>
      <c r="V108" s="39">
        <f t="shared" si="75"/>
        <v>2</v>
      </c>
      <c r="W108" s="37">
        <f t="shared" si="76"/>
        <v>0.75</v>
      </c>
      <c r="X108" s="40">
        <f t="shared" si="77"/>
        <v>0.25</v>
      </c>
      <c r="Y108" s="39">
        <f t="shared" si="78"/>
        <v>1.1415525114155252</v>
      </c>
      <c r="Z108" s="37">
        <f t="shared" si="71"/>
        <v>1.8800355149670218</v>
      </c>
      <c r="AA108" s="37">
        <f t="shared" si="72"/>
        <v>1.3500944359498321</v>
      </c>
      <c r="AB108" s="37">
        <v>0</v>
      </c>
      <c r="AC108" s="37">
        <f t="shared" si="79"/>
        <v>0.13670662394870214</v>
      </c>
      <c r="AD108" s="40">
        <f t="shared" si="62"/>
        <v>0.13670662394870214</v>
      </c>
      <c r="AE108" s="39">
        <f t="shared" si="70"/>
        <v>0.98194444444444451</v>
      </c>
      <c r="AF108" s="37">
        <f t="shared" si="63"/>
        <v>1.1692160790405772</v>
      </c>
      <c r="AG108" s="37">
        <f t="shared" si="80"/>
        <v>6.6986245734864062E-3</v>
      </c>
      <c r="AH108" s="37">
        <f t="shared" si="81"/>
        <v>4.2939720161312575E-2</v>
      </c>
      <c r="AI108" s="40">
        <f t="shared" si="64"/>
        <v>4.963834473479898E-2</v>
      </c>
      <c r="AJ108" s="39">
        <f t="shared" si="65"/>
        <v>0.32731481481481484</v>
      </c>
      <c r="AK108" s="37">
        <f t="shared" si="82"/>
        <v>0.67504721797491596</v>
      </c>
      <c r="AL108" s="37">
        <f t="shared" si="83"/>
        <v>0.27101666666666668</v>
      </c>
      <c r="AM108" s="37">
        <f t="shared" si="84"/>
        <v>4.5814800000000003E-2</v>
      </c>
      <c r="AN108" s="40">
        <f t="shared" si="66"/>
        <v>0.31683146666666667</v>
      </c>
      <c r="AO108" s="39">
        <f t="shared" si="85"/>
        <v>5.4682649579480859E-2</v>
      </c>
      <c r="AP108" s="37">
        <f t="shared" si="86"/>
        <v>6.6521250000000009E-3</v>
      </c>
      <c r="AQ108" s="40">
        <f t="shared" si="87"/>
        <v>2.2499999999999998E-3</v>
      </c>
      <c r="AR108" s="39">
        <f t="shared" si="67"/>
        <v>0.56676120992964873</v>
      </c>
      <c r="AS108" s="37">
        <f t="shared" si="68"/>
        <v>5.8916666666666675</v>
      </c>
      <c r="AT108" s="40">
        <f t="shared" si="69"/>
        <v>91.224471020518081</v>
      </c>
    </row>
    <row r="109" spans="17:46" x14ac:dyDescent="0.3">
      <c r="Q109">
        <v>102</v>
      </c>
      <c r="R109" s="39">
        <f t="shared" si="45"/>
        <v>20</v>
      </c>
      <c r="S109" s="37">
        <f t="shared" si="73"/>
        <v>0.29749999999999999</v>
      </c>
      <c r="T109" s="37">
        <f t="shared" si="47"/>
        <v>5</v>
      </c>
      <c r="U109" s="40">
        <f t="shared" si="74"/>
        <v>1.322222222222222</v>
      </c>
      <c r="V109" s="39">
        <f t="shared" si="75"/>
        <v>2</v>
      </c>
      <c r="W109" s="37">
        <f t="shared" si="76"/>
        <v>0.75</v>
      </c>
      <c r="X109" s="40">
        <f t="shared" si="77"/>
        <v>0.25</v>
      </c>
      <c r="Y109" s="39">
        <f t="shared" si="78"/>
        <v>1.1415525114155252</v>
      </c>
      <c r="Z109" s="37">
        <f t="shared" si="71"/>
        <v>1.8929984779299844</v>
      </c>
      <c r="AA109" s="37">
        <f t="shared" si="72"/>
        <v>1.3626689924427215</v>
      </c>
      <c r="AB109" s="37">
        <v>0</v>
      </c>
      <c r="AC109" s="37">
        <f t="shared" si="79"/>
        <v>0.13926500872236464</v>
      </c>
      <c r="AD109" s="40">
        <f t="shared" si="62"/>
        <v>0.13926500872236464</v>
      </c>
      <c r="AE109" s="39">
        <f t="shared" si="70"/>
        <v>0.99166666666666647</v>
      </c>
      <c r="AF109" s="37">
        <f t="shared" si="63"/>
        <v>1.180105964404742</v>
      </c>
      <c r="AG109" s="37">
        <f t="shared" si="80"/>
        <v>6.8239854273958673E-3</v>
      </c>
      <c r="AH109" s="37">
        <f t="shared" si="81"/>
        <v>4.3364865905483975E-2</v>
      </c>
      <c r="AI109" s="40">
        <f t="shared" si="64"/>
        <v>5.0188851332879841E-2</v>
      </c>
      <c r="AJ109" s="39">
        <f t="shared" si="65"/>
        <v>0.33055555555555549</v>
      </c>
      <c r="AK109" s="37">
        <f t="shared" si="82"/>
        <v>0.68133449622136066</v>
      </c>
      <c r="AL109" s="37">
        <f t="shared" si="83"/>
        <v>0.2737</v>
      </c>
      <c r="AM109" s="37">
        <f t="shared" si="84"/>
        <v>4.5814800000000003E-2</v>
      </c>
      <c r="AN109" s="40">
        <f t="shared" si="66"/>
        <v>0.31951479999999999</v>
      </c>
      <c r="AO109" s="39">
        <f t="shared" si="85"/>
        <v>5.5706003488945853E-2</v>
      </c>
      <c r="AP109" s="37">
        <f t="shared" si="86"/>
        <v>6.6521250000000009E-3</v>
      </c>
      <c r="AQ109" s="40">
        <f t="shared" si="87"/>
        <v>2.2499999999999998E-3</v>
      </c>
      <c r="AR109" s="39">
        <f t="shared" si="67"/>
        <v>0.57357678854419036</v>
      </c>
      <c r="AS109" s="37">
        <f t="shared" si="68"/>
        <v>5.9499999999999993</v>
      </c>
      <c r="AT109" s="40">
        <f t="shared" si="69"/>
        <v>91.207633371443919</v>
      </c>
    </row>
    <row r="110" spans="17:46" x14ac:dyDescent="0.3">
      <c r="Q110">
        <v>103</v>
      </c>
      <c r="R110" s="39">
        <f t="shared" si="45"/>
        <v>20</v>
      </c>
      <c r="S110" s="37">
        <f t="shared" si="73"/>
        <v>0.30041666666666667</v>
      </c>
      <c r="T110" s="37">
        <f t="shared" si="47"/>
        <v>5</v>
      </c>
      <c r="U110" s="40">
        <f t="shared" si="74"/>
        <v>1.335185185185185</v>
      </c>
      <c r="V110" s="39">
        <f t="shared" si="75"/>
        <v>2</v>
      </c>
      <c r="W110" s="37">
        <f t="shared" si="76"/>
        <v>0.75</v>
      </c>
      <c r="X110" s="40">
        <f t="shared" si="77"/>
        <v>0.25</v>
      </c>
      <c r="Y110" s="39">
        <f t="shared" si="78"/>
        <v>1.1415525114155252</v>
      </c>
      <c r="Z110" s="37">
        <f t="shared" si="71"/>
        <v>1.9059614408929475</v>
      </c>
      <c r="AA110" s="37">
        <f t="shared" si="72"/>
        <v>1.3752507614121099</v>
      </c>
      <c r="AB110" s="37">
        <v>0</v>
      </c>
      <c r="AC110" s="37">
        <f t="shared" si="79"/>
        <v>0.14184859925734408</v>
      </c>
      <c r="AD110" s="40">
        <f t="shared" si="62"/>
        <v>0.14184859925734408</v>
      </c>
      <c r="AE110" s="39">
        <f t="shared" si="70"/>
        <v>1.0013888888888887</v>
      </c>
      <c r="AF110" s="37">
        <f t="shared" si="63"/>
        <v>1.1910020959567791</v>
      </c>
      <c r="AG110" s="37">
        <f t="shared" si="80"/>
        <v>6.9505813636098609E-3</v>
      </c>
      <c r="AH110" s="37">
        <f t="shared" si="81"/>
        <v>4.3790011649655396E-2</v>
      </c>
      <c r="AI110" s="40">
        <f t="shared" si="64"/>
        <v>5.0740593013265257E-2</v>
      </c>
      <c r="AJ110" s="39">
        <f t="shared" si="65"/>
        <v>0.33379629629629626</v>
      </c>
      <c r="AK110" s="37">
        <f t="shared" si="82"/>
        <v>0.68762538070605483</v>
      </c>
      <c r="AL110" s="37">
        <f t="shared" si="83"/>
        <v>0.27638333333333337</v>
      </c>
      <c r="AM110" s="37">
        <f t="shared" si="84"/>
        <v>4.5814800000000003E-2</v>
      </c>
      <c r="AN110" s="40">
        <f t="shared" si="66"/>
        <v>0.32219813333333336</v>
      </c>
      <c r="AO110" s="39">
        <f t="shared" si="85"/>
        <v>5.6739439702937634E-2</v>
      </c>
      <c r="AP110" s="37">
        <f t="shared" si="86"/>
        <v>6.6521250000000009E-3</v>
      </c>
      <c r="AQ110" s="40">
        <f t="shared" si="87"/>
        <v>2.2499999999999998E-3</v>
      </c>
      <c r="AR110" s="39">
        <f t="shared" si="67"/>
        <v>0.58042889030688039</v>
      </c>
      <c r="AS110" s="37">
        <f t="shared" si="68"/>
        <v>6.0083333333333329</v>
      </c>
      <c r="AT110" s="40">
        <f t="shared" si="69"/>
        <v>91.190623206520868</v>
      </c>
    </row>
    <row r="111" spans="17:46" x14ac:dyDescent="0.3">
      <c r="Q111">
        <v>104</v>
      </c>
      <c r="R111" s="39">
        <f t="shared" si="45"/>
        <v>20</v>
      </c>
      <c r="S111" s="37">
        <f t="shared" si="73"/>
        <v>0.30333333333333334</v>
      </c>
      <c r="T111" s="37">
        <f t="shared" si="47"/>
        <v>5</v>
      </c>
      <c r="U111" s="40">
        <f t="shared" si="74"/>
        <v>1.3481481481481481</v>
      </c>
      <c r="V111" s="39">
        <f t="shared" si="75"/>
        <v>2</v>
      </c>
      <c r="W111" s="37">
        <f t="shared" si="76"/>
        <v>0.75</v>
      </c>
      <c r="X111" s="40">
        <f t="shared" si="77"/>
        <v>0.25</v>
      </c>
      <c r="Y111" s="39">
        <f t="shared" si="78"/>
        <v>1.1415525114155252</v>
      </c>
      <c r="Z111" s="37">
        <f t="shared" si="71"/>
        <v>1.9189244038559106</v>
      </c>
      <c r="AA111" s="37">
        <f t="shared" si="72"/>
        <v>1.3878395466990672</v>
      </c>
      <c r="AB111" s="37">
        <v>0</v>
      </c>
      <c r="AC111" s="37">
        <f t="shared" si="79"/>
        <v>0.1444573955536404</v>
      </c>
      <c r="AD111" s="40">
        <f t="shared" si="62"/>
        <v>0.1444573955536404</v>
      </c>
      <c r="AE111" s="39">
        <f t="shared" si="70"/>
        <v>1.0111111111111111</v>
      </c>
      <c r="AF111" s="37">
        <f t="shared" si="63"/>
        <v>1.2019043038180719</v>
      </c>
      <c r="AG111" s="37">
        <f t="shared" si="80"/>
        <v>7.0784123821283811E-3</v>
      </c>
      <c r="AH111" s="37">
        <f t="shared" si="81"/>
        <v>4.4215157393826802E-2</v>
      </c>
      <c r="AI111" s="40">
        <f t="shared" si="64"/>
        <v>5.1293569775955186E-2</v>
      </c>
      <c r="AJ111" s="39">
        <f t="shared" si="65"/>
        <v>0.33703703703703702</v>
      </c>
      <c r="AK111" s="37">
        <f t="shared" si="82"/>
        <v>0.69391977334953359</v>
      </c>
      <c r="AL111" s="37">
        <f t="shared" si="83"/>
        <v>0.27906666666666669</v>
      </c>
      <c r="AM111" s="37">
        <f t="shared" si="84"/>
        <v>4.5814800000000003E-2</v>
      </c>
      <c r="AN111" s="40">
        <f t="shared" si="66"/>
        <v>0.32488146666666667</v>
      </c>
      <c r="AO111" s="39">
        <f t="shared" si="85"/>
        <v>5.7782958221456168E-2</v>
      </c>
      <c r="AP111" s="37">
        <f t="shared" si="86"/>
        <v>6.6521250000000009E-3</v>
      </c>
      <c r="AQ111" s="40">
        <f t="shared" si="87"/>
        <v>2.2499999999999998E-3</v>
      </c>
      <c r="AR111" s="39">
        <f t="shared" si="67"/>
        <v>0.58731751521771847</v>
      </c>
      <c r="AS111" s="37">
        <f t="shared" si="68"/>
        <v>6.0666666666666664</v>
      </c>
      <c r="AT111" s="40">
        <f t="shared" si="69"/>
        <v>91.173445875980548</v>
      </c>
    </row>
    <row r="112" spans="17:46" x14ac:dyDescent="0.3">
      <c r="Q112">
        <v>105</v>
      </c>
      <c r="R112" s="39">
        <f t="shared" si="45"/>
        <v>20</v>
      </c>
      <c r="S112" s="37">
        <f t="shared" si="73"/>
        <v>0.30625000000000002</v>
      </c>
      <c r="T112" s="37">
        <f t="shared" si="47"/>
        <v>5</v>
      </c>
      <c r="U112" s="40">
        <f t="shared" si="74"/>
        <v>1.3611111111111112</v>
      </c>
      <c r="V112" s="39">
        <f t="shared" si="75"/>
        <v>2</v>
      </c>
      <c r="W112" s="37">
        <f t="shared" si="76"/>
        <v>0.75</v>
      </c>
      <c r="X112" s="40">
        <f t="shared" si="77"/>
        <v>0.25</v>
      </c>
      <c r="Y112" s="39">
        <f t="shared" si="78"/>
        <v>1.1415525114155252</v>
      </c>
      <c r="Z112" s="37">
        <f t="shared" si="71"/>
        <v>1.9318873668188736</v>
      </c>
      <c r="AA112" s="37">
        <f t="shared" si="72"/>
        <v>1.4004351590904573</v>
      </c>
      <c r="AB112" s="37">
        <v>0</v>
      </c>
      <c r="AC112" s="37">
        <f t="shared" si="79"/>
        <v>0.14709139761125359</v>
      </c>
      <c r="AD112" s="40">
        <f t="shared" si="62"/>
        <v>0.14709139761125359</v>
      </c>
      <c r="AE112" s="39">
        <f t="shared" si="70"/>
        <v>1.0208333333333335</v>
      </c>
      <c r="AF112" s="37">
        <f t="shared" si="63"/>
        <v>1.2128124241252378</v>
      </c>
      <c r="AG112" s="37">
        <f t="shared" si="80"/>
        <v>7.2074784829514269E-3</v>
      </c>
      <c r="AH112" s="37">
        <f t="shared" si="81"/>
        <v>4.4640303137998209E-2</v>
      </c>
      <c r="AI112" s="40">
        <f t="shared" si="64"/>
        <v>5.1847781620949634E-2</v>
      </c>
      <c r="AJ112" s="39">
        <f t="shared" si="65"/>
        <v>0.34027777777777779</v>
      </c>
      <c r="AK112" s="37">
        <f t="shared" si="82"/>
        <v>0.70021757954522856</v>
      </c>
      <c r="AL112" s="37">
        <f t="shared" si="83"/>
        <v>0.28175000000000006</v>
      </c>
      <c r="AM112" s="37">
        <f t="shared" si="84"/>
        <v>4.5814800000000003E-2</v>
      </c>
      <c r="AN112" s="40">
        <f t="shared" si="66"/>
        <v>0.32756480000000004</v>
      </c>
      <c r="AO112" s="39">
        <f t="shared" si="85"/>
        <v>5.8836559044501434E-2</v>
      </c>
      <c r="AP112" s="37">
        <f t="shared" si="86"/>
        <v>6.6521250000000009E-3</v>
      </c>
      <c r="AQ112" s="40">
        <f t="shared" si="87"/>
        <v>2.2499999999999998E-3</v>
      </c>
      <c r="AR112" s="39">
        <f t="shared" si="67"/>
        <v>0.59424266327670461</v>
      </c>
      <c r="AS112" s="37">
        <f t="shared" si="68"/>
        <v>6.125</v>
      </c>
      <c r="AT112" s="40">
        <f t="shared" si="69"/>
        <v>91.156106527831284</v>
      </c>
    </row>
    <row r="113" spans="17:46" x14ac:dyDescent="0.3">
      <c r="Q113">
        <v>106</v>
      </c>
      <c r="R113" s="39">
        <f t="shared" si="45"/>
        <v>20</v>
      </c>
      <c r="S113" s="37">
        <f t="shared" si="73"/>
        <v>0.3091666666666667</v>
      </c>
      <c r="T113" s="37">
        <f t="shared" si="47"/>
        <v>5</v>
      </c>
      <c r="U113" s="40">
        <f t="shared" si="74"/>
        <v>1.3740740740740742</v>
      </c>
      <c r="V113" s="39">
        <f t="shared" si="75"/>
        <v>2</v>
      </c>
      <c r="W113" s="37">
        <f t="shared" si="76"/>
        <v>0.75</v>
      </c>
      <c r="X113" s="40">
        <f t="shared" si="77"/>
        <v>0.25</v>
      </c>
      <c r="Y113" s="39">
        <f t="shared" si="78"/>
        <v>1.1415525114155252</v>
      </c>
      <c r="Z113" s="37">
        <f t="shared" si="71"/>
        <v>1.9448503297818367</v>
      </c>
      <c r="AA113" s="37">
        <f t="shared" si="72"/>
        <v>1.4130374160188099</v>
      </c>
      <c r="AB113" s="37">
        <v>0</v>
      </c>
      <c r="AC113" s="37">
        <f t="shared" si="79"/>
        <v>0.14975060543018365</v>
      </c>
      <c r="AD113" s="40">
        <f t="shared" si="62"/>
        <v>0.14975060543018365</v>
      </c>
      <c r="AE113" s="39">
        <f t="shared" si="70"/>
        <v>1.0305555555555557</v>
      </c>
      <c r="AF113" s="37">
        <f t="shared" si="63"/>
        <v>1.2237262987702096</v>
      </c>
      <c r="AG113" s="37">
        <f t="shared" si="80"/>
        <v>7.3377796660789984E-3</v>
      </c>
      <c r="AH113" s="37">
        <f t="shared" si="81"/>
        <v>4.506544888216963E-2</v>
      </c>
      <c r="AI113" s="40">
        <f t="shared" si="64"/>
        <v>5.240322854824863E-2</v>
      </c>
      <c r="AJ113" s="39">
        <f t="shared" si="65"/>
        <v>0.34351851851851856</v>
      </c>
      <c r="AK113" s="37">
        <f t="shared" si="82"/>
        <v>0.70651870800940497</v>
      </c>
      <c r="AL113" s="37">
        <f t="shared" si="83"/>
        <v>0.28443333333333337</v>
      </c>
      <c r="AM113" s="37">
        <f t="shared" si="84"/>
        <v>4.5814800000000003E-2</v>
      </c>
      <c r="AN113" s="40">
        <f t="shared" si="66"/>
        <v>0.33024813333333336</v>
      </c>
      <c r="AO113" s="39">
        <f t="shared" si="85"/>
        <v>5.9900242172073445E-2</v>
      </c>
      <c r="AP113" s="37">
        <f t="shared" si="86"/>
        <v>6.6521250000000009E-3</v>
      </c>
      <c r="AQ113" s="40">
        <f t="shared" si="87"/>
        <v>2.2499999999999998E-3</v>
      </c>
      <c r="AR113" s="39">
        <f t="shared" si="67"/>
        <v>0.60120433448383903</v>
      </c>
      <c r="AS113" s="37">
        <f t="shared" si="68"/>
        <v>6.1833333333333336</v>
      </c>
      <c r="AT113" s="40">
        <f t="shared" si="69"/>
        <v>91.138610117301226</v>
      </c>
    </row>
    <row r="114" spans="17:46" x14ac:dyDescent="0.3">
      <c r="Q114">
        <v>107</v>
      </c>
      <c r="R114" s="39">
        <f t="shared" si="45"/>
        <v>20</v>
      </c>
      <c r="S114" s="37">
        <f t="shared" si="73"/>
        <v>0.31208333333333332</v>
      </c>
      <c r="T114" s="37">
        <f t="shared" si="47"/>
        <v>5</v>
      </c>
      <c r="U114" s="40">
        <f t="shared" si="74"/>
        <v>1.3870370370370368</v>
      </c>
      <c r="V114" s="39">
        <f t="shared" si="75"/>
        <v>2</v>
      </c>
      <c r="W114" s="37">
        <f t="shared" si="76"/>
        <v>0.75</v>
      </c>
      <c r="X114" s="40">
        <f t="shared" si="77"/>
        <v>0.25</v>
      </c>
      <c r="Y114" s="39">
        <f t="shared" si="78"/>
        <v>1.1415525114155252</v>
      </c>
      <c r="Z114" s="37">
        <f t="shared" si="71"/>
        <v>1.9578132927447993</v>
      </c>
      <c r="AA114" s="37">
        <f t="shared" si="72"/>
        <v>1.4256461412773764</v>
      </c>
      <c r="AB114" s="37">
        <v>0</v>
      </c>
      <c r="AC114" s="37">
        <f t="shared" si="79"/>
        <v>0.15243501901043049</v>
      </c>
      <c r="AD114" s="40">
        <f t="shared" si="62"/>
        <v>0.15243501901043049</v>
      </c>
      <c r="AE114" s="39">
        <f t="shared" si="70"/>
        <v>1.0402777777777776</v>
      </c>
      <c r="AF114" s="37">
        <f t="shared" si="63"/>
        <v>1.2346457751534667</v>
      </c>
      <c r="AG114" s="37">
        <f t="shared" si="80"/>
        <v>7.4693159315110946E-3</v>
      </c>
      <c r="AH114" s="37">
        <f t="shared" si="81"/>
        <v>4.549059462634103E-2</v>
      </c>
      <c r="AI114" s="40">
        <f t="shared" si="64"/>
        <v>5.2959910557852125E-2</v>
      </c>
      <c r="AJ114" s="39">
        <f t="shared" si="65"/>
        <v>0.34675925925925921</v>
      </c>
      <c r="AK114" s="37">
        <f t="shared" si="82"/>
        <v>0.71282307063868822</v>
      </c>
      <c r="AL114" s="37">
        <f t="shared" si="83"/>
        <v>0.28711666666666669</v>
      </c>
      <c r="AM114" s="37">
        <f t="shared" si="84"/>
        <v>4.5814800000000003E-2</v>
      </c>
      <c r="AN114" s="40">
        <f t="shared" si="66"/>
        <v>0.33293146666666668</v>
      </c>
      <c r="AO114" s="39">
        <f t="shared" si="85"/>
        <v>6.0974007604172195E-2</v>
      </c>
      <c r="AP114" s="37">
        <f t="shared" si="86"/>
        <v>6.6521250000000009E-3</v>
      </c>
      <c r="AQ114" s="40">
        <f t="shared" si="87"/>
        <v>2.2499999999999998E-3</v>
      </c>
      <c r="AR114" s="39">
        <f t="shared" si="67"/>
        <v>0.6082025288391214</v>
      </c>
      <c r="AS114" s="37">
        <f t="shared" si="68"/>
        <v>6.2416666666666663</v>
      </c>
      <c r="AT114" s="40">
        <f t="shared" si="69"/>
        <v>91.120961415757193</v>
      </c>
    </row>
    <row r="115" spans="17:46" x14ac:dyDescent="0.3">
      <c r="Q115">
        <v>108</v>
      </c>
      <c r="R115" s="39">
        <f t="shared" si="45"/>
        <v>20</v>
      </c>
      <c r="S115" s="37">
        <f t="shared" si="73"/>
        <v>0.315</v>
      </c>
      <c r="T115" s="37">
        <f t="shared" si="47"/>
        <v>5</v>
      </c>
      <c r="U115" s="40">
        <f t="shared" si="74"/>
        <v>1.4</v>
      </c>
      <c r="V115" s="39">
        <f t="shared" si="75"/>
        <v>2</v>
      </c>
      <c r="W115" s="37">
        <f t="shared" si="76"/>
        <v>0.75</v>
      </c>
      <c r="X115" s="40">
        <f t="shared" si="77"/>
        <v>0.25</v>
      </c>
      <c r="Y115" s="39">
        <f t="shared" si="78"/>
        <v>1.1415525114155252</v>
      </c>
      <c r="Z115" s="37">
        <f t="shared" si="71"/>
        <v>1.9707762557077624</v>
      </c>
      <c r="AA115" s="37">
        <f t="shared" si="72"/>
        <v>1.4382611647495009</v>
      </c>
      <c r="AB115" s="37">
        <v>0</v>
      </c>
      <c r="AC115" s="37">
        <f t="shared" si="79"/>
        <v>0.15514463835199432</v>
      </c>
      <c r="AD115" s="40">
        <f t="shared" si="62"/>
        <v>0.15514463835199432</v>
      </c>
      <c r="AE115" s="39">
        <f t="shared" si="70"/>
        <v>1.0499999999999998</v>
      </c>
      <c r="AF115" s="37">
        <f t="shared" si="63"/>
        <v>1.2455707059496635</v>
      </c>
      <c r="AG115" s="37">
        <f t="shared" si="80"/>
        <v>7.6020872792477217E-3</v>
      </c>
      <c r="AH115" s="37">
        <f t="shared" si="81"/>
        <v>4.5915740370512451E-2</v>
      </c>
      <c r="AI115" s="40">
        <f t="shared" si="64"/>
        <v>5.3517827649760173E-2</v>
      </c>
      <c r="AJ115" s="39">
        <f t="shared" si="65"/>
        <v>0.35</v>
      </c>
      <c r="AK115" s="37">
        <f t="shared" si="82"/>
        <v>0.71913058237475036</v>
      </c>
      <c r="AL115" s="37">
        <f t="shared" si="83"/>
        <v>0.2898</v>
      </c>
      <c r="AM115" s="37">
        <f t="shared" si="84"/>
        <v>4.5814800000000003E-2</v>
      </c>
      <c r="AN115" s="40">
        <f t="shared" si="66"/>
        <v>0.33561479999999999</v>
      </c>
      <c r="AO115" s="39">
        <f t="shared" si="85"/>
        <v>6.2057855340797725E-2</v>
      </c>
      <c r="AP115" s="37">
        <f t="shared" si="86"/>
        <v>6.6521250000000009E-3</v>
      </c>
      <c r="AQ115" s="40">
        <f t="shared" si="87"/>
        <v>2.2499999999999998E-3</v>
      </c>
      <c r="AR115" s="39">
        <f t="shared" si="67"/>
        <v>0.61523724634255217</v>
      </c>
      <c r="AS115" s="37">
        <f t="shared" si="68"/>
        <v>6.3</v>
      </c>
      <c r="AT115" s="40">
        <f t="shared" si="69"/>
        <v>91.103165019132931</v>
      </c>
    </row>
    <row r="116" spans="17:46" x14ac:dyDescent="0.3">
      <c r="Q116">
        <v>109</v>
      </c>
      <c r="R116" s="39">
        <f t="shared" si="45"/>
        <v>20</v>
      </c>
      <c r="S116" s="37">
        <f t="shared" si="73"/>
        <v>0.31791666666666668</v>
      </c>
      <c r="T116" s="37">
        <f t="shared" si="47"/>
        <v>5</v>
      </c>
      <c r="U116" s="40">
        <f t="shared" si="74"/>
        <v>1.412962962962963</v>
      </c>
      <c r="V116" s="39">
        <f t="shared" si="75"/>
        <v>2</v>
      </c>
      <c r="W116" s="37">
        <f t="shared" si="76"/>
        <v>0.75</v>
      </c>
      <c r="X116" s="40">
        <f t="shared" si="77"/>
        <v>0.25</v>
      </c>
      <c r="Y116" s="39">
        <f t="shared" si="78"/>
        <v>1.1415525114155252</v>
      </c>
      <c r="Z116" s="37">
        <f t="shared" si="71"/>
        <v>1.9837392186707254</v>
      </c>
      <c r="AA116" s="37">
        <f t="shared" si="72"/>
        <v>1.4508823221514786</v>
      </c>
      <c r="AB116" s="37">
        <v>0</v>
      </c>
      <c r="AC116" s="37">
        <f t="shared" si="79"/>
        <v>0.15787946345487502</v>
      </c>
      <c r="AD116" s="40">
        <f t="shared" si="62"/>
        <v>0.15787946345487502</v>
      </c>
      <c r="AE116" s="39">
        <f t="shared" si="70"/>
        <v>1.0597222222222222</v>
      </c>
      <c r="AF116" s="37">
        <f t="shared" si="63"/>
        <v>1.2565009488849381</v>
      </c>
      <c r="AG116" s="37">
        <f t="shared" si="80"/>
        <v>7.7360937092888753E-3</v>
      </c>
      <c r="AH116" s="37">
        <f t="shared" si="81"/>
        <v>4.6340886114683864E-2</v>
      </c>
      <c r="AI116" s="40">
        <f t="shared" si="64"/>
        <v>5.4076979823972741E-2</v>
      </c>
      <c r="AJ116" s="39">
        <f t="shared" si="65"/>
        <v>0.35324074074074074</v>
      </c>
      <c r="AK116" s="37">
        <f t="shared" si="82"/>
        <v>0.72544116107573919</v>
      </c>
      <c r="AL116" s="37">
        <f t="shared" si="83"/>
        <v>0.29248333333333337</v>
      </c>
      <c r="AM116" s="37">
        <f t="shared" si="84"/>
        <v>4.5814800000000003E-2</v>
      </c>
      <c r="AN116" s="40">
        <f t="shared" si="66"/>
        <v>0.33829813333333336</v>
      </c>
      <c r="AO116" s="39">
        <f t="shared" si="85"/>
        <v>6.3151785381949987E-2</v>
      </c>
      <c r="AP116" s="37">
        <f t="shared" si="86"/>
        <v>6.6521250000000009E-3</v>
      </c>
      <c r="AQ116" s="40">
        <f t="shared" si="87"/>
        <v>2.2499999999999998E-3</v>
      </c>
      <c r="AR116" s="39">
        <f t="shared" si="67"/>
        <v>0.6223084869941311</v>
      </c>
      <c r="AS116" s="37">
        <f t="shared" si="68"/>
        <v>6.3583333333333334</v>
      </c>
      <c r="AT116" s="40">
        <f t="shared" si="69"/>
        <v>91.085225355898018</v>
      </c>
    </row>
    <row r="117" spans="17:46" x14ac:dyDescent="0.3">
      <c r="Q117">
        <v>110</v>
      </c>
      <c r="R117" s="39">
        <f t="shared" si="45"/>
        <v>20</v>
      </c>
      <c r="S117" s="37">
        <f t="shared" si="73"/>
        <v>0.32083333333333336</v>
      </c>
      <c r="T117" s="37">
        <f t="shared" si="47"/>
        <v>5</v>
      </c>
      <c r="U117" s="40">
        <f t="shared" si="74"/>
        <v>1.425925925925926</v>
      </c>
      <c r="V117" s="39">
        <f t="shared" si="75"/>
        <v>2</v>
      </c>
      <c r="W117" s="37">
        <f t="shared" si="76"/>
        <v>0.75</v>
      </c>
      <c r="X117" s="40">
        <f t="shared" si="77"/>
        <v>0.25</v>
      </c>
      <c r="Y117" s="39">
        <f t="shared" si="78"/>
        <v>1.1415525114155252</v>
      </c>
      <c r="Z117" s="37">
        <f t="shared" si="71"/>
        <v>1.9967021816336885</v>
      </c>
      <c r="AA117" s="37">
        <f t="shared" si="72"/>
        <v>1.4635094547881473</v>
      </c>
      <c r="AB117" s="37">
        <v>0</v>
      </c>
      <c r="AC117" s="37">
        <f t="shared" si="79"/>
        <v>0.16063949431907251</v>
      </c>
      <c r="AD117" s="40">
        <f t="shared" si="62"/>
        <v>0.16063949431907251</v>
      </c>
      <c r="AE117" s="39">
        <f t="shared" si="70"/>
        <v>1.0694444444444446</v>
      </c>
      <c r="AF117" s="37">
        <f t="shared" si="63"/>
        <v>1.267436366525249</v>
      </c>
      <c r="AG117" s="37">
        <f t="shared" si="80"/>
        <v>7.8713352216345563E-3</v>
      </c>
      <c r="AH117" s="37">
        <f t="shared" si="81"/>
        <v>4.6766031858855278E-2</v>
      </c>
      <c r="AI117" s="40">
        <f t="shared" si="64"/>
        <v>5.4637367080489836E-2</v>
      </c>
      <c r="AJ117" s="39">
        <f t="shared" si="65"/>
        <v>0.35648148148148151</v>
      </c>
      <c r="AK117" s="37">
        <f t="shared" si="82"/>
        <v>0.73175472739407366</v>
      </c>
      <c r="AL117" s="37">
        <f t="shared" si="83"/>
        <v>0.29516666666666669</v>
      </c>
      <c r="AM117" s="37">
        <f t="shared" si="84"/>
        <v>4.5814800000000003E-2</v>
      </c>
      <c r="AN117" s="40">
        <f t="shared" si="66"/>
        <v>0.34098146666666668</v>
      </c>
      <c r="AO117" s="39">
        <f t="shared" si="85"/>
        <v>6.4255797727629016E-2</v>
      </c>
      <c r="AP117" s="37">
        <f t="shared" si="86"/>
        <v>6.6521250000000009E-3</v>
      </c>
      <c r="AQ117" s="40">
        <f t="shared" si="87"/>
        <v>2.2499999999999998E-3</v>
      </c>
      <c r="AR117" s="39">
        <f t="shared" si="67"/>
        <v>0.62941625079385799</v>
      </c>
      <c r="AS117" s="37">
        <f t="shared" si="68"/>
        <v>6.416666666666667</v>
      </c>
      <c r="AT117" s="40">
        <f t="shared" si="69"/>
        <v>91.067146694596303</v>
      </c>
    </row>
    <row r="118" spans="17:46" x14ac:dyDescent="0.3">
      <c r="Q118">
        <v>111</v>
      </c>
      <c r="R118" s="39">
        <f t="shared" si="45"/>
        <v>20</v>
      </c>
      <c r="S118" s="37">
        <f t="shared" si="73"/>
        <v>0.32375000000000004</v>
      </c>
      <c r="T118" s="37">
        <f t="shared" si="47"/>
        <v>5</v>
      </c>
      <c r="U118" s="40">
        <f t="shared" si="74"/>
        <v>1.4388888888888891</v>
      </c>
      <c r="V118" s="39">
        <f t="shared" si="75"/>
        <v>2</v>
      </c>
      <c r="W118" s="37">
        <f t="shared" si="76"/>
        <v>0.75</v>
      </c>
      <c r="X118" s="40">
        <f t="shared" si="77"/>
        <v>0.25</v>
      </c>
      <c r="Y118" s="39">
        <f t="shared" si="78"/>
        <v>1.1415525114155252</v>
      </c>
      <c r="Z118" s="37">
        <f t="shared" si="71"/>
        <v>2.0096651445966516</v>
      </c>
      <c r="AA118" s="37">
        <f t="shared" si="72"/>
        <v>1.4761424093204873</v>
      </c>
      <c r="AB118" s="37">
        <v>0</v>
      </c>
      <c r="AC118" s="37">
        <f t="shared" si="79"/>
        <v>0.16342473094458701</v>
      </c>
      <c r="AD118" s="40">
        <f t="shared" si="62"/>
        <v>0.16342473094458701</v>
      </c>
      <c r="AE118" s="39">
        <f t="shared" si="70"/>
        <v>1.0791666666666668</v>
      </c>
      <c r="AF118" s="37">
        <f t="shared" si="63"/>
        <v>1.2783768260751089</v>
      </c>
      <c r="AG118" s="37">
        <f t="shared" si="80"/>
        <v>8.0078118162847604E-3</v>
      </c>
      <c r="AH118" s="37">
        <f t="shared" si="81"/>
        <v>4.7191177603026692E-2</v>
      </c>
      <c r="AI118" s="40">
        <f t="shared" si="64"/>
        <v>5.5198989419311451E-2</v>
      </c>
      <c r="AJ118" s="39">
        <f t="shared" si="65"/>
        <v>0.35972222222222228</v>
      </c>
      <c r="AK118" s="37">
        <f t="shared" si="82"/>
        <v>0.73807120466024345</v>
      </c>
      <c r="AL118" s="37">
        <f t="shared" si="83"/>
        <v>0.29785000000000006</v>
      </c>
      <c r="AM118" s="37">
        <f t="shared" si="84"/>
        <v>4.5814800000000003E-2</v>
      </c>
      <c r="AN118" s="40">
        <f t="shared" si="66"/>
        <v>0.34366480000000005</v>
      </c>
      <c r="AO118" s="39">
        <f t="shared" si="85"/>
        <v>6.5369892377834776E-2</v>
      </c>
      <c r="AP118" s="37">
        <f t="shared" si="86"/>
        <v>6.6521250000000009E-3</v>
      </c>
      <c r="AQ118" s="40">
        <f t="shared" si="87"/>
        <v>2.2499999999999998E-3</v>
      </c>
      <c r="AR118" s="39">
        <f t="shared" si="67"/>
        <v>0.63656053774173327</v>
      </c>
      <c r="AS118" s="37">
        <f t="shared" si="68"/>
        <v>6.4750000000000005</v>
      </c>
      <c r="AT118" s="40">
        <f t="shared" si="69"/>
        <v>91.048933150980787</v>
      </c>
    </row>
    <row r="119" spans="17:46" x14ac:dyDescent="0.3">
      <c r="Q119">
        <v>112</v>
      </c>
      <c r="R119" s="39">
        <f t="shared" si="45"/>
        <v>20</v>
      </c>
      <c r="S119" s="37">
        <f t="shared" si="73"/>
        <v>0.32666666666666666</v>
      </c>
      <c r="T119" s="37">
        <f t="shared" si="47"/>
        <v>5</v>
      </c>
      <c r="U119" s="40">
        <f t="shared" si="74"/>
        <v>1.4518518518518517</v>
      </c>
      <c r="V119" s="39">
        <f t="shared" si="75"/>
        <v>2</v>
      </c>
      <c r="W119" s="37">
        <f t="shared" si="76"/>
        <v>0.75</v>
      </c>
      <c r="X119" s="40">
        <f t="shared" si="77"/>
        <v>0.25</v>
      </c>
      <c r="Y119" s="39">
        <f t="shared" si="78"/>
        <v>1.1415525114155252</v>
      </c>
      <c r="Z119" s="37">
        <f t="shared" si="71"/>
        <v>2.0226281075596142</v>
      </c>
      <c r="AA119" s="37">
        <f t="shared" si="72"/>
        <v>1.4887810375445552</v>
      </c>
      <c r="AB119" s="37">
        <v>0</v>
      </c>
      <c r="AC119" s="37">
        <f t="shared" si="79"/>
        <v>0.16623517333141816</v>
      </c>
      <c r="AD119" s="40">
        <f t="shared" si="62"/>
        <v>0.16623517333141816</v>
      </c>
      <c r="AE119" s="39">
        <f t="shared" si="70"/>
        <v>1.0888888888888888</v>
      </c>
      <c r="AF119" s="37">
        <f t="shared" si="63"/>
        <v>1.2893221991861388</v>
      </c>
      <c r="AG119" s="37">
        <f t="shared" si="80"/>
        <v>8.1455234932394892E-3</v>
      </c>
      <c r="AH119" s="37">
        <f t="shared" si="81"/>
        <v>4.7616323347198099E-2</v>
      </c>
      <c r="AI119" s="40">
        <f t="shared" si="64"/>
        <v>5.5761846840437584E-2</v>
      </c>
      <c r="AJ119" s="39">
        <f t="shared" si="65"/>
        <v>0.36296296296296293</v>
      </c>
      <c r="AK119" s="37">
        <f t="shared" si="82"/>
        <v>0.74439051877227758</v>
      </c>
      <c r="AL119" s="37">
        <f t="shared" si="83"/>
        <v>0.30053333333333332</v>
      </c>
      <c r="AM119" s="37">
        <f t="shared" si="84"/>
        <v>4.5814800000000003E-2</v>
      </c>
      <c r="AN119" s="40">
        <f t="shared" si="66"/>
        <v>0.34634813333333331</v>
      </c>
      <c r="AO119" s="39">
        <f t="shared" si="85"/>
        <v>6.6494069332567254E-2</v>
      </c>
      <c r="AP119" s="37">
        <f t="shared" si="86"/>
        <v>6.6521250000000009E-3</v>
      </c>
      <c r="AQ119" s="40">
        <f t="shared" si="87"/>
        <v>2.2499999999999998E-3</v>
      </c>
      <c r="AR119" s="39">
        <f t="shared" si="67"/>
        <v>0.64374134783775627</v>
      </c>
      <c r="AS119" s="37">
        <f t="shared" si="68"/>
        <v>6.5333333333333332</v>
      </c>
      <c r="AT119" s="40">
        <f t="shared" si="69"/>
        <v>91.030588694770046</v>
      </c>
    </row>
    <row r="120" spans="17:46" x14ac:dyDescent="0.3">
      <c r="Q120">
        <v>113</v>
      </c>
      <c r="R120" s="39">
        <f t="shared" si="45"/>
        <v>20</v>
      </c>
      <c r="S120" s="37">
        <f t="shared" si="73"/>
        <v>0.32958333333333334</v>
      </c>
      <c r="T120" s="37">
        <f t="shared" si="47"/>
        <v>5</v>
      </c>
      <c r="U120" s="40">
        <f t="shared" si="74"/>
        <v>1.4648148148148148</v>
      </c>
      <c r="V120" s="39">
        <f t="shared" si="75"/>
        <v>2</v>
      </c>
      <c r="W120" s="37">
        <f t="shared" si="76"/>
        <v>0.75</v>
      </c>
      <c r="X120" s="40">
        <f t="shared" si="77"/>
        <v>0.25</v>
      </c>
      <c r="Y120" s="39">
        <f t="shared" si="78"/>
        <v>1.1415525114155252</v>
      </c>
      <c r="Z120" s="37">
        <f t="shared" si="71"/>
        <v>2.0355910705225773</v>
      </c>
      <c r="AA120" s="37">
        <f t="shared" si="72"/>
        <v>1.5014251961811322</v>
      </c>
      <c r="AB120" s="37">
        <v>0</v>
      </c>
      <c r="AC120" s="37">
        <f t="shared" si="79"/>
        <v>0.16907082147956637</v>
      </c>
      <c r="AD120" s="40">
        <f t="shared" si="62"/>
        <v>0.16907082147956637</v>
      </c>
      <c r="AE120" s="39">
        <f t="shared" si="70"/>
        <v>1.098611111111111</v>
      </c>
      <c r="AF120" s="37">
        <f t="shared" si="63"/>
        <v>1.3002723617748948</v>
      </c>
      <c r="AG120" s="37">
        <f t="shared" si="80"/>
        <v>8.2844702524987497E-3</v>
      </c>
      <c r="AH120" s="37">
        <f t="shared" si="81"/>
        <v>4.8041469091369512E-2</v>
      </c>
      <c r="AI120" s="40">
        <f t="shared" si="64"/>
        <v>5.6325939343868259E-2</v>
      </c>
      <c r="AJ120" s="39">
        <f t="shared" si="65"/>
        <v>0.3662037037037037</v>
      </c>
      <c r="AK120" s="37">
        <f t="shared" si="82"/>
        <v>0.75071259809056601</v>
      </c>
      <c r="AL120" s="37">
        <f t="shared" si="83"/>
        <v>0.30321666666666669</v>
      </c>
      <c r="AM120" s="37">
        <f t="shared" si="84"/>
        <v>4.5814800000000003E-2</v>
      </c>
      <c r="AN120" s="40">
        <f t="shared" si="66"/>
        <v>0.34903146666666668</v>
      </c>
      <c r="AO120" s="39">
        <f t="shared" si="85"/>
        <v>6.762832859182652E-2</v>
      </c>
      <c r="AP120" s="37">
        <f t="shared" si="86"/>
        <v>6.6521250000000009E-3</v>
      </c>
      <c r="AQ120" s="40">
        <f t="shared" si="87"/>
        <v>2.2499999999999998E-3</v>
      </c>
      <c r="AR120" s="39">
        <f t="shared" si="67"/>
        <v>0.65095868108192778</v>
      </c>
      <c r="AS120" s="37">
        <f t="shared" si="68"/>
        <v>6.5916666666666668</v>
      </c>
      <c r="AT120" s="40">
        <f t="shared" si="69"/>
        <v>91.0121171560492</v>
      </c>
    </row>
    <row r="121" spans="17:46" x14ac:dyDescent="0.3">
      <c r="Q121">
        <v>114</v>
      </c>
      <c r="R121" s="39">
        <f t="shared" si="45"/>
        <v>20</v>
      </c>
      <c r="S121" s="37">
        <f t="shared" si="73"/>
        <v>0.33250000000000002</v>
      </c>
      <c r="T121" s="37">
        <f t="shared" si="47"/>
        <v>5</v>
      </c>
      <c r="U121" s="40">
        <f t="shared" si="74"/>
        <v>1.4777777777777779</v>
      </c>
      <c r="V121" s="39">
        <f t="shared" si="75"/>
        <v>2</v>
      </c>
      <c r="W121" s="37">
        <f t="shared" si="76"/>
        <v>0.75</v>
      </c>
      <c r="X121" s="40">
        <f t="shared" si="77"/>
        <v>0.25</v>
      </c>
      <c r="Y121" s="39">
        <f t="shared" si="78"/>
        <v>1.1415525114155252</v>
      </c>
      <c r="Z121" s="37">
        <f t="shared" si="71"/>
        <v>2.0485540334855403</v>
      </c>
      <c r="AA121" s="37">
        <f t="shared" si="72"/>
        <v>1.5140747466754798</v>
      </c>
      <c r="AB121" s="37">
        <v>0</v>
      </c>
      <c r="AC121" s="37">
        <f t="shared" si="79"/>
        <v>0.1719316753890314</v>
      </c>
      <c r="AD121" s="40">
        <f t="shared" si="62"/>
        <v>0.1719316753890314</v>
      </c>
      <c r="AE121" s="39">
        <f t="shared" si="70"/>
        <v>1.1083333333333334</v>
      </c>
      <c r="AF121" s="37">
        <f t="shared" si="63"/>
        <v>1.311227193849454</v>
      </c>
      <c r="AG121" s="37">
        <f t="shared" si="80"/>
        <v>8.4246520940625385E-3</v>
      </c>
      <c r="AH121" s="37">
        <f t="shared" si="81"/>
        <v>4.8466614835540926E-2</v>
      </c>
      <c r="AI121" s="40">
        <f t="shared" si="64"/>
        <v>5.6891266929603466E-2</v>
      </c>
      <c r="AJ121" s="39">
        <f t="shared" si="65"/>
        <v>0.36944444444444446</v>
      </c>
      <c r="AK121" s="37">
        <f t="shared" si="82"/>
        <v>0.75703737333773979</v>
      </c>
      <c r="AL121" s="37">
        <f t="shared" si="83"/>
        <v>0.30590000000000001</v>
      </c>
      <c r="AM121" s="37">
        <f t="shared" si="84"/>
        <v>4.5814800000000003E-2</v>
      </c>
      <c r="AN121" s="40">
        <f t="shared" si="66"/>
        <v>0.35171479999999999</v>
      </c>
      <c r="AO121" s="39">
        <f t="shared" si="85"/>
        <v>6.8772670155612545E-2</v>
      </c>
      <c r="AP121" s="37">
        <f t="shared" si="86"/>
        <v>6.6521250000000009E-3</v>
      </c>
      <c r="AQ121" s="40">
        <f t="shared" si="87"/>
        <v>2.2499999999999998E-3</v>
      </c>
      <c r="AR121" s="39">
        <f t="shared" si="67"/>
        <v>0.65821253747424735</v>
      </c>
      <c r="AS121" s="37">
        <f t="shared" si="68"/>
        <v>6.65</v>
      </c>
      <c r="AT121" s="40">
        <f t="shared" si="69"/>
        <v>90.993522231337181</v>
      </c>
    </row>
    <row r="122" spans="17:46" x14ac:dyDescent="0.3">
      <c r="Q122">
        <v>115</v>
      </c>
      <c r="R122" s="39">
        <f t="shared" si="45"/>
        <v>20</v>
      </c>
      <c r="S122" s="37">
        <f t="shared" si="73"/>
        <v>0.3354166666666667</v>
      </c>
      <c r="T122" s="37">
        <f t="shared" si="47"/>
        <v>5</v>
      </c>
      <c r="U122" s="40">
        <f t="shared" si="74"/>
        <v>1.4907407407407409</v>
      </c>
      <c r="V122" s="39">
        <f t="shared" si="75"/>
        <v>2</v>
      </c>
      <c r="W122" s="37">
        <f t="shared" si="76"/>
        <v>0.75</v>
      </c>
      <c r="X122" s="40">
        <f t="shared" si="77"/>
        <v>0.25</v>
      </c>
      <c r="Y122" s="39">
        <f t="shared" si="78"/>
        <v>1.1415525114155252</v>
      </c>
      <c r="Z122" s="37">
        <f t="shared" si="71"/>
        <v>2.0615169964485034</v>
      </c>
      <c r="AA122" s="37">
        <f t="shared" si="72"/>
        <v>1.5267295550066633</v>
      </c>
      <c r="AB122" s="37">
        <v>0</v>
      </c>
      <c r="AC122" s="37">
        <f t="shared" si="79"/>
        <v>0.1748177350598133</v>
      </c>
      <c r="AD122" s="40">
        <f t="shared" si="62"/>
        <v>0.1748177350598133</v>
      </c>
      <c r="AE122" s="39">
        <f t="shared" si="70"/>
        <v>1.1180555555555558</v>
      </c>
      <c r="AF122" s="37">
        <f t="shared" si="63"/>
        <v>1.3221865793442817</v>
      </c>
      <c r="AG122" s="37">
        <f t="shared" si="80"/>
        <v>8.5660690179308503E-3</v>
      </c>
      <c r="AH122" s="37">
        <f t="shared" si="81"/>
        <v>4.8891760579712333E-2</v>
      </c>
      <c r="AI122" s="40">
        <f t="shared" si="64"/>
        <v>5.7457829597643187E-2</v>
      </c>
      <c r="AJ122" s="39">
        <f t="shared" si="65"/>
        <v>0.37268518518518523</v>
      </c>
      <c r="AK122" s="37">
        <f t="shared" si="82"/>
        <v>0.76336477750333143</v>
      </c>
      <c r="AL122" s="37">
        <f t="shared" si="83"/>
        <v>0.30858333333333338</v>
      </c>
      <c r="AM122" s="37">
        <f t="shared" si="84"/>
        <v>4.5814800000000003E-2</v>
      </c>
      <c r="AN122" s="40">
        <f t="shared" si="66"/>
        <v>0.35439813333333336</v>
      </c>
      <c r="AO122" s="39">
        <f t="shared" si="85"/>
        <v>6.9927094023925301E-2</v>
      </c>
      <c r="AP122" s="37">
        <f t="shared" si="86"/>
        <v>6.6521250000000009E-3</v>
      </c>
      <c r="AQ122" s="40">
        <f t="shared" si="87"/>
        <v>2.2499999999999998E-3</v>
      </c>
      <c r="AR122" s="39">
        <f t="shared" si="67"/>
        <v>0.66550291701471509</v>
      </c>
      <c r="AS122" s="37">
        <f t="shared" si="68"/>
        <v>6.7083333333333339</v>
      </c>
      <c r="AT122" s="40">
        <f t="shared" si="69"/>
        <v>90.974807489340407</v>
      </c>
    </row>
    <row r="123" spans="17:46" x14ac:dyDescent="0.3">
      <c r="Q123">
        <v>116</v>
      </c>
      <c r="R123" s="39">
        <f t="shared" si="45"/>
        <v>20</v>
      </c>
      <c r="S123" s="37">
        <f t="shared" si="73"/>
        <v>0.33833333333333337</v>
      </c>
      <c r="T123" s="37">
        <f t="shared" si="47"/>
        <v>5</v>
      </c>
      <c r="U123" s="40">
        <f t="shared" si="74"/>
        <v>1.503703703703704</v>
      </c>
      <c r="V123" s="39">
        <f t="shared" si="75"/>
        <v>2</v>
      </c>
      <c r="W123" s="37">
        <f t="shared" si="76"/>
        <v>0.75</v>
      </c>
      <c r="X123" s="40">
        <f t="shared" si="77"/>
        <v>0.25</v>
      </c>
      <c r="Y123" s="39">
        <f t="shared" si="78"/>
        <v>1.1415525114155252</v>
      </c>
      <c r="Z123" s="37">
        <f t="shared" si="71"/>
        <v>2.0744799594114665</v>
      </c>
      <c r="AA123" s="37">
        <f t="shared" si="72"/>
        <v>1.5393894915059112</v>
      </c>
      <c r="AB123" s="37">
        <v>0</v>
      </c>
      <c r="AC123" s="37">
        <f t="shared" si="79"/>
        <v>0.17772900049191206</v>
      </c>
      <c r="AD123" s="40">
        <f t="shared" si="62"/>
        <v>0.17772900049191206</v>
      </c>
      <c r="AE123" s="39">
        <f t="shared" si="70"/>
        <v>1.127777777777778</v>
      </c>
      <c r="AF123" s="37">
        <f t="shared" si="63"/>
        <v>1.3331504059629282</v>
      </c>
      <c r="AG123" s="37">
        <f t="shared" si="80"/>
        <v>8.7087210241036904E-3</v>
      </c>
      <c r="AH123" s="37">
        <f t="shared" si="81"/>
        <v>4.9316906323883754E-2</v>
      </c>
      <c r="AI123" s="40">
        <f t="shared" si="64"/>
        <v>5.8025627347987441E-2</v>
      </c>
      <c r="AJ123" s="39">
        <f t="shared" si="65"/>
        <v>0.375925925925926</v>
      </c>
      <c r="AK123" s="37">
        <f t="shared" si="82"/>
        <v>0.76969474575295549</v>
      </c>
      <c r="AL123" s="37">
        <f t="shared" si="83"/>
        <v>0.31126666666666669</v>
      </c>
      <c r="AM123" s="37">
        <f t="shared" si="84"/>
        <v>4.5814800000000003E-2</v>
      </c>
      <c r="AN123" s="40">
        <f t="shared" si="66"/>
        <v>0.35708146666666668</v>
      </c>
      <c r="AO123" s="39">
        <f t="shared" si="85"/>
        <v>7.1091600196764818E-2</v>
      </c>
      <c r="AP123" s="37">
        <f t="shared" si="86"/>
        <v>6.6521250000000009E-3</v>
      </c>
      <c r="AQ123" s="40">
        <f t="shared" si="87"/>
        <v>2.2499999999999998E-3</v>
      </c>
      <c r="AR123" s="39">
        <f t="shared" si="67"/>
        <v>0.672829819703331</v>
      </c>
      <c r="AS123" s="37">
        <f t="shared" si="68"/>
        <v>6.7666666666666675</v>
      </c>
      <c r="AT123" s="40">
        <f t="shared" si="69"/>
        <v>90.955976376411613</v>
      </c>
    </row>
    <row r="124" spans="17:46" x14ac:dyDescent="0.3">
      <c r="Q124">
        <v>117</v>
      </c>
      <c r="R124" s="39">
        <f t="shared" si="45"/>
        <v>20</v>
      </c>
      <c r="S124" s="37">
        <f t="shared" si="73"/>
        <v>0.34125</v>
      </c>
      <c r="T124" s="37">
        <f t="shared" si="47"/>
        <v>5</v>
      </c>
      <c r="U124" s="40">
        <f t="shared" si="74"/>
        <v>1.5166666666666666</v>
      </c>
      <c r="V124" s="39">
        <f t="shared" si="75"/>
        <v>2</v>
      </c>
      <c r="W124" s="37">
        <f t="shared" si="76"/>
        <v>0.75</v>
      </c>
      <c r="X124" s="40">
        <f t="shared" si="77"/>
        <v>0.25</v>
      </c>
      <c r="Y124" s="39">
        <f t="shared" si="78"/>
        <v>1.1415525114155252</v>
      </c>
      <c r="Z124" s="37">
        <f t="shared" si="71"/>
        <v>2.0874429223744291</v>
      </c>
      <c r="AA124" s="37">
        <f t="shared" si="72"/>
        <v>1.5520544306835276</v>
      </c>
      <c r="AB124" s="37">
        <v>0</v>
      </c>
      <c r="AC124" s="37">
        <f t="shared" si="79"/>
        <v>0.18066547168532765</v>
      </c>
      <c r="AD124" s="40">
        <f t="shared" si="62"/>
        <v>0.18066547168532765</v>
      </c>
      <c r="AE124" s="39">
        <f t="shared" si="70"/>
        <v>1.1375</v>
      </c>
      <c r="AF124" s="37">
        <f t="shared" si="63"/>
        <v>1.3441185650281289</v>
      </c>
      <c r="AG124" s="37">
        <f t="shared" si="80"/>
        <v>8.8526081125810552E-3</v>
      </c>
      <c r="AH124" s="37">
        <f t="shared" si="81"/>
        <v>4.9742052068055154E-2</v>
      </c>
      <c r="AI124" s="40">
        <f t="shared" si="64"/>
        <v>5.8594660180636207E-2</v>
      </c>
      <c r="AJ124" s="39">
        <f t="shared" si="65"/>
        <v>0.37916666666666665</v>
      </c>
      <c r="AK124" s="37">
        <f t="shared" si="82"/>
        <v>0.77602721534176367</v>
      </c>
      <c r="AL124" s="37">
        <f t="shared" si="83"/>
        <v>0.31395000000000001</v>
      </c>
      <c r="AM124" s="37">
        <f t="shared" si="84"/>
        <v>4.5814800000000003E-2</v>
      </c>
      <c r="AN124" s="40">
        <f t="shared" si="66"/>
        <v>0.3597648</v>
      </c>
      <c r="AO124" s="39">
        <f t="shared" si="85"/>
        <v>7.2266188674131052E-2</v>
      </c>
      <c r="AP124" s="37">
        <f t="shared" si="86"/>
        <v>6.6521250000000009E-3</v>
      </c>
      <c r="AQ124" s="40">
        <f t="shared" si="87"/>
        <v>2.2499999999999998E-3</v>
      </c>
      <c r="AR124" s="39">
        <f t="shared" si="67"/>
        <v>0.68019324554009486</v>
      </c>
      <c r="AS124" s="37">
        <f t="shared" si="68"/>
        <v>6.8250000000000002</v>
      </c>
      <c r="AT124" s="40">
        <f t="shared" si="69"/>
        <v>90.937032221731343</v>
      </c>
    </row>
    <row r="125" spans="17:46" x14ac:dyDescent="0.3">
      <c r="Q125">
        <v>118</v>
      </c>
      <c r="R125" s="39">
        <f t="shared" si="45"/>
        <v>20</v>
      </c>
      <c r="S125" s="37">
        <f t="shared" si="73"/>
        <v>0.34416666666666668</v>
      </c>
      <c r="T125" s="37">
        <f t="shared" si="47"/>
        <v>5</v>
      </c>
      <c r="U125" s="40">
        <f t="shared" si="74"/>
        <v>1.5296296296296297</v>
      </c>
      <c r="V125" s="39">
        <f t="shared" si="75"/>
        <v>2</v>
      </c>
      <c r="W125" s="37">
        <f t="shared" si="76"/>
        <v>0.75</v>
      </c>
      <c r="X125" s="40">
        <f t="shared" si="77"/>
        <v>0.25</v>
      </c>
      <c r="Y125" s="39">
        <f t="shared" si="78"/>
        <v>1.1415525114155252</v>
      </c>
      <c r="Z125" s="37">
        <f t="shared" si="71"/>
        <v>2.1004058853373921</v>
      </c>
      <c r="AA125" s="37">
        <f t="shared" si="72"/>
        <v>1.5647242510638957</v>
      </c>
      <c r="AB125" s="37">
        <v>0</v>
      </c>
      <c r="AC125" s="37">
        <f t="shared" si="79"/>
        <v>0.18362714864006019</v>
      </c>
      <c r="AD125" s="40">
        <f t="shared" si="62"/>
        <v>0.18362714864006019</v>
      </c>
      <c r="AE125" s="39">
        <f t="shared" si="70"/>
        <v>1.1472222222222221</v>
      </c>
      <c r="AF125" s="37">
        <f t="shared" si="63"/>
        <v>1.3550909513389136</v>
      </c>
      <c r="AG125" s="37">
        <f t="shared" si="80"/>
        <v>8.9977302833629501E-3</v>
      </c>
      <c r="AH125" s="37">
        <f t="shared" si="81"/>
        <v>5.0167197812226567E-2</v>
      </c>
      <c r="AI125" s="40">
        <f t="shared" si="64"/>
        <v>5.9164928095589514E-2</v>
      </c>
      <c r="AJ125" s="39">
        <f t="shared" si="65"/>
        <v>0.38240740740740742</v>
      </c>
      <c r="AK125" s="37">
        <f t="shared" si="82"/>
        <v>0.78236212553194784</v>
      </c>
      <c r="AL125" s="37">
        <f t="shared" si="83"/>
        <v>0.31663333333333338</v>
      </c>
      <c r="AM125" s="37">
        <f t="shared" si="84"/>
        <v>4.5814800000000003E-2</v>
      </c>
      <c r="AN125" s="40">
        <f t="shared" si="66"/>
        <v>0.36244813333333337</v>
      </c>
      <c r="AO125" s="39">
        <f t="shared" si="85"/>
        <v>7.3450859456024073E-2</v>
      </c>
      <c r="AP125" s="37">
        <f t="shared" si="86"/>
        <v>6.6521250000000009E-3</v>
      </c>
      <c r="AQ125" s="40">
        <f t="shared" si="87"/>
        <v>2.2499999999999998E-3</v>
      </c>
      <c r="AR125" s="39">
        <f t="shared" si="67"/>
        <v>0.68759319452500722</v>
      </c>
      <c r="AS125" s="37">
        <f t="shared" si="68"/>
        <v>6.8833333333333337</v>
      </c>
      <c r="AT125" s="40">
        <f t="shared" si="69"/>
        <v>90.917978242228259</v>
      </c>
    </row>
    <row r="126" spans="17:46" x14ac:dyDescent="0.3">
      <c r="Q126">
        <v>119</v>
      </c>
      <c r="R126" s="39">
        <f t="shared" si="45"/>
        <v>20</v>
      </c>
      <c r="S126" s="37">
        <f t="shared" si="73"/>
        <v>0.34708333333333335</v>
      </c>
      <c r="T126" s="37">
        <f t="shared" si="47"/>
        <v>5</v>
      </c>
      <c r="U126" s="40">
        <f t="shared" si="74"/>
        <v>1.5425925925925927</v>
      </c>
      <c r="V126" s="39">
        <f t="shared" si="75"/>
        <v>2</v>
      </c>
      <c r="W126" s="37">
        <f t="shared" si="76"/>
        <v>0.75</v>
      </c>
      <c r="X126" s="40">
        <f t="shared" si="77"/>
        <v>0.25</v>
      </c>
      <c r="Y126" s="39">
        <f t="shared" si="78"/>
        <v>1.1415525114155252</v>
      </c>
      <c r="Z126" s="37">
        <f t="shared" si="71"/>
        <v>2.1133688483003552</v>
      </c>
      <c r="AA126" s="37">
        <f t="shared" si="72"/>
        <v>1.5773988350281383</v>
      </c>
      <c r="AB126" s="37">
        <v>0</v>
      </c>
      <c r="AC126" s="37">
        <f t="shared" si="79"/>
        <v>0.18661403135610957</v>
      </c>
      <c r="AD126" s="40">
        <f t="shared" si="62"/>
        <v>0.18661403135610957</v>
      </c>
      <c r="AE126" s="39">
        <f t="shared" si="70"/>
        <v>1.1569444444444446</v>
      </c>
      <c r="AF126" s="37">
        <f t="shared" si="63"/>
        <v>1.3660674630343463</v>
      </c>
      <c r="AG126" s="37">
        <f t="shared" si="80"/>
        <v>9.144087536449368E-3</v>
      </c>
      <c r="AH126" s="37">
        <f t="shared" si="81"/>
        <v>5.0592343556397981E-2</v>
      </c>
      <c r="AI126" s="40">
        <f t="shared" si="64"/>
        <v>5.9736431092847347E-2</v>
      </c>
      <c r="AJ126" s="39">
        <f t="shared" si="65"/>
        <v>0.38564814814814818</v>
      </c>
      <c r="AK126" s="37">
        <f t="shared" si="82"/>
        <v>0.78869941751406902</v>
      </c>
      <c r="AL126" s="37">
        <f t="shared" si="83"/>
        <v>0.31931666666666669</v>
      </c>
      <c r="AM126" s="37">
        <f t="shared" si="84"/>
        <v>4.5814800000000003E-2</v>
      </c>
      <c r="AN126" s="40">
        <f t="shared" si="66"/>
        <v>0.36513146666666668</v>
      </c>
      <c r="AO126" s="39">
        <f t="shared" si="85"/>
        <v>7.4645612542443812E-2</v>
      </c>
      <c r="AP126" s="37">
        <f t="shared" si="86"/>
        <v>6.6521250000000009E-3</v>
      </c>
      <c r="AQ126" s="40">
        <f t="shared" si="87"/>
        <v>2.2499999999999998E-3</v>
      </c>
      <c r="AR126" s="39">
        <f t="shared" si="67"/>
        <v>0.69502966665806731</v>
      </c>
      <c r="AS126" s="37">
        <f t="shared" si="68"/>
        <v>6.9416666666666673</v>
      </c>
      <c r="AT126" s="40">
        <f t="shared" si="69"/>
        <v>90.898817547253742</v>
      </c>
    </row>
    <row r="127" spans="17:46" x14ac:dyDescent="0.3">
      <c r="Q127">
        <v>120</v>
      </c>
      <c r="R127" s="39">
        <f t="shared" si="45"/>
        <v>20</v>
      </c>
      <c r="S127" s="37">
        <f t="shared" si="73"/>
        <v>0.35000000000000003</v>
      </c>
      <c r="T127" s="37">
        <f t="shared" si="47"/>
        <v>5</v>
      </c>
      <c r="U127" s="40">
        <f t="shared" si="74"/>
        <v>1.5555555555555558</v>
      </c>
      <c r="V127" s="39">
        <f t="shared" si="75"/>
        <v>2</v>
      </c>
      <c r="W127" s="37">
        <f t="shared" si="76"/>
        <v>0.75</v>
      </c>
      <c r="X127" s="40">
        <f t="shared" si="77"/>
        <v>0.25</v>
      </c>
      <c r="Y127" s="39">
        <f t="shared" si="78"/>
        <v>1.1415525114155252</v>
      </c>
      <c r="Z127" s="37">
        <f t="shared" si="71"/>
        <v>2.1263318112633183</v>
      </c>
      <c r="AA127" s="37">
        <f t="shared" si="72"/>
        <v>1.5900780686640341</v>
      </c>
      <c r="AB127" s="37">
        <v>0</v>
      </c>
      <c r="AC127" s="37">
        <f t="shared" si="79"/>
        <v>0.18962611983347585</v>
      </c>
      <c r="AD127" s="40">
        <f t="shared" si="62"/>
        <v>0.18962611983347585</v>
      </c>
      <c r="AE127" s="39">
        <f t="shared" si="70"/>
        <v>1.166666666666667</v>
      </c>
      <c r="AF127" s="37">
        <f t="shared" si="63"/>
        <v>1.3770480014635504</v>
      </c>
      <c r="AG127" s="37">
        <f t="shared" si="80"/>
        <v>9.2916798718403176E-3</v>
      </c>
      <c r="AH127" s="37">
        <f t="shared" si="81"/>
        <v>5.1017489300569395E-2</v>
      </c>
      <c r="AI127" s="40">
        <f t="shared" si="64"/>
        <v>6.0309169172409714E-2</v>
      </c>
      <c r="AJ127" s="39">
        <f t="shared" si="65"/>
        <v>0.38888888888888895</v>
      </c>
      <c r="AK127" s="37">
        <f t="shared" si="82"/>
        <v>0.79503903433201706</v>
      </c>
      <c r="AL127" s="37">
        <f t="shared" si="83"/>
        <v>0.32200000000000006</v>
      </c>
      <c r="AM127" s="37">
        <f t="shared" si="84"/>
        <v>4.5814800000000003E-2</v>
      </c>
      <c r="AN127" s="40">
        <f t="shared" si="66"/>
        <v>0.36781480000000005</v>
      </c>
      <c r="AO127" s="39">
        <f t="shared" si="85"/>
        <v>7.5850447933390339E-2</v>
      </c>
      <c r="AP127" s="37">
        <f t="shared" si="86"/>
        <v>6.6521250000000009E-3</v>
      </c>
      <c r="AQ127" s="40">
        <f t="shared" si="87"/>
        <v>2.2499999999999998E-3</v>
      </c>
      <c r="AR127" s="39">
        <f t="shared" si="67"/>
        <v>0.70250266193927602</v>
      </c>
      <c r="AS127" s="37">
        <f t="shared" si="68"/>
        <v>7.0000000000000009</v>
      </c>
      <c r="AT127" s="40">
        <f t="shared" si="69"/>
        <v>90.879553143024751</v>
      </c>
    </row>
    <row r="128" spans="17:46" x14ac:dyDescent="0.3">
      <c r="Q128">
        <v>121</v>
      </c>
      <c r="R128" s="39">
        <f t="shared" si="45"/>
        <v>20</v>
      </c>
      <c r="S128" s="37">
        <f t="shared" si="73"/>
        <v>0.35291666666666666</v>
      </c>
      <c r="T128" s="37">
        <f t="shared" si="47"/>
        <v>5</v>
      </c>
      <c r="U128" s="40">
        <f t="shared" si="74"/>
        <v>1.5685185185185186</v>
      </c>
      <c r="V128" s="39">
        <f t="shared" si="75"/>
        <v>2</v>
      </c>
      <c r="W128" s="37">
        <f t="shared" si="76"/>
        <v>0.75</v>
      </c>
      <c r="X128" s="40">
        <f t="shared" si="77"/>
        <v>0.25</v>
      </c>
      <c r="Y128" s="39">
        <f t="shared" si="78"/>
        <v>1.1415525114155252</v>
      </c>
      <c r="Z128" s="37">
        <f t="shared" si="71"/>
        <v>2.1392947742262813</v>
      </c>
      <c r="AA128" s="37">
        <f t="shared" si="72"/>
        <v>1.6027618416228031</v>
      </c>
      <c r="AB128" s="37">
        <v>0</v>
      </c>
      <c r="AC128" s="37">
        <f t="shared" si="79"/>
        <v>0.19266341407215895</v>
      </c>
      <c r="AD128" s="40">
        <f t="shared" si="62"/>
        <v>0.19266341407215895</v>
      </c>
      <c r="AE128" s="39">
        <f t="shared" si="70"/>
        <v>1.1763888888888889</v>
      </c>
      <c r="AF128" s="37">
        <f t="shared" si="63"/>
        <v>1.3880324710616787</v>
      </c>
      <c r="AG128" s="37">
        <f t="shared" si="80"/>
        <v>9.4405072895357919E-3</v>
      </c>
      <c r="AH128" s="37">
        <f t="shared" si="81"/>
        <v>5.1442635044740809E-2</v>
      </c>
      <c r="AI128" s="40">
        <f t="shared" si="64"/>
        <v>6.0883142334276601E-2</v>
      </c>
      <c r="AJ128" s="39">
        <f t="shared" si="65"/>
        <v>0.39212962962962966</v>
      </c>
      <c r="AK128" s="37">
        <f t="shared" si="82"/>
        <v>0.80138092081140155</v>
      </c>
      <c r="AL128" s="37">
        <f t="shared" si="83"/>
        <v>0.32468333333333332</v>
      </c>
      <c r="AM128" s="37">
        <f t="shared" si="84"/>
        <v>4.5814800000000003E-2</v>
      </c>
      <c r="AN128" s="40">
        <f t="shared" si="66"/>
        <v>0.37049813333333331</v>
      </c>
      <c r="AO128" s="39">
        <f t="shared" si="85"/>
        <v>7.7065365628863597E-2</v>
      </c>
      <c r="AP128" s="37">
        <f t="shared" si="86"/>
        <v>6.6521250000000009E-3</v>
      </c>
      <c r="AQ128" s="40">
        <f t="shared" si="87"/>
        <v>2.2499999999999998E-3</v>
      </c>
      <c r="AR128" s="39">
        <f t="shared" si="67"/>
        <v>0.71001218036863245</v>
      </c>
      <c r="AS128" s="37">
        <f t="shared" si="68"/>
        <v>7.0583333333333336</v>
      </c>
      <c r="AT128" s="40">
        <f t="shared" si="69"/>
        <v>90.860187936848348</v>
      </c>
    </row>
    <row r="129" spans="17:46" x14ac:dyDescent="0.3">
      <c r="Q129">
        <v>122</v>
      </c>
      <c r="R129" s="39">
        <f t="shared" si="45"/>
        <v>20</v>
      </c>
      <c r="S129" s="37">
        <f t="shared" si="73"/>
        <v>0.35583333333333333</v>
      </c>
      <c r="T129" s="37">
        <f t="shared" si="47"/>
        <v>5</v>
      </c>
      <c r="U129" s="40">
        <f t="shared" si="74"/>
        <v>1.5814814814814815</v>
      </c>
      <c r="V129" s="39">
        <f t="shared" si="75"/>
        <v>2</v>
      </c>
      <c r="W129" s="37">
        <f t="shared" si="76"/>
        <v>0.75</v>
      </c>
      <c r="X129" s="40">
        <f t="shared" si="77"/>
        <v>0.25</v>
      </c>
      <c r="Y129" s="39">
        <f t="shared" si="78"/>
        <v>1.1415525114155252</v>
      </c>
      <c r="Z129" s="37">
        <f t="shared" si="71"/>
        <v>2.152257737189244</v>
      </c>
      <c r="AA129" s="37">
        <f t="shared" si="72"/>
        <v>1.6154500469824042</v>
      </c>
      <c r="AB129" s="37">
        <v>0</v>
      </c>
      <c r="AC129" s="37">
        <f t="shared" si="79"/>
        <v>0.19572591407215889</v>
      </c>
      <c r="AD129" s="40">
        <f t="shared" si="62"/>
        <v>0.19572591407215889</v>
      </c>
      <c r="AE129" s="39">
        <f t="shared" si="70"/>
        <v>1.1861111111111111</v>
      </c>
      <c r="AF129" s="37">
        <f t="shared" si="63"/>
        <v>1.399020779231527</v>
      </c>
      <c r="AG129" s="37">
        <f t="shared" si="80"/>
        <v>9.5905697895357876E-3</v>
      </c>
      <c r="AH129" s="37">
        <f t="shared" si="81"/>
        <v>5.1867780788912216E-2</v>
      </c>
      <c r="AI129" s="40">
        <f t="shared" si="64"/>
        <v>6.1458350578448007E-2</v>
      </c>
      <c r="AJ129" s="39">
        <f t="shared" si="65"/>
        <v>0.39537037037037037</v>
      </c>
      <c r="AK129" s="37">
        <f t="shared" si="82"/>
        <v>0.80772502349120212</v>
      </c>
      <c r="AL129" s="37">
        <f t="shared" si="83"/>
        <v>0.32736666666666669</v>
      </c>
      <c r="AM129" s="37">
        <f t="shared" si="84"/>
        <v>4.5814800000000003E-2</v>
      </c>
      <c r="AN129" s="40">
        <f t="shared" si="66"/>
        <v>0.37318146666666668</v>
      </c>
      <c r="AO129" s="39">
        <f t="shared" si="85"/>
        <v>7.8290365628863573E-2</v>
      </c>
      <c r="AP129" s="37">
        <f t="shared" si="86"/>
        <v>6.6521250000000009E-3</v>
      </c>
      <c r="AQ129" s="40">
        <f t="shared" si="87"/>
        <v>2.2499999999999998E-3</v>
      </c>
      <c r="AR129" s="39">
        <f t="shared" si="67"/>
        <v>0.71755822194613716</v>
      </c>
      <c r="AS129" s="37">
        <f t="shared" si="68"/>
        <v>7.1166666666666671</v>
      </c>
      <c r="AT129" s="40">
        <f t="shared" si="69"/>
        <v>90.840724741140349</v>
      </c>
    </row>
    <row r="130" spans="17:46" x14ac:dyDescent="0.3">
      <c r="Q130">
        <v>123</v>
      </c>
      <c r="R130" s="39">
        <f t="shared" si="45"/>
        <v>20</v>
      </c>
      <c r="S130" s="37">
        <f t="shared" si="73"/>
        <v>0.35875000000000001</v>
      </c>
      <c r="T130" s="37">
        <f t="shared" si="47"/>
        <v>5</v>
      </c>
      <c r="U130" s="40">
        <f t="shared" si="74"/>
        <v>1.5944444444444446</v>
      </c>
      <c r="V130" s="39">
        <f t="shared" si="75"/>
        <v>2</v>
      </c>
      <c r="W130" s="37">
        <f t="shared" si="76"/>
        <v>0.75</v>
      </c>
      <c r="X130" s="40">
        <f t="shared" si="77"/>
        <v>0.25</v>
      </c>
      <c r="Y130" s="39">
        <f t="shared" si="78"/>
        <v>1.1415525114155252</v>
      </c>
      <c r="Z130" s="37">
        <f t="shared" si="71"/>
        <v>2.165220700152207</v>
      </c>
      <c r="AA130" s="37">
        <f t="shared" si="72"/>
        <v>1.6281425811170054</v>
      </c>
      <c r="AB130" s="37">
        <v>0</v>
      </c>
      <c r="AC130" s="37">
        <f t="shared" si="79"/>
        <v>0.19881361983347581</v>
      </c>
      <c r="AD130" s="40">
        <f t="shared" si="62"/>
        <v>0.19881361983347581</v>
      </c>
      <c r="AE130" s="39">
        <f t="shared" si="70"/>
        <v>1.1958333333333333</v>
      </c>
      <c r="AF130" s="37">
        <f t="shared" si="63"/>
        <v>1.4100128362304927</v>
      </c>
      <c r="AG130" s="37">
        <f t="shared" si="80"/>
        <v>9.7418673718403168E-3</v>
      </c>
      <c r="AH130" s="37">
        <f t="shared" si="81"/>
        <v>5.2292926533083636E-2</v>
      </c>
      <c r="AI130" s="40">
        <f t="shared" si="64"/>
        <v>6.2034793904923953E-2</v>
      </c>
      <c r="AJ130" s="39">
        <f t="shared" si="65"/>
        <v>0.39861111111111114</v>
      </c>
      <c r="AK130" s="37">
        <f t="shared" si="82"/>
        <v>0.81407129055850269</v>
      </c>
      <c r="AL130" s="37">
        <f t="shared" si="83"/>
        <v>0.33005000000000001</v>
      </c>
      <c r="AM130" s="37">
        <f t="shared" si="84"/>
        <v>4.5814800000000003E-2</v>
      </c>
      <c r="AN130" s="40">
        <f t="shared" si="66"/>
        <v>0.3758648</v>
      </c>
      <c r="AO130" s="39">
        <f t="shared" si="85"/>
        <v>7.9525447933390322E-2</v>
      </c>
      <c r="AP130" s="37">
        <f t="shared" si="86"/>
        <v>6.6521250000000009E-3</v>
      </c>
      <c r="AQ130" s="40">
        <f t="shared" si="87"/>
        <v>2.2499999999999998E-3</v>
      </c>
      <c r="AR130" s="39">
        <f t="shared" si="67"/>
        <v>0.72514078667179005</v>
      </c>
      <c r="AS130" s="37">
        <f t="shared" si="68"/>
        <v>7.1750000000000007</v>
      </c>
      <c r="AT130" s="40">
        <f t="shared" si="69"/>
        <v>90.821166277249588</v>
      </c>
    </row>
    <row r="131" spans="17:46" x14ac:dyDescent="0.3">
      <c r="Q131">
        <v>124</v>
      </c>
      <c r="R131" s="39">
        <f t="shared" si="45"/>
        <v>20</v>
      </c>
      <c r="S131" s="37">
        <f t="shared" si="73"/>
        <v>0.36166666666666669</v>
      </c>
      <c r="T131" s="37">
        <f t="shared" si="47"/>
        <v>5</v>
      </c>
      <c r="U131" s="40">
        <f t="shared" si="74"/>
        <v>1.6074074074074076</v>
      </c>
      <c r="V131" s="39">
        <f t="shared" si="75"/>
        <v>2</v>
      </c>
      <c r="W131" s="37">
        <f t="shared" si="76"/>
        <v>0.75</v>
      </c>
      <c r="X131" s="40">
        <f t="shared" si="77"/>
        <v>0.25</v>
      </c>
      <c r="Y131" s="39">
        <f t="shared" si="78"/>
        <v>1.1415525114155252</v>
      </c>
      <c r="Z131" s="37">
        <f t="shared" si="71"/>
        <v>2.1781836631151701</v>
      </c>
      <c r="AA131" s="37">
        <f t="shared" si="72"/>
        <v>1.6408393435723057</v>
      </c>
      <c r="AB131" s="37">
        <v>0</v>
      </c>
      <c r="AC131" s="37">
        <f t="shared" si="79"/>
        <v>0.20192653135610963</v>
      </c>
      <c r="AD131" s="40">
        <f t="shared" si="62"/>
        <v>0.20192653135610963</v>
      </c>
      <c r="AE131" s="39">
        <f t="shared" si="70"/>
        <v>1.2055555555555557</v>
      </c>
      <c r="AF131" s="37">
        <f t="shared" si="63"/>
        <v>1.4210085550625993</v>
      </c>
      <c r="AG131" s="37">
        <f t="shared" si="80"/>
        <v>9.8944000364493724E-3</v>
      </c>
      <c r="AH131" s="37">
        <f t="shared" si="81"/>
        <v>5.2718072277255043E-2</v>
      </c>
      <c r="AI131" s="40">
        <f t="shared" si="64"/>
        <v>6.2612472313704412E-2</v>
      </c>
      <c r="AJ131" s="39">
        <f t="shared" si="65"/>
        <v>0.4018518518518519</v>
      </c>
      <c r="AK131" s="37">
        <f t="shared" si="82"/>
        <v>0.82041967178615283</v>
      </c>
      <c r="AL131" s="37">
        <f t="shared" si="83"/>
        <v>0.33273333333333338</v>
      </c>
      <c r="AM131" s="37">
        <f t="shared" si="84"/>
        <v>4.5814800000000003E-2</v>
      </c>
      <c r="AN131" s="40">
        <f t="shared" si="66"/>
        <v>0.37854813333333337</v>
      </c>
      <c r="AO131" s="39">
        <f t="shared" si="85"/>
        <v>8.0770612542443845E-2</v>
      </c>
      <c r="AP131" s="37">
        <f t="shared" si="86"/>
        <v>6.6521250000000009E-3</v>
      </c>
      <c r="AQ131" s="40">
        <f t="shared" si="87"/>
        <v>2.2499999999999998E-3</v>
      </c>
      <c r="AR131" s="39">
        <f t="shared" si="67"/>
        <v>0.73275987454559122</v>
      </c>
      <c r="AS131" s="37">
        <f t="shared" si="68"/>
        <v>7.2333333333333343</v>
      </c>
      <c r="AT131" s="40">
        <f t="shared" si="69"/>
        <v>90.801515179098715</v>
      </c>
    </row>
    <row r="132" spans="17:46" x14ac:dyDescent="0.3">
      <c r="Q132">
        <v>125</v>
      </c>
      <c r="R132" s="39">
        <f t="shared" si="45"/>
        <v>20</v>
      </c>
      <c r="S132" s="37">
        <f t="shared" si="73"/>
        <v>0.36458333333333337</v>
      </c>
      <c r="T132" s="37">
        <f t="shared" si="47"/>
        <v>5</v>
      </c>
      <c r="U132" s="40">
        <f t="shared" si="74"/>
        <v>1.6203703703703707</v>
      </c>
      <c r="V132" s="39">
        <f t="shared" si="75"/>
        <v>2</v>
      </c>
      <c r="W132" s="37">
        <f t="shared" si="76"/>
        <v>0.75</v>
      </c>
      <c r="X132" s="40">
        <f t="shared" si="77"/>
        <v>0.25</v>
      </c>
      <c r="Y132" s="39">
        <f t="shared" si="78"/>
        <v>1.1415525114155252</v>
      </c>
      <c r="Z132" s="37">
        <f t="shared" si="71"/>
        <v>2.1911466260781332</v>
      </c>
      <c r="AA132" s="37">
        <f t="shared" si="72"/>
        <v>1.6535402369464141</v>
      </c>
      <c r="AB132" s="37">
        <v>0</v>
      </c>
      <c r="AC132" s="37">
        <f t="shared" si="79"/>
        <v>0.20506464864006022</v>
      </c>
      <c r="AD132" s="40">
        <f t="shared" si="62"/>
        <v>0.20506464864006022</v>
      </c>
      <c r="AE132" s="39">
        <f t="shared" si="70"/>
        <v>1.2152777777777781</v>
      </c>
      <c r="AF132" s="37">
        <f t="shared" si="63"/>
        <v>1.4320078513753345</v>
      </c>
      <c r="AG132" s="37">
        <f t="shared" si="80"/>
        <v>1.0048167783362951E-2</v>
      </c>
      <c r="AH132" s="37">
        <f t="shared" si="81"/>
        <v>5.3143218021426457E-2</v>
      </c>
      <c r="AI132" s="40">
        <f t="shared" si="64"/>
        <v>6.3191385804789404E-2</v>
      </c>
      <c r="AJ132" s="39">
        <f t="shared" si="65"/>
        <v>0.40509259259259267</v>
      </c>
      <c r="AK132" s="37">
        <f t="shared" si="82"/>
        <v>0.82677011847320692</v>
      </c>
      <c r="AL132" s="37">
        <f t="shared" si="83"/>
        <v>0.3354166666666667</v>
      </c>
      <c r="AM132" s="37">
        <f t="shared" si="84"/>
        <v>4.5814800000000003E-2</v>
      </c>
      <c r="AN132" s="40">
        <f t="shared" si="66"/>
        <v>0.38123146666666669</v>
      </c>
      <c r="AO132" s="39">
        <f t="shared" si="85"/>
        <v>8.2025859456024086E-2</v>
      </c>
      <c r="AP132" s="37">
        <f t="shared" si="86"/>
        <v>6.6521250000000009E-3</v>
      </c>
      <c r="AQ132" s="40">
        <f t="shared" si="87"/>
        <v>2.2499999999999998E-3</v>
      </c>
      <c r="AR132" s="39">
        <f t="shared" si="67"/>
        <v>0.74041548556754044</v>
      </c>
      <c r="AS132" s="37">
        <f t="shared" si="68"/>
        <v>7.2916666666666679</v>
      </c>
      <c r="AT132" s="40">
        <f t="shared" si="69"/>
        <v>90.781773996651836</v>
      </c>
    </row>
    <row r="133" spans="17:46" x14ac:dyDescent="0.3">
      <c r="Q133">
        <v>126</v>
      </c>
      <c r="R133" s="39">
        <f t="shared" si="45"/>
        <v>20</v>
      </c>
      <c r="S133" s="37">
        <f t="shared" si="73"/>
        <v>0.36749999999999999</v>
      </c>
      <c r="T133" s="37">
        <f t="shared" si="47"/>
        <v>5</v>
      </c>
      <c r="U133" s="40">
        <f t="shared" si="74"/>
        <v>1.6333333333333333</v>
      </c>
      <c r="V133" s="39">
        <f t="shared" si="75"/>
        <v>2</v>
      </c>
      <c r="W133" s="37">
        <f t="shared" si="76"/>
        <v>0.75</v>
      </c>
      <c r="X133" s="40">
        <f t="shared" si="77"/>
        <v>0.25</v>
      </c>
      <c r="Y133" s="39">
        <f t="shared" si="78"/>
        <v>1.1415525114155252</v>
      </c>
      <c r="Z133" s="37">
        <f t="shared" si="71"/>
        <v>2.2041095890410958</v>
      </c>
      <c r="AA133" s="37">
        <f t="shared" si="72"/>
        <v>1.6662451667759965</v>
      </c>
      <c r="AB133" s="37">
        <v>0</v>
      </c>
      <c r="AC133" s="37">
        <f t="shared" si="79"/>
        <v>0.20822797168532761</v>
      </c>
      <c r="AD133" s="40">
        <f t="shared" si="62"/>
        <v>0.20822797168532761</v>
      </c>
      <c r="AE133" s="39">
        <f t="shared" si="70"/>
        <v>1.2250000000000001</v>
      </c>
      <c r="AF133" s="37">
        <f t="shared" si="63"/>
        <v>1.4430106433610517</v>
      </c>
      <c r="AG133" s="37">
        <f t="shared" si="80"/>
        <v>1.0203170612581055E-2</v>
      </c>
      <c r="AH133" s="37">
        <f t="shared" si="81"/>
        <v>5.356836376559785E-2</v>
      </c>
      <c r="AI133" s="40">
        <f t="shared" si="64"/>
        <v>6.377153437817891E-2</v>
      </c>
      <c r="AJ133" s="39">
        <f t="shared" si="65"/>
        <v>0.40833333333333333</v>
      </c>
      <c r="AK133" s="37">
        <f t="shared" si="82"/>
        <v>0.83312258338799827</v>
      </c>
      <c r="AL133" s="37">
        <f t="shared" si="83"/>
        <v>0.33810000000000001</v>
      </c>
      <c r="AM133" s="37">
        <f t="shared" si="84"/>
        <v>4.5814800000000003E-2</v>
      </c>
      <c r="AN133" s="40">
        <f t="shared" si="66"/>
        <v>0.3839148</v>
      </c>
      <c r="AO133" s="39">
        <f t="shared" si="85"/>
        <v>8.3291188674131045E-2</v>
      </c>
      <c r="AP133" s="37">
        <f t="shared" si="86"/>
        <v>6.6521250000000009E-3</v>
      </c>
      <c r="AQ133" s="40">
        <f t="shared" si="87"/>
        <v>2.2499999999999998E-3</v>
      </c>
      <c r="AR133" s="39">
        <f t="shared" si="67"/>
        <v>0.74810761973763751</v>
      </c>
      <c r="AS133" s="37">
        <f t="shared" si="68"/>
        <v>7.35</v>
      </c>
      <c r="AT133" s="40">
        <f t="shared" si="69"/>
        <v>90.761945199218346</v>
      </c>
    </row>
    <row r="134" spans="17:46" x14ac:dyDescent="0.3">
      <c r="Q134">
        <v>127</v>
      </c>
      <c r="R134" s="39">
        <f t="shared" si="45"/>
        <v>20</v>
      </c>
      <c r="S134" s="37">
        <f t="shared" si="73"/>
        <v>0.37041666666666667</v>
      </c>
      <c r="T134" s="37">
        <f t="shared" si="47"/>
        <v>5</v>
      </c>
      <c r="U134" s="40">
        <f t="shared" si="74"/>
        <v>1.6462962962962964</v>
      </c>
      <c r="V134" s="39">
        <f t="shared" si="75"/>
        <v>2</v>
      </c>
      <c r="W134" s="37">
        <f t="shared" si="76"/>
        <v>0.75</v>
      </c>
      <c r="X134" s="40">
        <f t="shared" si="77"/>
        <v>0.25</v>
      </c>
      <c r="Y134" s="39">
        <f t="shared" si="78"/>
        <v>1.1415525114155252</v>
      </c>
      <c r="Z134" s="37">
        <f t="shared" si="71"/>
        <v>2.2170725520040588</v>
      </c>
      <c r="AA134" s="37">
        <f t="shared" si="72"/>
        <v>1.6789540414274282</v>
      </c>
      <c r="AB134" s="37">
        <v>0</v>
      </c>
      <c r="AC134" s="37">
        <f t="shared" si="79"/>
        <v>0.21141650049191207</v>
      </c>
      <c r="AD134" s="40">
        <f t="shared" si="62"/>
        <v>0.21141650049191207</v>
      </c>
      <c r="AE134" s="39">
        <f t="shared" si="70"/>
        <v>1.2347222222222223</v>
      </c>
      <c r="AF134" s="37">
        <f t="shared" si="63"/>
        <v>1.4540168516627034</v>
      </c>
      <c r="AG134" s="37">
        <f t="shared" si="80"/>
        <v>1.035940852410369E-2</v>
      </c>
      <c r="AH134" s="37">
        <f t="shared" si="81"/>
        <v>5.3993509509769264E-2</v>
      </c>
      <c r="AI134" s="40">
        <f t="shared" si="64"/>
        <v>6.4352918033872955E-2</v>
      </c>
      <c r="AJ134" s="39">
        <f t="shared" si="65"/>
        <v>0.41157407407407409</v>
      </c>
      <c r="AK134" s="37">
        <f t="shared" si="82"/>
        <v>0.839477020713714</v>
      </c>
      <c r="AL134" s="37">
        <f t="shared" si="83"/>
        <v>0.34078333333333333</v>
      </c>
      <c r="AM134" s="37">
        <f t="shared" si="84"/>
        <v>4.5814800000000003E-2</v>
      </c>
      <c r="AN134" s="40">
        <f t="shared" si="66"/>
        <v>0.38659813333333332</v>
      </c>
      <c r="AO134" s="39">
        <f t="shared" si="85"/>
        <v>8.4566600196764805E-2</v>
      </c>
      <c r="AP134" s="37">
        <f t="shared" si="86"/>
        <v>6.6521250000000009E-3</v>
      </c>
      <c r="AQ134" s="40">
        <f t="shared" si="87"/>
        <v>2.2499999999999998E-3</v>
      </c>
      <c r="AR134" s="39">
        <f t="shared" si="67"/>
        <v>0.75583627705588319</v>
      </c>
      <c r="AS134" s="37">
        <f t="shared" si="68"/>
        <v>7.4083333333333332</v>
      </c>
      <c r="AT134" s="40">
        <f t="shared" si="69"/>
        <v>90.742031178602019</v>
      </c>
    </row>
    <row r="135" spans="17:46" x14ac:dyDescent="0.3">
      <c r="Q135">
        <v>128</v>
      </c>
      <c r="R135" s="39">
        <f t="shared" ref="R135:R157" si="88">VOUT</f>
        <v>20</v>
      </c>
      <c r="S135" s="37">
        <f t="shared" ref="S135:S157" si="89">Q135*$O$12</f>
        <v>0.37333333333333335</v>
      </c>
      <c r="T135" s="37">
        <f t="shared" ref="T135:T157" si="90">VIN_var</f>
        <v>5</v>
      </c>
      <c r="U135" s="40">
        <f t="shared" ref="U135:U157" si="91">(R135*S135)/(T135*EFF_est)</f>
        <v>1.6592592592592592</v>
      </c>
      <c r="V135" s="39">
        <f t="shared" ref="V135:V157" si="92">IF((S135*R135/T135)&lt;((T135*(1-(T135/R135)))/(2*Lm*Fsw)),1,2)</f>
        <v>2</v>
      </c>
      <c r="W135" s="37">
        <f t="shared" ref="W135:W157" si="93">CHOOSE(V135,SQRT((2*S135*Lm*Fsw*(R135-T135))/((T135)^2)),1-(T135/R135))</f>
        <v>0.75</v>
      </c>
      <c r="X135" s="40">
        <f t="shared" ref="X135:X157" si="94">CHOOSE(V135,(Lm*W135*Fsw)/(R135-T135),1-W135)</f>
        <v>0.25</v>
      </c>
      <c r="Y135" s="39">
        <f t="shared" ref="Y135:Y157" si="95">(T135*W135)/(Lm*Fsw)</f>
        <v>1.1415525114155252</v>
      </c>
      <c r="Z135" s="37">
        <f t="shared" si="71"/>
        <v>2.2300355149670219</v>
      </c>
      <c r="AA135" s="37">
        <f t="shared" si="72"/>
        <v>1.6916667719926926</v>
      </c>
      <c r="AB135" s="37">
        <v>0</v>
      </c>
      <c r="AC135" s="37">
        <f t="shared" ref="AC135:AC157" si="96">(AA135^2)*Rdcr</f>
        <v>0.21463023505981321</v>
      </c>
      <c r="AD135" s="40">
        <f t="shared" si="62"/>
        <v>0.21463023505981321</v>
      </c>
      <c r="AE135" s="39">
        <f t="shared" si="70"/>
        <v>1.2444444444444445</v>
      </c>
      <c r="AF135" s="37">
        <f t="shared" si="63"/>
        <v>1.4650263992836896</v>
      </c>
      <c r="AG135" s="37">
        <f t="shared" ref="AG135:AG157" si="97">(AF135^2)*RDS_on</f>
        <v>1.0516881517930851E-2</v>
      </c>
      <c r="AH135" s="37">
        <f t="shared" ref="AH135:AH157" si="98">((R135*U135)/2)*Fsw*(tr_sw+tf_sw)</f>
        <v>5.4418655253940677E-2</v>
      </c>
      <c r="AI135" s="40">
        <f t="shared" si="64"/>
        <v>6.4935536771871527E-2</v>
      </c>
      <c r="AJ135" s="39">
        <f t="shared" si="65"/>
        <v>0.4148148148148148</v>
      </c>
      <c r="AK135" s="37">
        <f t="shared" ref="AK135:AK157" si="99">CHOOSE(V135,Z135*SQRT(X135/3),SQRT(X135*((Z135^2)+((Y135^2)/3)-(Y135*Z135))))</f>
        <v>0.84583338599634628</v>
      </c>
      <c r="AL135" s="37">
        <f t="shared" ref="AL135:AL157" si="100">S135*Vd_rect</f>
        <v>0.3434666666666667</v>
      </c>
      <c r="AM135" s="37">
        <f t="shared" ref="AM135:AM157" si="101">CHOOSE(V135,(R135+Vd_rect)*Qrr*Fsw,(R135+Vd_rect)*Qrr*Fsw)</f>
        <v>4.5814800000000003E-2</v>
      </c>
      <c r="AN135" s="40">
        <f t="shared" si="66"/>
        <v>0.38928146666666669</v>
      </c>
      <c r="AO135" s="39">
        <f t="shared" ref="AO135:AO157" si="102">(AF135^2)*R_cs</f>
        <v>8.585209402392531E-2</v>
      </c>
      <c r="AP135" s="37">
        <f t="shared" ref="AP135:AP157" si="103">Qg_tot*Vcc*Fsw</f>
        <v>6.6521250000000009E-3</v>
      </c>
      <c r="AQ135" s="40">
        <f t="shared" ref="AQ135:AQ157" si="104">IQ*T135</f>
        <v>2.2499999999999998E-3</v>
      </c>
      <c r="AR135" s="39">
        <f t="shared" si="67"/>
        <v>0.76360145752227682</v>
      </c>
      <c r="AS135" s="37">
        <f t="shared" si="68"/>
        <v>7.4666666666666668</v>
      </c>
      <c r="AT135" s="40">
        <f t="shared" si="69"/>
        <v>90.722034252103697</v>
      </c>
    </row>
    <row r="136" spans="17:46" x14ac:dyDescent="0.3">
      <c r="Q136">
        <v>129</v>
      </c>
      <c r="R136" s="39">
        <f t="shared" si="88"/>
        <v>20</v>
      </c>
      <c r="S136" s="37">
        <f t="shared" si="89"/>
        <v>0.37625000000000003</v>
      </c>
      <c r="T136" s="37">
        <f t="shared" si="90"/>
        <v>5</v>
      </c>
      <c r="U136" s="40">
        <f t="shared" si="91"/>
        <v>1.6722222222222223</v>
      </c>
      <c r="V136" s="39">
        <f t="shared" si="92"/>
        <v>2</v>
      </c>
      <c r="W136" s="37">
        <f t="shared" si="93"/>
        <v>0.75</v>
      </c>
      <c r="X136" s="40">
        <f t="shared" si="94"/>
        <v>0.25</v>
      </c>
      <c r="Y136" s="39">
        <f t="shared" si="95"/>
        <v>1.1415525114155252</v>
      </c>
      <c r="Z136" s="37">
        <f t="shared" si="71"/>
        <v>2.242998477929985</v>
      </c>
      <c r="AA136" s="37">
        <f t="shared" si="72"/>
        <v>1.7043832721898025</v>
      </c>
      <c r="AB136" s="37">
        <v>0</v>
      </c>
      <c r="AC136" s="37">
        <f t="shared" si="96"/>
        <v>0.21786917538903136</v>
      </c>
      <c r="AD136" s="40">
        <f t="shared" ref="AD136:AD157" si="105">AB136+AC136</f>
        <v>0.21786917538903136</v>
      </c>
      <c r="AE136" s="39">
        <f t="shared" si="70"/>
        <v>1.2541666666666667</v>
      </c>
      <c r="AF136" s="37">
        <f t="shared" ref="AF136:AF157" si="106">CHOOSE(V136,Z136*SQRT(W136/3),SQRT(W136*((Z136^2)+((Y136^2)/3)-(Z136*Y136))))</f>
        <v>1.4760392115016165</v>
      </c>
      <c r="AG136" s="37">
        <f t="shared" si="97"/>
        <v>1.067558959406254E-2</v>
      </c>
      <c r="AH136" s="37">
        <f t="shared" si="98"/>
        <v>5.4843800998112091E-2</v>
      </c>
      <c r="AI136" s="40">
        <f t="shared" ref="AI136:AI157" si="107">AG136+AH136</f>
        <v>6.5519390592174626E-2</v>
      </c>
      <c r="AJ136" s="39">
        <f t="shared" ref="AJ136:AJ156" si="108">X136*U136</f>
        <v>0.41805555555555557</v>
      </c>
      <c r="AK136" s="37">
        <f t="shared" si="99"/>
        <v>0.85219163609490123</v>
      </c>
      <c r="AL136" s="37">
        <f t="shared" si="100"/>
        <v>0.34615000000000007</v>
      </c>
      <c r="AM136" s="37">
        <f t="shared" si="101"/>
        <v>4.5814800000000003E-2</v>
      </c>
      <c r="AN136" s="40">
        <f t="shared" ref="AN136:AN157" si="109">AL136+AM136</f>
        <v>0.39196480000000006</v>
      </c>
      <c r="AO136" s="39">
        <f t="shared" si="102"/>
        <v>8.7147670155612561E-2</v>
      </c>
      <c r="AP136" s="37">
        <f t="shared" si="103"/>
        <v>6.6521250000000009E-3</v>
      </c>
      <c r="AQ136" s="40">
        <f t="shared" si="104"/>
        <v>2.2499999999999998E-3</v>
      </c>
      <c r="AR136" s="39">
        <f t="shared" ref="AR136:AR157" si="110">AO136+AN136+AI136+AD136+AP136+AQ136</f>
        <v>0.77140316113681862</v>
      </c>
      <c r="AS136" s="37">
        <f t="shared" ref="AS136:AS157" si="111">R136*S136</f>
        <v>7.5250000000000004</v>
      </c>
      <c r="AT136" s="40">
        <f t="shared" ref="AT136:AT156" si="112">(AS136/(AS136+AR136))*100</f>
        <v>90.701956665385623</v>
      </c>
    </row>
    <row r="137" spans="17:46" x14ac:dyDescent="0.3">
      <c r="Q137">
        <v>130</v>
      </c>
      <c r="R137" s="39">
        <f t="shared" si="88"/>
        <v>20</v>
      </c>
      <c r="S137" s="37">
        <f t="shared" si="89"/>
        <v>0.37916666666666671</v>
      </c>
      <c r="T137" s="37">
        <f t="shared" si="90"/>
        <v>5</v>
      </c>
      <c r="U137" s="40">
        <f t="shared" si="91"/>
        <v>1.6851851851851853</v>
      </c>
      <c r="V137" s="39">
        <f t="shared" si="92"/>
        <v>2</v>
      </c>
      <c r="W137" s="37">
        <f t="shared" si="93"/>
        <v>0.75</v>
      </c>
      <c r="X137" s="40">
        <f t="shared" si="94"/>
        <v>0.25</v>
      </c>
      <c r="Y137" s="39">
        <f t="shared" si="95"/>
        <v>1.1415525114155252</v>
      </c>
      <c r="Z137" s="37">
        <f t="shared" si="71"/>
        <v>2.255961440892948</v>
      </c>
      <c r="AA137" s="37">
        <f t="shared" si="72"/>
        <v>1.7171034582675031</v>
      </c>
      <c r="AB137" s="37">
        <v>0</v>
      </c>
      <c r="AC137" s="37">
        <f t="shared" si="96"/>
        <v>0.22113332147956641</v>
      </c>
      <c r="AD137" s="40">
        <f t="shared" si="105"/>
        <v>0.22113332147956641</v>
      </c>
      <c r="AE137" s="39">
        <f t="shared" ref="AE137:AE157" si="113">U137*W137</f>
        <v>1.2638888888888891</v>
      </c>
      <c r="AF137" s="37">
        <f t="shared" si="106"/>
        <v>1.4870552157857702</v>
      </c>
      <c r="AG137" s="37">
        <f t="shared" si="97"/>
        <v>1.0835532752498751E-2</v>
      </c>
      <c r="AH137" s="37">
        <f t="shared" si="98"/>
        <v>5.5268946742283512E-2</v>
      </c>
      <c r="AI137" s="40">
        <f t="shared" si="107"/>
        <v>6.6104479494782264E-2</v>
      </c>
      <c r="AJ137" s="39">
        <f t="shared" si="108"/>
        <v>0.42129629629629634</v>
      </c>
      <c r="AK137" s="37">
        <f t="shared" si="99"/>
        <v>0.85855172913375155</v>
      </c>
      <c r="AL137" s="37">
        <f t="shared" si="100"/>
        <v>0.34883333333333338</v>
      </c>
      <c r="AM137" s="37">
        <f t="shared" si="101"/>
        <v>4.5814800000000003E-2</v>
      </c>
      <c r="AN137" s="40">
        <f t="shared" si="109"/>
        <v>0.39464813333333337</v>
      </c>
      <c r="AO137" s="39">
        <f t="shared" si="102"/>
        <v>8.845332859182653E-2</v>
      </c>
      <c r="AP137" s="37">
        <f t="shared" si="103"/>
        <v>6.6521250000000009E-3</v>
      </c>
      <c r="AQ137" s="40">
        <f t="shared" si="104"/>
        <v>2.2499999999999998E-3</v>
      </c>
      <c r="AR137" s="39">
        <f t="shared" si="110"/>
        <v>0.77924138789950859</v>
      </c>
      <c r="AS137" s="37">
        <f t="shared" si="111"/>
        <v>7.5833333333333339</v>
      </c>
      <c r="AT137" s="40">
        <f t="shared" si="112"/>
        <v>90.681800595204365</v>
      </c>
    </row>
    <row r="138" spans="17:46" x14ac:dyDescent="0.3">
      <c r="Q138">
        <v>131</v>
      </c>
      <c r="R138" s="39">
        <f t="shared" si="88"/>
        <v>20</v>
      </c>
      <c r="S138" s="37">
        <f t="shared" si="89"/>
        <v>0.38208333333333333</v>
      </c>
      <c r="T138" s="37">
        <f t="shared" si="90"/>
        <v>5</v>
      </c>
      <c r="U138" s="40">
        <f t="shared" si="91"/>
        <v>1.6981481481481482</v>
      </c>
      <c r="V138" s="39">
        <f t="shared" si="92"/>
        <v>2</v>
      </c>
      <c r="W138" s="37">
        <f t="shared" si="93"/>
        <v>0.75</v>
      </c>
      <c r="X138" s="40">
        <f t="shared" si="94"/>
        <v>0.25</v>
      </c>
      <c r="Y138" s="39">
        <f t="shared" si="95"/>
        <v>1.1415525114155252</v>
      </c>
      <c r="Z138" s="37">
        <f t="shared" si="71"/>
        <v>2.2689244038559107</v>
      </c>
      <c r="AA138" s="37">
        <f t="shared" si="72"/>
        <v>1.7298272489140574</v>
      </c>
      <c r="AB138" s="37">
        <v>0</v>
      </c>
      <c r="AC138" s="37">
        <f t="shared" si="96"/>
        <v>0.22442267333141819</v>
      </c>
      <c r="AD138" s="40">
        <f t="shared" si="105"/>
        <v>0.22442267333141819</v>
      </c>
      <c r="AE138" s="39">
        <f t="shared" si="113"/>
        <v>1.2736111111111112</v>
      </c>
      <c r="AF138" s="37">
        <f t="shared" si="106"/>
        <v>1.4980743417181213</v>
      </c>
      <c r="AG138" s="37">
        <f t="shared" si="97"/>
        <v>1.0996710993239496E-2</v>
      </c>
      <c r="AH138" s="37">
        <f t="shared" si="98"/>
        <v>5.5694092486454919E-2</v>
      </c>
      <c r="AI138" s="40">
        <f t="shared" si="107"/>
        <v>6.6690803479694416E-2</v>
      </c>
      <c r="AJ138" s="39">
        <f t="shared" si="108"/>
        <v>0.42453703703703705</v>
      </c>
      <c r="AK138" s="37">
        <f t="shared" si="99"/>
        <v>0.86491362445702868</v>
      </c>
      <c r="AL138" s="37">
        <f t="shared" si="100"/>
        <v>0.3515166666666667</v>
      </c>
      <c r="AM138" s="37">
        <f t="shared" si="101"/>
        <v>4.5814800000000003E-2</v>
      </c>
      <c r="AN138" s="40">
        <f t="shared" si="109"/>
        <v>0.39733146666666669</v>
      </c>
      <c r="AO138" s="39">
        <f t="shared" si="102"/>
        <v>8.97690693325673E-2</v>
      </c>
      <c r="AP138" s="37">
        <f t="shared" si="103"/>
        <v>6.6521250000000009E-3</v>
      </c>
      <c r="AQ138" s="40">
        <f t="shared" si="104"/>
        <v>2.2499999999999998E-3</v>
      </c>
      <c r="AR138" s="39">
        <f t="shared" si="110"/>
        <v>0.78711613781034662</v>
      </c>
      <c r="AS138" s="37">
        <f t="shared" si="111"/>
        <v>7.6416666666666666</v>
      </c>
      <c r="AT138" s="40">
        <f t="shared" si="112"/>
        <v>90.661568152019967</v>
      </c>
    </row>
    <row r="139" spans="17:46" x14ac:dyDescent="0.3">
      <c r="Q139">
        <v>132</v>
      </c>
      <c r="R139" s="39">
        <f t="shared" si="88"/>
        <v>20</v>
      </c>
      <c r="S139" s="37">
        <f t="shared" si="89"/>
        <v>0.38500000000000001</v>
      </c>
      <c r="T139" s="37">
        <f t="shared" si="90"/>
        <v>5</v>
      </c>
      <c r="U139" s="40">
        <f t="shared" si="91"/>
        <v>1.7111111111111112</v>
      </c>
      <c r="V139" s="39">
        <f t="shared" si="92"/>
        <v>2</v>
      </c>
      <c r="W139" s="37">
        <f t="shared" si="93"/>
        <v>0.75</v>
      </c>
      <c r="X139" s="40">
        <f t="shared" si="94"/>
        <v>0.25</v>
      </c>
      <c r="Y139" s="39">
        <f t="shared" si="95"/>
        <v>1.1415525114155252</v>
      </c>
      <c r="Z139" s="37">
        <f t="shared" si="71"/>
        <v>2.2818873668188737</v>
      </c>
      <c r="AA139" s="37">
        <f t="shared" si="72"/>
        <v>1.7425545651699097</v>
      </c>
      <c r="AB139" s="37">
        <v>0</v>
      </c>
      <c r="AC139" s="37">
        <f t="shared" si="96"/>
        <v>0.22773723094458695</v>
      </c>
      <c r="AD139" s="40">
        <f t="shared" si="105"/>
        <v>0.22773723094458695</v>
      </c>
      <c r="AE139" s="39">
        <f t="shared" si="113"/>
        <v>1.2833333333333334</v>
      </c>
      <c r="AF139" s="37">
        <f t="shared" si="106"/>
        <v>1.5090965209176876</v>
      </c>
      <c r="AG139" s="37">
        <f t="shared" si="97"/>
        <v>1.1159124316284758E-2</v>
      </c>
      <c r="AH139" s="37">
        <f t="shared" si="98"/>
        <v>5.6119238230626339E-2</v>
      </c>
      <c r="AI139" s="40">
        <f t="shared" si="107"/>
        <v>6.7278362546911094E-2</v>
      </c>
      <c r="AJ139" s="39">
        <f t="shared" si="108"/>
        <v>0.42777777777777781</v>
      </c>
      <c r="AK139" s="37">
        <f t="shared" si="99"/>
        <v>0.87127728258495474</v>
      </c>
      <c r="AL139" s="37">
        <f t="shared" si="100"/>
        <v>0.35420000000000001</v>
      </c>
      <c r="AM139" s="37">
        <f t="shared" si="101"/>
        <v>4.5814800000000003E-2</v>
      </c>
      <c r="AN139" s="40">
        <f t="shared" si="109"/>
        <v>0.4000148</v>
      </c>
      <c r="AO139" s="39">
        <f t="shared" si="102"/>
        <v>9.1094892377834746E-2</v>
      </c>
      <c r="AP139" s="37">
        <f t="shared" si="103"/>
        <v>6.6521250000000009E-3</v>
      </c>
      <c r="AQ139" s="40">
        <f t="shared" si="104"/>
        <v>2.2499999999999998E-3</v>
      </c>
      <c r="AR139" s="39">
        <f t="shared" si="110"/>
        <v>0.79502741086933282</v>
      </c>
      <c r="AS139" s="37">
        <f t="shared" si="111"/>
        <v>7.7</v>
      </c>
      <c r="AT139" s="40">
        <f t="shared" si="112"/>
        <v>90.641261382487116</v>
      </c>
    </row>
    <row r="140" spans="17:46" x14ac:dyDescent="0.3">
      <c r="Q140">
        <v>133</v>
      </c>
      <c r="R140" s="39">
        <f t="shared" si="88"/>
        <v>20</v>
      </c>
      <c r="S140" s="37">
        <f t="shared" si="89"/>
        <v>0.38791666666666669</v>
      </c>
      <c r="T140" s="37">
        <f t="shared" si="90"/>
        <v>5</v>
      </c>
      <c r="U140" s="40">
        <f t="shared" si="91"/>
        <v>1.7240740740740741</v>
      </c>
      <c r="V140" s="39">
        <f t="shared" si="92"/>
        <v>2</v>
      </c>
      <c r="W140" s="37">
        <f t="shared" si="93"/>
        <v>0.75</v>
      </c>
      <c r="X140" s="40">
        <f t="shared" si="94"/>
        <v>0.25</v>
      </c>
      <c r="Y140" s="39">
        <f t="shared" si="95"/>
        <v>1.1415525114155252</v>
      </c>
      <c r="Z140" s="37">
        <f t="shared" si="71"/>
        <v>2.2948503297818368</v>
      </c>
      <c r="AA140" s="37">
        <f t="shared" si="72"/>
        <v>1.7552853303440346</v>
      </c>
      <c r="AB140" s="37">
        <v>0</v>
      </c>
      <c r="AC140" s="37">
        <f t="shared" si="96"/>
        <v>0.23107699431907247</v>
      </c>
      <c r="AD140" s="40">
        <f t="shared" si="105"/>
        <v>0.23107699431907247</v>
      </c>
      <c r="AE140" s="39">
        <f t="shared" si="113"/>
        <v>1.2930555555555556</v>
      </c>
      <c r="AF140" s="37">
        <f t="shared" si="106"/>
        <v>1.5201216869680945</v>
      </c>
      <c r="AG140" s="37">
        <f t="shared" si="97"/>
        <v>1.1322772721634558E-2</v>
      </c>
      <c r="AH140" s="37">
        <f t="shared" si="98"/>
        <v>5.6544383974797739E-2</v>
      </c>
      <c r="AI140" s="40">
        <f t="shared" si="107"/>
        <v>6.7867156696432299E-2</v>
      </c>
      <c r="AJ140" s="39">
        <f t="shared" si="108"/>
        <v>0.43101851851851852</v>
      </c>
      <c r="AK140" s="37">
        <f t="shared" si="99"/>
        <v>0.87764266517201739</v>
      </c>
      <c r="AL140" s="37">
        <f t="shared" si="100"/>
        <v>0.35688333333333339</v>
      </c>
      <c r="AM140" s="37">
        <f t="shared" si="101"/>
        <v>4.5814800000000003E-2</v>
      </c>
      <c r="AN140" s="40">
        <f t="shared" si="109"/>
        <v>0.40269813333333337</v>
      </c>
      <c r="AO140" s="39">
        <f t="shared" si="102"/>
        <v>9.2430797727629022E-2</v>
      </c>
      <c r="AP140" s="37">
        <f t="shared" si="103"/>
        <v>6.6521250000000009E-3</v>
      </c>
      <c r="AQ140" s="40">
        <f t="shared" si="104"/>
        <v>2.2499999999999998E-3</v>
      </c>
      <c r="AR140" s="39">
        <f t="shared" si="110"/>
        <v>0.80297520707646719</v>
      </c>
      <c r="AS140" s="37">
        <f t="shared" si="111"/>
        <v>7.7583333333333337</v>
      </c>
      <c r="AT140" s="40">
        <f t="shared" si="112"/>
        <v>90.620882271835143</v>
      </c>
    </row>
    <row r="141" spans="17:46" x14ac:dyDescent="0.3">
      <c r="Q141">
        <v>134</v>
      </c>
      <c r="R141" s="39">
        <f t="shared" si="88"/>
        <v>20</v>
      </c>
      <c r="S141" s="37">
        <f t="shared" si="89"/>
        <v>0.39083333333333337</v>
      </c>
      <c r="T141" s="37">
        <f t="shared" si="90"/>
        <v>5</v>
      </c>
      <c r="U141" s="40">
        <f t="shared" si="91"/>
        <v>1.7370370370370372</v>
      </c>
      <c r="V141" s="39">
        <f t="shared" si="92"/>
        <v>2</v>
      </c>
      <c r="W141" s="37">
        <f t="shared" si="93"/>
        <v>0.75</v>
      </c>
      <c r="X141" s="40">
        <f t="shared" si="94"/>
        <v>0.25</v>
      </c>
      <c r="Y141" s="39">
        <f t="shared" si="95"/>
        <v>1.1415525114155252</v>
      </c>
      <c r="Z141" s="37">
        <f t="shared" si="71"/>
        <v>2.3078132927447998</v>
      </c>
      <c r="AA141" s="37">
        <f t="shared" si="72"/>
        <v>1.7680194699338014</v>
      </c>
      <c r="AB141" s="37">
        <v>0</v>
      </c>
      <c r="AC141" s="37">
        <f t="shared" si="96"/>
        <v>0.234441963454875</v>
      </c>
      <c r="AD141" s="40">
        <f t="shared" si="105"/>
        <v>0.234441963454875</v>
      </c>
      <c r="AE141" s="39">
        <f t="shared" si="113"/>
        <v>1.3027777777777778</v>
      </c>
      <c r="AF141" s="37">
        <f t="shared" si="106"/>
        <v>1.5311497753481695</v>
      </c>
      <c r="AG141" s="37">
        <f t="shared" si="97"/>
        <v>1.1487656209288878E-2</v>
      </c>
      <c r="AH141" s="37">
        <f t="shared" si="98"/>
        <v>5.6969529718969153E-2</v>
      </c>
      <c r="AI141" s="40">
        <f t="shared" si="107"/>
        <v>6.845718592825803E-2</v>
      </c>
      <c r="AJ141" s="39">
        <f t="shared" si="108"/>
        <v>0.43425925925925929</v>
      </c>
      <c r="AK141" s="37">
        <f t="shared" si="99"/>
        <v>0.88400973496690072</v>
      </c>
      <c r="AL141" s="37">
        <f t="shared" si="100"/>
        <v>0.3595666666666667</v>
      </c>
      <c r="AM141" s="37">
        <f t="shared" si="101"/>
        <v>4.5814800000000003E-2</v>
      </c>
      <c r="AN141" s="40">
        <f t="shared" si="109"/>
        <v>0.40538146666666669</v>
      </c>
      <c r="AO141" s="39">
        <f t="shared" si="102"/>
        <v>9.3776785381950015E-2</v>
      </c>
      <c r="AP141" s="37">
        <f t="shared" si="103"/>
        <v>6.6521250000000009E-3</v>
      </c>
      <c r="AQ141" s="40">
        <f t="shared" si="104"/>
        <v>2.2499999999999998E-3</v>
      </c>
      <c r="AR141" s="39">
        <f t="shared" si="110"/>
        <v>0.81095952643174973</v>
      </c>
      <c r="AS141" s="37">
        <f t="shared" si="111"/>
        <v>7.8166666666666673</v>
      </c>
      <c r="AT141" s="40">
        <f t="shared" si="112"/>
        <v>90.600432746142062</v>
      </c>
    </row>
    <row r="142" spans="17:46" x14ac:dyDescent="0.3">
      <c r="Q142">
        <v>135</v>
      </c>
      <c r="R142" s="39">
        <f t="shared" si="88"/>
        <v>20</v>
      </c>
      <c r="S142" s="37">
        <f t="shared" si="89"/>
        <v>0.39375000000000004</v>
      </c>
      <c r="T142" s="37">
        <f t="shared" si="90"/>
        <v>5</v>
      </c>
      <c r="U142" s="40">
        <f t="shared" si="91"/>
        <v>1.7500000000000002</v>
      </c>
      <c r="V142" s="39">
        <f t="shared" si="92"/>
        <v>2</v>
      </c>
      <c r="W142" s="37">
        <f t="shared" si="93"/>
        <v>0.75</v>
      </c>
      <c r="X142" s="40">
        <f t="shared" si="94"/>
        <v>0.25</v>
      </c>
      <c r="Y142" s="39">
        <f t="shared" si="95"/>
        <v>1.1415525114155252</v>
      </c>
      <c r="Z142" s="37">
        <f t="shared" si="71"/>
        <v>2.3207762557077629</v>
      </c>
      <c r="AA142" s="37">
        <f t="shared" si="72"/>
        <v>1.7807569115481743</v>
      </c>
      <c r="AB142" s="37">
        <v>0</v>
      </c>
      <c r="AC142" s="37">
        <f t="shared" si="96"/>
        <v>0.2378321383519944</v>
      </c>
      <c r="AD142" s="40">
        <f t="shared" si="105"/>
        <v>0.2378321383519944</v>
      </c>
      <c r="AE142" s="39">
        <f t="shared" si="113"/>
        <v>1.3125000000000002</v>
      </c>
      <c r="AF142" s="37">
        <f t="shared" si="106"/>
        <v>1.5421807233654377</v>
      </c>
      <c r="AG142" s="37">
        <f t="shared" si="97"/>
        <v>1.1653774779247729E-2</v>
      </c>
      <c r="AH142" s="37">
        <f t="shared" si="98"/>
        <v>5.7394675463140581E-2</v>
      </c>
      <c r="AI142" s="40">
        <f t="shared" si="107"/>
        <v>6.9048450242388315E-2</v>
      </c>
      <c r="AJ142" s="39">
        <f t="shared" si="108"/>
        <v>0.43750000000000006</v>
      </c>
      <c r="AK142" s="37">
        <f t="shared" si="99"/>
        <v>0.89037845577408714</v>
      </c>
      <c r="AL142" s="37">
        <f t="shared" si="100"/>
        <v>0.36225000000000007</v>
      </c>
      <c r="AM142" s="37">
        <f t="shared" si="101"/>
        <v>4.5814800000000003E-2</v>
      </c>
      <c r="AN142" s="40">
        <f t="shared" si="109"/>
        <v>0.40806480000000006</v>
      </c>
      <c r="AO142" s="39">
        <f t="shared" si="102"/>
        <v>9.5132855340797781E-2</v>
      </c>
      <c r="AP142" s="37">
        <f t="shared" si="103"/>
        <v>6.6521250000000009E-3</v>
      </c>
      <c r="AQ142" s="40">
        <f t="shared" si="104"/>
        <v>2.2499999999999998E-3</v>
      </c>
      <c r="AR142" s="39">
        <f t="shared" si="110"/>
        <v>0.81898036893518056</v>
      </c>
      <c r="AS142" s="37">
        <f t="shared" si="111"/>
        <v>7.8750000000000009</v>
      </c>
      <c r="AT142" s="40">
        <f t="shared" si="112"/>
        <v>90.579914674508444</v>
      </c>
    </row>
    <row r="143" spans="17:46" x14ac:dyDescent="0.3">
      <c r="Q143">
        <v>136</v>
      </c>
      <c r="R143" s="39">
        <f t="shared" si="88"/>
        <v>20</v>
      </c>
      <c r="S143" s="37">
        <f t="shared" si="89"/>
        <v>0.39666666666666667</v>
      </c>
      <c r="T143" s="37">
        <f t="shared" si="90"/>
        <v>5</v>
      </c>
      <c r="U143" s="40">
        <f t="shared" si="91"/>
        <v>1.7629629629629631</v>
      </c>
      <c r="V143" s="39">
        <f t="shared" si="92"/>
        <v>2</v>
      </c>
      <c r="W143" s="37">
        <f t="shared" si="93"/>
        <v>0.75</v>
      </c>
      <c r="X143" s="40">
        <f t="shared" si="94"/>
        <v>0.25</v>
      </c>
      <c r="Y143" s="39">
        <f t="shared" si="95"/>
        <v>1.1415525114155252</v>
      </c>
      <c r="Z143" s="37">
        <f t="shared" si="71"/>
        <v>2.3337392186707255</v>
      </c>
      <c r="AA143" s="37">
        <f t="shared" si="72"/>
        <v>1.7934975848340975</v>
      </c>
      <c r="AB143" s="37">
        <v>0</v>
      </c>
      <c r="AC143" s="37">
        <f t="shared" si="96"/>
        <v>0.24124751901043054</v>
      </c>
      <c r="AD143" s="40">
        <f t="shared" si="105"/>
        <v>0.24124751901043054</v>
      </c>
      <c r="AE143" s="39">
        <f t="shared" si="113"/>
        <v>1.3222222222222224</v>
      </c>
      <c r="AF143" s="37">
        <f t="shared" si="106"/>
        <v>1.5532144700923647</v>
      </c>
      <c r="AG143" s="37">
        <f t="shared" si="97"/>
        <v>1.1821128431511098E-2</v>
      </c>
      <c r="AH143" s="37">
        <f t="shared" si="98"/>
        <v>5.781982120731198E-2</v>
      </c>
      <c r="AI143" s="40">
        <f t="shared" si="107"/>
        <v>6.9640949638823085E-2</v>
      </c>
      <c r="AJ143" s="39">
        <f t="shared" si="108"/>
        <v>0.44074074074074077</v>
      </c>
      <c r="AK143" s="37">
        <f t="shared" si="99"/>
        <v>0.89674879241704863</v>
      </c>
      <c r="AL143" s="37">
        <f t="shared" si="100"/>
        <v>0.36493333333333333</v>
      </c>
      <c r="AM143" s="37">
        <f t="shared" si="101"/>
        <v>4.5814800000000003E-2</v>
      </c>
      <c r="AN143" s="40">
        <f t="shared" si="109"/>
        <v>0.41074813333333332</v>
      </c>
      <c r="AO143" s="39">
        <f t="shared" si="102"/>
        <v>9.649900760417221E-2</v>
      </c>
      <c r="AP143" s="37">
        <f t="shared" si="103"/>
        <v>6.6521250000000009E-3</v>
      </c>
      <c r="AQ143" s="40">
        <f t="shared" si="104"/>
        <v>2.2499999999999998E-3</v>
      </c>
      <c r="AR143" s="39">
        <f t="shared" si="110"/>
        <v>0.82703773458675911</v>
      </c>
      <c r="AS143" s="37">
        <f t="shared" si="111"/>
        <v>7.9333333333333336</v>
      </c>
      <c r="AT143" s="40">
        <f t="shared" si="112"/>
        <v>90.559329871136214</v>
      </c>
    </row>
    <row r="144" spans="17:46" x14ac:dyDescent="0.3">
      <c r="Q144">
        <v>137</v>
      </c>
      <c r="R144" s="39">
        <f t="shared" si="88"/>
        <v>20</v>
      </c>
      <c r="S144" s="37">
        <f t="shared" si="89"/>
        <v>0.39958333333333335</v>
      </c>
      <c r="T144" s="37">
        <f t="shared" si="90"/>
        <v>5</v>
      </c>
      <c r="U144" s="40">
        <f t="shared" si="91"/>
        <v>1.7759259259259261</v>
      </c>
      <c r="V144" s="39">
        <f t="shared" si="92"/>
        <v>2</v>
      </c>
      <c r="W144" s="37">
        <f t="shared" si="93"/>
        <v>0.75</v>
      </c>
      <c r="X144" s="40">
        <f t="shared" si="94"/>
        <v>0.25</v>
      </c>
      <c r="Y144" s="39">
        <f t="shared" si="95"/>
        <v>1.1415525114155252</v>
      </c>
      <c r="Z144" s="37">
        <f t="shared" ref="Z144:Z157" si="114">CHOOSE(V144,Y144,U144+(0.5*Y144))</f>
        <v>2.3467021816336886</v>
      </c>
      <c r="AA144" s="37">
        <f t="shared" ref="AA144:AA157" si="115">CHOOSE(V144,Z144*SQRT((W144+X144)/3),SQRT((U144^2)+((Y144^2)/12)))</f>
        <v>1.8062414214059119</v>
      </c>
      <c r="AB144" s="37">
        <v>0</v>
      </c>
      <c r="AC144" s="37">
        <f t="shared" si="96"/>
        <v>0.24468810543018368</v>
      </c>
      <c r="AD144" s="40">
        <f t="shared" si="105"/>
        <v>0.24468810543018368</v>
      </c>
      <c r="AE144" s="39">
        <f t="shared" si="113"/>
        <v>1.3319444444444446</v>
      </c>
      <c r="AF144" s="37">
        <f t="shared" si="106"/>
        <v>1.5642509563052331</v>
      </c>
      <c r="AG144" s="37">
        <f t="shared" si="97"/>
        <v>1.1989717166079E-2</v>
      </c>
      <c r="AH144" s="37">
        <f t="shared" si="98"/>
        <v>5.8244966951483387E-2</v>
      </c>
      <c r="AI144" s="40">
        <f t="shared" si="107"/>
        <v>7.0234684117562382E-2</v>
      </c>
      <c r="AJ144" s="39">
        <f t="shared" si="108"/>
        <v>0.44398148148148153</v>
      </c>
      <c r="AK144" s="37">
        <f t="shared" si="99"/>
        <v>0.90312071070295585</v>
      </c>
      <c r="AL144" s="37">
        <f t="shared" si="100"/>
        <v>0.3676166666666667</v>
      </c>
      <c r="AM144" s="37">
        <f t="shared" si="101"/>
        <v>4.5814800000000003E-2</v>
      </c>
      <c r="AN144" s="40">
        <f t="shared" si="109"/>
        <v>0.41343146666666669</v>
      </c>
      <c r="AO144" s="39">
        <f t="shared" si="102"/>
        <v>9.7875242172073454E-2</v>
      </c>
      <c r="AP144" s="37">
        <f t="shared" si="103"/>
        <v>6.6521250000000009E-3</v>
      </c>
      <c r="AQ144" s="40">
        <f t="shared" si="104"/>
        <v>2.2499999999999998E-3</v>
      </c>
      <c r="AR144" s="39">
        <f t="shared" si="110"/>
        <v>0.83513162338648628</v>
      </c>
      <c r="AS144" s="37">
        <f t="shared" si="111"/>
        <v>7.9916666666666671</v>
      </c>
      <c r="AT144" s="40">
        <f t="shared" si="112"/>
        <v>90.538680097316941</v>
      </c>
    </row>
    <row r="145" spans="17:46" x14ac:dyDescent="0.3">
      <c r="Q145">
        <v>138</v>
      </c>
      <c r="R145" s="39">
        <f t="shared" si="88"/>
        <v>20</v>
      </c>
      <c r="S145" s="37">
        <f t="shared" si="89"/>
        <v>0.40250000000000002</v>
      </c>
      <c r="T145" s="37">
        <f t="shared" si="90"/>
        <v>5</v>
      </c>
      <c r="U145" s="40">
        <f t="shared" si="91"/>
        <v>1.788888888888889</v>
      </c>
      <c r="V145" s="39">
        <f t="shared" si="92"/>
        <v>2</v>
      </c>
      <c r="W145" s="37">
        <f t="shared" si="93"/>
        <v>0.75</v>
      </c>
      <c r="X145" s="40">
        <f t="shared" si="94"/>
        <v>0.25</v>
      </c>
      <c r="Y145" s="39">
        <f t="shared" si="95"/>
        <v>1.1415525114155252</v>
      </c>
      <c r="Z145" s="37">
        <f t="shared" si="114"/>
        <v>2.3596651445966517</v>
      </c>
      <c r="AA145" s="37">
        <f t="shared" si="115"/>
        <v>1.8189883547776535</v>
      </c>
      <c r="AB145" s="37">
        <v>0</v>
      </c>
      <c r="AC145" s="37">
        <f t="shared" si="96"/>
        <v>0.24815389761125359</v>
      </c>
      <c r="AD145" s="40">
        <f t="shared" si="105"/>
        <v>0.24815389761125359</v>
      </c>
      <c r="AE145" s="39">
        <f t="shared" si="113"/>
        <v>1.3416666666666668</v>
      </c>
      <c r="AF145" s="37">
        <f t="shared" si="106"/>
        <v>1.5752901244255091</v>
      </c>
      <c r="AG145" s="37">
        <f t="shared" si="97"/>
        <v>1.2159540982951427E-2</v>
      </c>
      <c r="AH145" s="37">
        <f t="shared" si="98"/>
        <v>5.8670112695654801E-2</v>
      </c>
      <c r="AI145" s="40">
        <f t="shared" si="107"/>
        <v>7.0829653678606233E-2</v>
      </c>
      <c r="AJ145" s="39">
        <f t="shared" si="108"/>
        <v>0.44722222222222224</v>
      </c>
      <c r="AK145" s="37">
        <f t="shared" si="99"/>
        <v>0.90949417738882676</v>
      </c>
      <c r="AL145" s="37">
        <f t="shared" si="100"/>
        <v>0.37030000000000002</v>
      </c>
      <c r="AM145" s="37">
        <f t="shared" si="101"/>
        <v>4.5814800000000003E-2</v>
      </c>
      <c r="AN145" s="40">
        <f t="shared" si="109"/>
        <v>0.41611480000000001</v>
      </c>
      <c r="AO145" s="39">
        <f t="shared" si="102"/>
        <v>9.926155904450143E-2</v>
      </c>
      <c r="AP145" s="37">
        <f t="shared" si="103"/>
        <v>6.6521250000000009E-3</v>
      </c>
      <c r="AQ145" s="40">
        <f t="shared" si="104"/>
        <v>2.2499999999999998E-3</v>
      </c>
      <c r="AR145" s="39">
        <f t="shared" si="110"/>
        <v>0.84326203533436128</v>
      </c>
      <c r="AS145" s="37">
        <f t="shared" si="111"/>
        <v>8.0500000000000007</v>
      </c>
      <c r="AT145" s="40">
        <f t="shared" si="112"/>
        <v>90.517967063334638</v>
      </c>
    </row>
    <row r="146" spans="17:46" x14ac:dyDescent="0.3">
      <c r="Q146">
        <v>139</v>
      </c>
      <c r="R146" s="39">
        <f t="shared" si="88"/>
        <v>20</v>
      </c>
      <c r="S146" s="37">
        <f t="shared" si="89"/>
        <v>0.4054166666666667</v>
      </c>
      <c r="T146" s="37">
        <f t="shared" si="90"/>
        <v>5</v>
      </c>
      <c r="U146" s="40">
        <f t="shared" si="91"/>
        <v>1.801851851851852</v>
      </c>
      <c r="V146" s="39">
        <f t="shared" si="92"/>
        <v>2</v>
      </c>
      <c r="W146" s="37">
        <f t="shared" si="93"/>
        <v>0.75</v>
      </c>
      <c r="X146" s="40">
        <f t="shared" si="94"/>
        <v>0.25</v>
      </c>
      <c r="Y146" s="39">
        <f t="shared" si="95"/>
        <v>1.1415525114155252</v>
      </c>
      <c r="Z146" s="37">
        <f t="shared" si="114"/>
        <v>2.3726281075596147</v>
      </c>
      <c r="AA146" s="37">
        <f t="shared" si="115"/>
        <v>1.8317383202981095</v>
      </c>
      <c r="AB146" s="37">
        <v>0</v>
      </c>
      <c r="AC146" s="37">
        <f t="shared" si="96"/>
        <v>0.25164489555364045</v>
      </c>
      <c r="AD146" s="40">
        <f t="shared" si="105"/>
        <v>0.25164489555364045</v>
      </c>
      <c r="AE146" s="39">
        <f t="shared" si="113"/>
        <v>1.351388888888889</v>
      </c>
      <c r="AF146" s="37">
        <f t="shared" si="106"/>
        <v>1.5863319184635998</v>
      </c>
      <c r="AG146" s="37">
        <f t="shared" si="97"/>
        <v>1.2330599882128387E-2</v>
      </c>
      <c r="AH146" s="37">
        <f t="shared" si="98"/>
        <v>5.9095258439826208E-2</v>
      </c>
      <c r="AI146" s="40">
        <f t="shared" si="107"/>
        <v>7.1425858321954597E-2</v>
      </c>
      <c r="AJ146" s="39">
        <f t="shared" si="108"/>
        <v>0.45046296296296301</v>
      </c>
      <c r="AK146" s="37">
        <f t="shared" si="99"/>
        <v>0.91586916014905484</v>
      </c>
      <c r="AL146" s="37">
        <f t="shared" si="100"/>
        <v>0.37298333333333339</v>
      </c>
      <c r="AM146" s="37">
        <f t="shared" si="101"/>
        <v>4.5814800000000003E-2</v>
      </c>
      <c r="AN146" s="40">
        <f t="shared" si="109"/>
        <v>0.41879813333333338</v>
      </c>
      <c r="AO146" s="39">
        <f t="shared" si="102"/>
        <v>0.10065795822145621</v>
      </c>
      <c r="AP146" s="37">
        <f t="shared" si="103"/>
        <v>6.6521250000000009E-3</v>
      </c>
      <c r="AQ146" s="40">
        <f t="shared" si="104"/>
        <v>2.2499999999999998E-3</v>
      </c>
      <c r="AR146" s="39">
        <f t="shared" si="110"/>
        <v>0.85142897043038457</v>
      </c>
      <c r="AS146" s="37">
        <f t="shared" si="111"/>
        <v>8.1083333333333343</v>
      </c>
      <c r="AT146" s="40">
        <f t="shared" si="112"/>
        <v>90.497192430286617</v>
      </c>
    </row>
    <row r="147" spans="17:46" x14ac:dyDescent="0.3">
      <c r="Q147">
        <v>140</v>
      </c>
      <c r="R147" s="39">
        <f t="shared" si="88"/>
        <v>20</v>
      </c>
      <c r="S147" s="37">
        <f t="shared" si="89"/>
        <v>0.40833333333333333</v>
      </c>
      <c r="T147" s="37">
        <f t="shared" si="90"/>
        <v>5</v>
      </c>
      <c r="U147" s="40">
        <f t="shared" si="91"/>
        <v>1.8148148148148147</v>
      </c>
      <c r="V147" s="39">
        <f t="shared" si="92"/>
        <v>2</v>
      </c>
      <c r="W147" s="37">
        <f t="shared" si="93"/>
        <v>0.75</v>
      </c>
      <c r="X147" s="40">
        <f t="shared" si="94"/>
        <v>0.25</v>
      </c>
      <c r="Y147" s="39">
        <f t="shared" si="95"/>
        <v>1.1415525114155252</v>
      </c>
      <c r="Z147" s="37">
        <f t="shared" si="114"/>
        <v>2.3855910705225774</v>
      </c>
      <c r="AA147" s="37">
        <f t="shared" si="115"/>
        <v>1.8444912550884922</v>
      </c>
      <c r="AB147" s="37">
        <v>0</v>
      </c>
      <c r="AC147" s="37">
        <f t="shared" si="96"/>
        <v>0.25516109925734409</v>
      </c>
      <c r="AD147" s="40">
        <f t="shared" si="105"/>
        <v>0.25516109925734409</v>
      </c>
      <c r="AE147" s="39">
        <f t="shared" si="113"/>
        <v>1.3611111111111109</v>
      </c>
      <c r="AF147" s="37">
        <f t="shared" si="106"/>
        <v>1.5973762839648775</v>
      </c>
      <c r="AG147" s="37">
        <f t="shared" si="97"/>
        <v>1.2502893863609862E-2</v>
      </c>
      <c r="AH147" s="37">
        <f t="shared" si="98"/>
        <v>5.9520404183997615E-2</v>
      </c>
      <c r="AI147" s="40">
        <f t="shared" si="107"/>
        <v>7.2023298047607473E-2</v>
      </c>
      <c r="AJ147" s="39">
        <f t="shared" si="108"/>
        <v>0.45370370370370366</v>
      </c>
      <c r="AK147" s="37">
        <f t="shared" si="99"/>
        <v>0.9222456275442461</v>
      </c>
      <c r="AL147" s="37">
        <f t="shared" si="100"/>
        <v>0.37566666666666665</v>
      </c>
      <c r="AM147" s="37">
        <f t="shared" si="101"/>
        <v>4.5814800000000003E-2</v>
      </c>
      <c r="AN147" s="40">
        <f t="shared" si="109"/>
        <v>0.42148146666666664</v>
      </c>
      <c r="AO147" s="39">
        <f t="shared" si="102"/>
        <v>0.10206443970293765</v>
      </c>
      <c r="AP147" s="37">
        <f t="shared" si="103"/>
        <v>6.6521250000000009E-3</v>
      </c>
      <c r="AQ147" s="40">
        <f t="shared" si="104"/>
        <v>2.2499999999999998E-3</v>
      </c>
      <c r="AR147" s="39">
        <f t="shared" si="110"/>
        <v>0.8596324286745558</v>
      </c>
      <c r="AS147" s="37">
        <f t="shared" si="111"/>
        <v>8.1666666666666661</v>
      </c>
      <c r="AT147" s="40">
        <f t="shared" si="112"/>
        <v>90.476357811827427</v>
      </c>
    </row>
    <row r="148" spans="17:46" x14ac:dyDescent="0.3">
      <c r="Q148">
        <v>141</v>
      </c>
      <c r="R148" s="39">
        <f t="shared" si="88"/>
        <v>20</v>
      </c>
      <c r="S148" s="37">
        <f t="shared" si="89"/>
        <v>0.41125</v>
      </c>
      <c r="T148" s="37">
        <f t="shared" si="90"/>
        <v>5</v>
      </c>
      <c r="U148" s="40">
        <f t="shared" si="91"/>
        <v>1.8277777777777777</v>
      </c>
      <c r="V148" s="39">
        <f t="shared" si="92"/>
        <v>2</v>
      </c>
      <c r="W148" s="37">
        <f t="shared" si="93"/>
        <v>0.75</v>
      </c>
      <c r="X148" s="40">
        <f t="shared" si="94"/>
        <v>0.25</v>
      </c>
      <c r="Y148" s="39">
        <f t="shared" si="95"/>
        <v>1.1415525114155252</v>
      </c>
      <c r="Z148" s="37">
        <f t="shared" si="114"/>
        <v>2.3985540334855404</v>
      </c>
      <c r="AA148" s="37">
        <f t="shared" si="115"/>
        <v>1.8572470979826197</v>
      </c>
      <c r="AB148" s="37">
        <v>0</v>
      </c>
      <c r="AC148" s="37">
        <f t="shared" si="96"/>
        <v>0.25870250872236467</v>
      </c>
      <c r="AD148" s="40">
        <f t="shared" si="105"/>
        <v>0.25870250872236467</v>
      </c>
      <c r="AE148" s="39">
        <f t="shared" si="113"/>
        <v>1.3708333333333333</v>
      </c>
      <c r="AF148" s="37">
        <f t="shared" si="106"/>
        <v>1.6084231679578751</v>
      </c>
      <c r="AG148" s="37">
        <f t="shared" si="97"/>
        <v>1.2676422927395873E-2</v>
      </c>
      <c r="AH148" s="37">
        <f t="shared" si="98"/>
        <v>5.9945549928169035E-2</v>
      </c>
      <c r="AI148" s="40">
        <f t="shared" si="107"/>
        <v>7.2621972855564904E-2</v>
      </c>
      <c r="AJ148" s="39">
        <f t="shared" si="108"/>
        <v>0.45694444444444443</v>
      </c>
      <c r="AK148" s="37">
        <f t="shared" si="99"/>
        <v>0.92862354899130983</v>
      </c>
      <c r="AL148" s="37">
        <f t="shared" si="100"/>
        <v>0.37835000000000002</v>
      </c>
      <c r="AM148" s="37">
        <f t="shared" si="101"/>
        <v>4.5814800000000003E-2</v>
      </c>
      <c r="AN148" s="40">
        <f t="shared" si="109"/>
        <v>0.42416480000000001</v>
      </c>
      <c r="AO148" s="39">
        <f t="shared" si="102"/>
        <v>0.10348100348894589</v>
      </c>
      <c r="AP148" s="37">
        <f t="shared" si="103"/>
        <v>6.6521250000000009E-3</v>
      </c>
      <c r="AQ148" s="40">
        <f t="shared" si="104"/>
        <v>2.2499999999999998E-3</v>
      </c>
      <c r="AR148" s="39">
        <f t="shared" si="110"/>
        <v>0.86787241006687543</v>
      </c>
      <c r="AS148" s="37">
        <f t="shared" si="111"/>
        <v>8.2249999999999996</v>
      </c>
      <c r="AT148" s="40">
        <f t="shared" si="112"/>
        <v>90.45546477583872</v>
      </c>
    </row>
    <row r="149" spans="17:46" x14ac:dyDescent="0.3">
      <c r="Q149">
        <v>142</v>
      </c>
      <c r="R149" s="39">
        <f t="shared" si="88"/>
        <v>20</v>
      </c>
      <c r="S149" s="37">
        <f t="shared" si="89"/>
        <v>0.41416666666666668</v>
      </c>
      <c r="T149" s="37">
        <f t="shared" si="90"/>
        <v>5</v>
      </c>
      <c r="U149" s="40">
        <f t="shared" si="91"/>
        <v>1.8407407407407408</v>
      </c>
      <c r="V149" s="39">
        <f t="shared" si="92"/>
        <v>2</v>
      </c>
      <c r="W149" s="37">
        <f t="shared" si="93"/>
        <v>0.75</v>
      </c>
      <c r="X149" s="40">
        <f t="shared" si="94"/>
        <v>0.25</v>
      </c>
      <c r="Y149" s="39">
        <f t="shared" si="95"/>
        <v>1.1415525114155252</v>
      </c>
      <c r="Z149" s="37">
        <f t="shared" si="114"/>
        <v>2.4115169964485035</v>
      </c>
      <c r="AA149" s="37">
        <f t="shared" si="115"/>
        <v>1.870005789469477</v>
      </c>
      <c r="AB149" s="37">
        <v>0</v>
      </c>
      <c r="AC149" s="37">
        <f t="shared" si="96"/>
        <v>0.26226912394870217</v>
      </c>
      <c r="AD149" s="40">
        <f t="shared" si="105"/>
        <v>0.26226912394870217</v>
      </c>
      <c r="AE149" s="39">
        <f t="shared" si="113"/>
        <v>1.3805555555555555</v>
      </c>
      <c r="AF149" s="37">
        <f t="shared" si="106"/>
        <v>1.619472518904542</v>
      </c>
      <c r="AG149" s="37">
        <f t="shared" si="97"/>
        <v>1.2851187073486411E-2</v>
      </c>
      <c r="AH149" s="37">
        <f t="shared" si="98"/>
        <v>6.0370695672340449E-2</v>
      </c>
      <c r="AI149" s="40">
        <f t="shared" si="107"/>
        <v>7.3221882745826861E-2</v>
      </c>
      <c r="AJ149" s="39">
        <f t="shared" si="108"/>
        <v>0.4601851851851852</v>
      </c>
      <c r="AK149" s="37">
        <f t="shared" si="99"/>
        <v>0.93500289473473863</v>
      </c>
      <c r="AL149" s="37">
        <f t="shared" si="100"/>
        <v>0.38103333333333339</v>
      </c>
      <c r="AM149" s="37">
        <f t="shared" si="101"/>
        <v>4.5814800000000003E-2</v>
      </c>
      <c r="AN149" s="40">
        <f t="shared" si="109"/>
        <v>0.42684813333333338</v>
      </c>
      <c r="AO149" s="39">
        <f t="shared" si="102"/>
        <v>0.1049076495794809</v>
      </c>
      <c r="AP149" s="37">
        <f t="shared" si="103"/>
        <v>6.6521250000000009E-3</v>
      </c>
      <c r="AQ149" s="40">
        <f t="shared" si="104"/>
        <v>2.2499999999999998E-3</v>
      </c>
      <c r="AR149" s="39">
        <f t="shared" si="110"/>
        <v>0.87614891460734334</v>
      </c>
      <c r="AS149" s="37">
        <f t="shared" si="111"/>
        <v>8.2833333333333332</v>
      </c>
      <c r="AT149" s="40">
        <f t="shared" si="112"/>
        <v>90.434514846029344</v>
      </c>
    </row>
    <row r="150" spans="17:46" x14ac:dyDescent="0.3">
      <c r="Q150">
        <v>143</v>
      </c>
      <c r="R150" s="39">
        <f t="shared" si="88"/>
        <v>20</v>
      </c>
      <c r="S150" s="37">
        <f t="shared" si="89"/>
        <v>0.41708333333333336</v>
      </c>
      <c r="T150" s="37">
        <f t="shared" si="90"/>
        <v>5</v>
      </c>
      <c r="U150" s="40">
        <f t="shared" si="91"/>
        <v>1.8537037037037036</v>
      </c>
      <c r="V150" s="39">
        <f t="shared" si="92"/>
        <v>2</v>
      </c>
      <c r="W150" s="37">
        <f t="shared" si="93"/>
        <v>0.75</v>
      </c>
      <c r="X150" s="40">
        <f t="shared" si="94"/>
        <v>0.25</v>
      </c>
      <c r="Y150" s="39">
        <f t="shared" si="95"/>
        <v>1.1415525114155252</v>
      </c>
      <c r="Z150" s="37">
        <f t="shared" si="114"/>
        <v>2.4244799594114661</v>
      </c>
      <c r="AA150" s="37">
        <f t="shared" si="115"/>
        <v>1.8827672716380586</v>
      </c>
      <c r="AB150" s="37">
        <v>0</v>
      </c>
      <c r="AC150" s="37">
        <f t="shared" si="96"/>
        <v>0.26586094493635642</v>
      </c>
      <c r="AD150" s="40">
        <f t="shared" si="105"/>
        <v>0.26586094493635642</v>
      </c>
      <c r="AE150" s="39">
        <f t="shared" si="113"/>
        <v>1.3902777777777777</v>
      </c>
      <c r="AF150" s="37">
        <f t="shared" si="106"/>
        <v>1.6305242866524754</v>
      </c>
      <c r="AG150" s="37">
        <f t="shared" si="97"/>
        <v>1.3027186301881466E-2</v>
      </c>
      <c r="AH150" s="37">
        <f t="shared" si="98"/>
        <v>6.0795841416511863E-2</v>
      </c>
      <c r="AI150" s="40">
        <f t="shared" si="107"/>
        <v>7.382302771839333E-2</v>
      </c>
      <c r="AJ150" s="39">
        <f t="shared" si="108"/>
        <v>0.46342592592592591</v>
      </c>
      <c r="AK150" s="37">
        <f t="shared" si="99"/>
        <v>0.94138363581902917</v>
      </c>
      <c r="AL150" s="37">
        <f t="shared" si="100"/>
        <v>0.38371666666666671</v>
      </c>
      <c r="AM150" s="37">
        <f t="shared" si="101"/>
        <v>4.5814800000000003E-2</v>
      </c>
      <c r="AN150" s="40">
        <f t="shared" si="109"/>
        <v>0.42953146666666669</v>
      </c>
      <c r="AO150" s="39">
        <f t="shared" si="102"/>
        <v>0.10634437797454256</v>
      </c>
      <c r="AP150" s="37">
        <f t="shared" si="103"/>
        <v>6.6521250000000009E-3</v>
      </c>
      <c r="AQ150" s="40">
        <f t="shared" si="104"/>
        <v>2.2499999999999998E-3</v>
      </c>
      <c r="AR150" s="39">
        <f t="shared" si="110"/>
        <v>0.88446194229595909</v>
      </c>
      <c r="AS150" s="37">
        <f t="shared" si="111"/>
        <v>8.3416666666666668</v>
      </c>
      <c r="AT150" s="40">
        <f t="shared" si="112"/>
        <v>90.413509503468688</v>
      </c>
    </row>
    <row r="151" spans="17:46" x14ac:dyDescent="0.3">
      <c r="Q151">
        <v>144</v>
      </c>
      <c r="R151" s="39">
        <f t="shared" si="88"/>
        <v>20</v>
      </c>
      <c r="S151" s="37">
        <f t="shared" si="89"/>
        <v>0.42000000000000004</v>
      </c>
      <c r="T151" s="37">
        <f t="shared" si="90"/>
        <v>5</v>
      </c>
      <c r="U151" s="40">
        <f t="shared" si="91"/>
        <v>1.8666666666666667</v>
      </c>
      <c r="V151" s="39">
        <f t="shared" si="92"/>
        <v>2</v>
      </c>
      <c r="W151" s="37">
        <f t="shared" si="93"/>
        <v>0.75</v>
      </c>
      <c r="X151" s="40">
        <f t="shared" si="94"/>
        <v>0.25</v>
      </c>
      <c r="Y151" s="39">
        <f t="shared" si="95"/>
        <v>1.1415525114155252</v>
      </c>
      <c r="Z151" s="37">
        <f t="shared" si="114"/>
        <v>2.4374429223744292</v>
      </c>
      <c r="AA151" s="37">
        <f t="shared" si="115"/>
        <v>1.8955314881243823</v>
      </c>
      <c r="AB151" s="37">
        <v>0</v>
      </c>
      <c r="AC151" s="37">
        <f t="shared" si="96"/>
        <v>0.26947797168532761</v>
      </c>
      <c r="AD151" s="40">
        <f t="shared" si="105"/>
        <v>0.26947797168532761</v>
      </c>
      <c r="AE151" s="39">
        <f t="shared" si="113"/>
        <v>1.4</v>
      </c>
      <c r="AF151" s="37">
        <f t="shared" si="106"/>
        <v>1.641578422389036</v>
      </c>
      <c r="AG151" s="37">
        <f t="shared" si="97"/>
        <v>1.3204420612581057E-2</v>
      </c>
      <c r="AH151" s="37">
        <f t="shared" si="98"/>
        <v>6.1220987160683277E-2</v>
      </c>
      <c r="AI151" s="40">
        <f t="shared" si="107"/>
        <v>7.442540777326434E-2</v>
      </c>
      <c r="AJ151" s="39">
        <f t="shared" si="108"/>
        <v>0.46666666666666667</v>
      </c>
      <c r="AK151" s="37">
        <f t="shared" si="99"/>
        <v>0.94776574406219105</v>
      </c>
      <c r="AL151" s="37">
        <f t="shared" si="100"/>
        <v>0.38640000000000008</v>
      </c>
      <c r="AM151" s="37">
        <f t="shared" si="101"/>
        <v>4.5814800000000003E-2</v>
      </c>
      <c r="AN151" s="40">
        <f t="shared" si="109"/>
        <v>0.43221480000000007</v>
      </c>
      <c r="AO151" s="39">
        <f t="shared" si="102"/>
        <v>0.10779118867413105</v>
      </c>
      <c r="AP151" s="37">
        <f t="shared" si="103"/>
        <v>6.6521250000000009E-3</v>
      </c>
      <c r="AQ151" s="40">
        <f t="shared" si="104"/>
        <v>2.2499999999999998E-3</v>
      </c>
      <c r="AR151" s="39">
        <f t="shared" si="110"/>
        <v>0.89281149313272301</v>
      </c>
      <c r="AS151" s="37">
        <f t="shared" si="111"/>
        <v>8.4</v>
      </c>
      <c r="AT151" s="40">
        <f t="shared" si="112"/>
        <v>90.392450188056657</v>
      </c>
    </row>
    <row r="152" spans="17:46" x14ac:dyDescent="0.3">
      <c r="Q152">
        <v>145</v>
      </c>
      <c r="R152" s="39">
        <f t="shared" si="88"/>
        <v>20</v>
      </c>
      <c r="S152" s="37">
        <f t="shared" si="89"/>
        <v>0.42291666666666666</v>
      </c>
      <c r="T152" s="37">
        <f t="shared" si="90"/>
        <v>5</v>
      </c>
      <c r="U152" s="40">
        <f t="shared" si="91"/>
        <v>1.8796296296296298</v>
      </c>
      <c r="V152" s="39">
        <f t="shared" si="92"/>
        <v>2</v>
      </c>
      <c r="W152" s="37">
        <f t="shared" si="93"/>
        <v>0.75</v>
      </c>
      <c r="X152" s="40">
        <f t="shared" si="94"/>
        <v>0.25</v>
      </c>
      <c r="Y152" s="39">
        <f t="shared" si="95"/>
        <v>1.1415525114155252</v>
      </c>
      <c r="Z152" s="37">
        <f t="shared" si="114"/>
        <v>2.4504058853373922</v>
      </c>
      <c r="AA152" s="37">
        <f t="shared" si="115"/>
        <v>1.9082983840605772</v>
      </c>
      <c r="AB152" s="37">
        <v>0</v>
      </c>
      <c r="AC152" s="37">
        <f t="shared" si="96"/>
        <v>0.27312020419561572</v>
      </c>
      <c r="AD152" s="40">
        <f t="shared" si="105"/>
        <v>0.27312020419561572</v>
      </c>
      <c r="AE152" s="39">
        <f t="shared" si="113"/>
        <v>1.4097222222222223</v>
      </c>
      <c r="AF152" s="37">
        <f t="shared" si="106"/>
        <v>1.6526348785972531</v>
      </c>
      <c r="AG152" s="37">
        <f t="shared" si="97"/>
        <v>1.3382890005585173E-2</v>
      </c>
      <c r="AH152" s="37">
        <f t="shared" si="98"/>
        <v>6.1646132904854684E-2</v>
      </c>
      <c r="AI152" s="40">
        <f t="shared" si="107"/>
        <v>7.5029022910439863E-2</v>
      </c>
      <c r="AJ152" s="39">
        <f t="shared" si="108"/>
        <v>0.46990740740740744</v>
      </c>
      <c r="AK152" s="37">
        <f t="shared" si="99"/>
        <v>0.95414919203028847</v>
      </c>
      <c r="AL152" s="37">
        <f t="shared" si="100"/>
        <v>0.38908333333333334</v>
      </c>
      <c r="AM152" s="37">
        <f t="shared" si="101"/>
        <v>4.5814800000000003E-2</v>
      </c>
      <c r="AN152" s="40">
        <f t="shared" si="109"/>
        <v>0.43489813333333333</v>
      </c>
      <c r="AO152" s="39">
        <f t="shared" si="102"/>
        <v>0.10924808167824629</v>
      </c>
      <c r="AP152" s="37">
        <f t="shared" si="103"/>
        <v>6.6521250000000009E-3</v>
      </c>
      <c r="AQ152" s="40">
        <f t="shared" si="104"/>
        <v>2.2499999999999998E-3</v>
      </c>
      <c r="AR152" s="39">
        <f t="shared" si="110"/>
        <v>0.90119756711763521</v>
      </c>
      <c r="AS152" s="37">
        <f t="shared" si="111"/>
        <v>8.4583333333333339</v>
      </c>
      <c r="AT152" s="40">
        <f t="shared" si="112"/>
        <v>90.371338299933257</v>
      </c>
    </row>
    <row r="153" spans="17:46" x14ac:dyDescent="0.3">
      <c r="Q153">
        <v>146</v>
      </c>
      <c r="R153" s="39">
        <f t="shared" si="88"/>
        <v>20</v>
      </c>
      <c r="S153" s="37">
        <f t="shared" si="89"/>
        <v>0.42583333333333334</v>
      </c>
      <c r="T153" s="37">
        <f t="shared" si="90"/>
        <v>5</v>
      </c>
      <c r="U153" s="40">
        <f t="shared" si="91"/>
        <v>1.8925925925925928</v>
      </c>
      <c r="V153" s="39">
        <f t="shared" si="92"/>
        <v>2</v>
      </c>
      <c r="W153" s="37">
        <f t="shared" si="93"/>
        <v>0.75</v>
      </c>
      <c r="X153" s="40">
        <f t="shared" si="94"/>
        <v>0.25</v>
      </c>
      <c r="Y153" s="39">
        <f t="shared" si="95"/>
        <v>1.1415525114155252</v>
      </c>
      <c r="Z153" s="37">
        <f t="shared" si="114"/>
        <v>2.4633688483003553</v>
      </c>
      <c r="AA153" s="37">
        <f t="shared" si="115"/>
        <v>1.9210679060259539</v>
      </c>
      <c r="AB153" s="37">
        <v>0</v>
      </c>
      <c r="AC153" s="37">
        <f t="shared" si="96"/>
        <v>0.27678764246722071</v>
      </c>
      <c r="AD153" s="40">
        <f t="shared" si="105"/>
        <v>0.27678764246722071</v>
      </c>
      <c r="AE153" s="39">
        <f t="shared" si="113"/>
        <v>1.4194444444444447</v>
      </c>
      <c r="AF153" s="37">
        <f t="shared" si="106"/>
        <v>1.6636936090134526</v>
      </c>
      <c r="AG153" s="37">
        <f t="shared" si="97"/>
        <v>1.3562594480893817E-2</v>
      </c>
      <c r="AH153" s="37">
        <f t="shared" si="98"/>
        <v>6.2071278649026097E-2</v>
      </c>
      <c r="AI153" s="40">
        <f t="shared" si="107"/>
        <v>7.5633873129919912E-2</v>
      </c>
      <c r="AJ153" s="39">
        <f t="shared" si="108"/>
        <v>0.47314814814814821</v>
      </c>
      <c r="AK153" s="37">
        <f t="shared" si="99"/>
        <v>0.96053395301297695</v>
      </c>
      <c r="AL153" s="37">
        <f t="shared" si="100"/>
        <v>0.39176666666666671</v>
      </c>
      <c r="AM153" s="37">
        <f t="shared" si="101"/>
        <v>4.5814800000000003E-2</v>
      </c>
      <c r="AN153" s="40">
        <f t="shared" si="109"/>
        <v>0.4375814666666667</v>
      </c>
      <c r="AO153" s="39">
        <f t="shared" si="102"/>
        <v>0.11071505698688829</v>
      </c>
      <c r="AP153" s="37">
        <f t="shared" si="103"/>
        <v>6.6521250000000009E-3</v>
      </c>
      <c r="AQ153" s="40">
        <f t="shared" si="104"/>
        <v>2.2499999999999998E-3</v>
      </c>
      <c r="AR153" s="39">
        <f t="shared" si="110"/>
        <v>0.90962016425069547</v>
      </c>
      <c r="AS153" s="37">
        <f t="shared" si="111"/>
        <v>8.5166666666666675</v>
      </c>
      <c r="AT153" s="40">
        <f t="shared" si="112"/>
        <v>90.350175200830691</v>
      </c>
    </row>
    <row r="154" spans="17:46" x14ac:dyDescent="0.3">
      <c r="Q154">
        <v>147</v>
      </c>
      <c r="R154" s="39">
        <f t="shared" si="88"/>
        <v>20</v>
      </c>
      <c r="S154" s="37">
        <f t="shared" si="89"/>
        <v>0.42875000000000002</v>
      </c>
      <c r="T154" s="37">
        <f t="shared" si="90"/>
        <v>5</v>
      </c>
      <c r="U154" s="40">
        <f t="shared" si="91"/>
        <v>1.9055555555555559</v>
      </c>
      <c r="V154" s="39">
        <f t="shared" si="92"/>
        <v>2</v>
      </c>
      <c r="W154" s="37">
        <f t="shared" si="93"/>
        <v>0.75</v>
      </c>
      <c r="X154" s="40">
        <f t="shared" si="94"/>
        <v>0.25</v>
      </c>
      <c r="Y154" s="39">
        <f t="shared" si="95"/>
        <v>1.1415525114155252</v>
      </c>
      <c r="Z154" s="37">
        <f t="shared" si="114"/>
        <v>2.4763318112633184</v>
      </c>
      <c r="AA154" s="37">
        <f t="shared" si="115"/>
        <v>1.9338400019999675</v>
      </c>
      <c r="AB154" s="37">
        <v>0</v>
      </c>
      <c r="AC154" s="37">
        <f t="shared" si="96"/>
        <v>0.28048028650014256</v>
      </c>
      <c r="AD154" s="40">
        <f t="shared" si="105"/>
        <v>0.28048028650014256</v>
      </c>
      <c r="AE154" s="39">
        <f t="shared" si="113"/>
        <v>1.4291666666666669</v>
      </c>
      <c r="AF154" s="37">
        <f t="shared" si="106"/>
        <v>1.6747545685865213</v>
      </c>
      <c r="AG154" s="37">
        <f t="shared" si="97"/>
        <v>1.3743534038506986E-2</v>
      </c>
      <c r="AH154" s="37">
        <f t="shared" si="98"/>
        <v>6.2496424393197511E-2</v>
      </c>
      <c r="AI154" s="40">
        <f t="shared" si="107"/>
        <v>7.6239958431704502E-2</v>
      </c>
      <c r="AJ154" s="39">
        <f t="shared" si="108"/>
        <v>0.47638888888888897</v>
      </c>
      <c r="AK154" s="37">
        <f t="shared" si="99"/>
        <v>0.96692000099998365</v>
      </c>
      <c r="AL154" s="37">
        <f t="shared" si="100"/>
        <v>0.39445000000000002</v>
      </c>
      <c r="AM154" s="37">
        <f t="shared" si="101"/>
        <v>4.5814800000000003E-2</v>
      </c>
      <c r="AN154" s="40">
        <f t="shared" si="109"/>
        <v>0.44026480000000001</v>
      </c>
      <c r="AO154" s="39">
        <f t="shared" si="102"/>
        <v>0.11219211460005701</v>
      </c>
      <c r="AP154" s="37">
        <f t="shared" si="103"/>
        <v>6.6521250000000009E-3</v>
      </c>
      <c r="AQ154" s="40">
        <f t="shared" si="104"/>
        <v>2.2499999999999998E-3</v>
      </c>
      <c r="AR154" s="39">
        <f t="shared" si="110"/>
        <v>0.91807928453190413</v>
      </c>
      <c r="AS154" s="37">
        <f t="shared" si="111"/>
        <v>8.5750000000000011</v>
      </c>
      <c r="AT154" s="40">
        <f t="shared" si="112"/>
        <v>90.328962215370623</v>
      </c>
    </row>
    <row r="155" spans="17:46" x14ac:dyDescent="0.3">
      <c r="Q155">
        <v>148</v>
      </c>
      <c r="R155" s="39">
        <f t="shared" si="88"/>
        <v>20</v>
      </c>
      <c r="S155" s="37">
        <f t="shared" si="89"/>
        <v>0.4316666666666667</v>
      </c>
      <c r="T155" s="37">
        <f t="shared" si="90"/>
        <v>5</v>
      </c>
      <c r="U155" s="40">
        <f t="shared" si="91"/>
        <v>1.9185185185185187</v>
      </c>
      <c r="V155" s="39">
        <f t="shared" si="92"/>
        <v>2</v>
      </c>
      <c r="W155" s="37">
        <f t="shared" si="93"/>
        <v>0.75</v>
      </c>
      <c r="X155" s="40">
        <f t="shared" si="94"/>
        <v>0.25</v>
      </c>
      <c r="Y155" s="39">
        <f t="shared" si="95"/>
        <v>1.1415525114155252</v>
      </c>
      <c r="Z155" s="37">
        <f t="shared" si="114"/>
        <v>2.4892947742262814</v>
      </c>
      <c r="AA155" s="37">
        <f t="shared" si="115"/>
        <v>1.9466146213169886</v>
      </c>
      <c r="AB155" s="37">
        <v>0</v>
      </c>
      <c r="AC155" s="37">
        <f t="shared" si="96"/>
        <v>0.28419813629438118</v>
      </c>
      <c r="AD155" s="40">
        <f t="shared" si="105"/>
        <v>0.28419813629438118</v>
      </c>
      <c r="AE155" s="39">
        <f t="shared" si="113"/>
        <v>1.4388888888888891</v>
      </c>
      <c r="AF155" s="37">
        <f t="shared" si="106"/>
        <v>1.6858177134387373</v>
      </c>
      <c r="AG155" s="37">
        <f t="shared" si="97"/>
        <v>1.3925708678424685E-2</v>
      </c>
      <c r="AH155" s="37">
        <f t="shared" si="98"/>
        <v>6.2921570137368918E-2</v>
      </c>
      <c r="AI155" s="40">
        <f t="shared" si="107"/>
        <v>7.6847278815793604E-2</v>
      </c>
      <c r="AJ155" s="39">
        <f t="shared" si="108"/>
        <v>0.47962962962962968</v>
      </c>
      <c r="AK155" s="37">
        <f t="shared" si="99"/>
        <v>0.97330731065849441</v>
      </c>
      <c r="AL155" s="37">
        <f t="shared" si="100"/>
        <v>0.39713333333333339</v>
      </c>
      <c r="AM155" s="37">
        <f t="shared" si="101"/>
        <v>4.5814800000000003E-2</v>
      </c>
      <c r="AN155" s="40">
        <f t="shared" si="109"/>
        <v>0.44294813333333338</v>
      </c>
      <c r="AO155" s="39">
        <f t="shared" si="102"/>
        <v>0.11367925451775251</v>
      </c>
      <c r="AP155" s="37">
        <f t="shared" si="103"/>
        <v>6.6521250000000009E-3</v>
      </c>
      <c r="AQ155" s="40">
        <f t="shared" si="104"/>
        <v>2.2499999999999998E-3</v>
      </c>
      <c r="AR155" s="39">
        <f t="shared" si="110"/>
        <v>0.92657492796126062</v>
      </c>
      <c r="AS155" s="37">
        <f t="shared" si="111"/>
        <v>8.6333333333333346</v>
      </c>
      <c r="AT155" s="40">
        <f t="shared" si="112"/>
        <v>90.307700632309377</v>
      </c>
    </row>
    <row r="156" spans="17:46" x14ac:dyDescent="0.3">
      <c r="Q156">
        <v>149</v>
      </c>
      <c r="R156" s="39">
        <f t="shared" si="88"/>
        <v>20</v>
      </c>
      <c r="S156" s="37">
        <f t="shared" si="89"/>
        <v>0.43458333333333338</v>
      </c>
      <c r="T156" s="37">
        <f t="shared" si="90"/>
        <v>5</v>
      </c>
      <c r="U156" s="40">
        <f t="shared" si="91"/>
        <v>1.9314814814814818</v>
      </c>
      <c r="V156" s="39">
        <f t="shared" si="92"/>
        <v>2</v>
      </c>
      <c r="W156" s="37">
        <f t="shared" si="93"/>
        <v>0.75</v>
      </c>
      <c r="X156" s="40">
        <f t="shared" si="94"/>
        <v>0.25</v>
      </c>
      <c r="Y156" s="39">
        <f t="shared" si="95"/>
        <v>1.1415525114155252</v>
      </c>
      <c r="Z156" s="37">
        <f t="shared" si="114"/>
        <v>2.5022577371892445</v>
      </c>
      <c r="AA156" s="37">
        <f t="shared" si="115"/>
        <v>1.9593917146228037</v>
      </c>
      <c r="AB156" s="37">
        <v>0</v>
      </c>
      <c r="AC156" s="37">
        <f t="shared" si="96"/>
        <v>0.28794119184993677</v>
      </c>
      <c r="AD156" s="40">
        <f t="shared" si="105"/>
        <v>0.28794119184993677</v>
      </c>
      <c r="AE156" s="39">
        <f t="shared" si="113"/>
        <v>1.4486111111111113</v>
      </c>
      <c r="AF156" s="37">
        <f t="shared" si="106"/>
        <v>1.6968830008280973</v>
      </c>
      <c r="AG156" s="37">
        <f t="shared" si="97"/>
        <v>1.4109118400646907E-2</v>
      </c>
      <c r="AH156" s="37">
        <f t="shared" si="98"/>
        <v>6.3346715881540339E-2</v>
      </c>
      <c r="AI156" s="40">
        <f t="shared" si="107"/>
        <v>7.7455834282187247E-2</v>
      </c>
      <c r="AJ156" s="39">
        <f t="shared" si="108"/>
        <v>0.48287037037037045</v>
      </c>
      <c r="AK156" s="37">
        <f t="shared" si="99"/>
        <v>0.97969585731140196</v>
      </c>
      <c r="AL156" s="37">
        <f t="shared" si="100"/>
        <v>0.39981666666666671</v>
      </c>
      <c r="AM156" s="37">
        <f t="shared" si="101"/>
        <v>4.5814800000000003E-2</v>
      </c>
      <c r="AN156" s="40">
        <f t="shared" si="109"/>
        <v>0.4456314666666667</v>
      </c>
      <c r="AO156" s="39">
        <f t="shared" si="102"/>
        <v>0.11517647673997473</v>
      </c>
      <c r="AP156" s="37">
        <f t="shared" si="103"/>
        <v>6.6521250000000009E-3</v>
      </c>
      <c r="AQ156" s="40">
        <f t="shared" si="104"/>
        <v>2.2499999999999998E-3</v>
      </c>
      <c r="AR156" s="39">
        <f t="shared" si="110"/>
        <v>0.9351070945387655</v>
      </c>
      <c r="AS156" s="37">
        <f t="shared" si="111"/>
        <v>8.6916666666666682</v>
      </c>
      <c r="AT156" s="40">
        <f t="shared" si="112"/>
        <v>90.286391705733067</v>
      </c>
    </row>
    <row r="157" spans="17:46" ht="15" thickBot="1" x14ac:dyDescent="0.35">
      <c r="Q157">
        <v>150</v>
      </c>
      <c r="R157" s="41">
        <f t="shared" si="88"/>
        <v>20</v>
      </c>
      <c r="S157" s="42">
        <f t="shared" si="89"/>
        <v>0.4375</v>
      </c>
      <c r="T157" s="42">
        <f t="shared" si="90"/>
        <v>5</v>
      </c>
      <c r="U157" s="43">
        <f t="shared" si="91"/>
        <v>1.9444444444444444</v>
      </c>
      <c r="V157" s="41">
        <f t="shared" si="92"/>
        <v>2</v>
      </c>
      <c r="W157" s="42">
        <f t="shared" si="93"/>
        <v>0.75</v>
      </c>
      <c r="X157" s="43">
        <f t="shared" si="94"/>
        <v>0.25</v>
      </c>
      <c r="Y157" s="41">
        <f t="shared" si="95"/>
        <v>1.1415525114155252</v>
      </c>
      <c r="Z157" s="42">
        <f t="shared" si="114"/>
        <v>2.5152207001522071</v>
      </c>
      <c r="AA157" s="42">
        <f t="shared" si="115"/>
        <v>1.9721712338327662</v>
      </c>
      <c r="AB157" s="42">
        <v>0</v>
      </c>
      <c r="AC157" s="42">
        <f t="shared" si="96"/>
        <v>0.29170945316680913</v>
      </c>
      <c r="AD157" s="43">
        <f t="shared" si="105"/>
        <v>0.29170945316680913</v>
      </c>
      <c r="AE157" s="41">
        <f t="shared" si="113"/>
        <v>1.4583333333333333</v>
      </c>
      <c r="AF157" s="37">
        <f t="shared" si="106"/>
        <v>1.707950389112076</v>
      </c>
      <c r="AG157" s="42">
        <f t="shared" si="97"/>
        <v>1.4293763205173652E-2</v>
      </c>
      <c r="AH157" s="42">
        <f t="shared" si="98"/>
        <v>6.3771861625711732E-2</v>
      </c>
      <c r="AI157" s="43">
        <f t="shared" si="107"/>
        <v>7.8065624830885388E-2</v>
      </c>
      <c r="AJ157" s="41">
        <f>X157*U157</f>
        <v>0.4861111111111111</v>
      </c>
      <c r="AK157" s="42">
        <f t="shared" si="99"/>
        <v>0.98608561691638308</v>
      </c>
      <c r="AL157" s="42">
        <f t="shared" si="100"/>
        <v>0.40250000000000002</v>
      </c>
      <c r="AM157" s="42">
        <f t="shared" si="101"/>
        <v>4.5814800000000003E-2</v>
      </c>
      <c r="AN157" s="43">
        <f t="shared" si="109"/>
        <v>0.44831480000000001</v>
      </c>
      <c r="AO157" s="41">
        <f t="shared" si="102"/>
        <v>0.11668378126672367</v>
      </c>
      <c r="AP157" s="42">
        <f t="shared" si="103"/>
        <v>6.6521250000000009E-3</v>
      </c>
      <c r="AQ157" s="43">
        <f t="shared" si="104"/>
        <v>2.2499999999999998E-3</v>
      </c>
      <c r="AR157" s="41">
        <f t="shared" si="110"/>
        <v>0.94367578426441823</v>
      </c>
      <c r="AS157" s="42">
        <f t="shared" si="111"/>
        <v>8.75</v>
      </c>
      <c r="AT157" s="43">
        <f>(AS157/(AS157+AR157))*100</f>
        <v>90.265036656205581</v>
      </c>
    </row>
  </sheetData>
  <mergeCells count="7">
    <mergeCell ref="AO5:AQ5"/>
    <mergeCell ref="A1:M1"/>
    <mergeCell ref="R5:U5"/>
    <mergeCell ref="V5:X5"/>
    <mergeCell ref="Y5:AD5"/>
    <mergeCell ref="AE5:AI5"/>
    <mergeCell ref="AJ5:AN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Y708"/>
  <sheetViews>
    <sheetView topLeftCell="R1" zoomScale="80" zoomScaleNormal="80" workbookViewId="0">
      <selection activeCell="AY19" sqref="AY19:AY559"/>
    </sheetView>
  </sheetViews>
  <sheetFormatPr defaultColWidth="9.109375" defaultRowHeight="14.4" x14ac:dyDescent="0.3"/>
  <cols>
    <col min="1" max="1" width="13.109375" style="98" customWidth="1"/>
    <col min="2" max="2" width="25" style="98" customWidth="1"/>
    <col min="3" max="7" width="9.109375" style="98"/>
    <col min="8" max="10" width="8.88671875" style="98"/>
    <col min="11" max="11" width="12" style="98" bestFit="1" customWidth="1"/>
    <col min="12" max="14" width="9.109375" style="98"/>
    <col min="15" max="15" width="16.6640625" style="199" bestFit="1" customWidth="1"/>
    <col min="16" max="16" width="16.6640625" style="98" customWidth="1"/>
    <col min="17" max="25" width="9.109375" style="98"/>
    <col min="26" max="26" width="8.44140625" style="98" customWidth="1"/>
    <col min="27" max="28" width="9.109375" style="98"/>
    <col min="29" max="29" width="8.88671875" style="98"/>
    <col min="30" max="32" width="9.109375" style="98"/>
    <col min="33" max="33" width="10.109375" style="98" customWidth="1"/>
    <col min="34" max="34" width="12" style="98" bestFit="1" customWidth="1"/>
    <col min="35" max="41" width="9.109375" style="98"/>
    <col min="42" max="42" width="8.88671875" style="98"/>
    <col min="43" max="44" width="9.109375" style="98"/>
    <col min="45" max="45" width="8.88671875" style="98" customWidth="1"/>
    <col min="46" max="47" width="9.109375" style="98"/>
    <col min="48" max="48" width="11.88671875" style="98" bestFit="1" customWidth="1"/>
    <col min="49" max="16384" width="9.109375" style="98"/>
  </cols>
  <sheetData>
    <row r="1" spans="1:51" ht="28.2" x14ac:dyDescent="0.5">
      <c r="A1" s="237" t="s">
        <v>15</v>
      </c>
      <c r="B1" s="237"/>
      <c r="C1" s="237"/>
      <c r="D1" s="237"/>
      <c r="E1" s="237"/>
      <c r="F1" s="237"/>
      <c r="G1" s="237"/>
      <c r="H1" s="237"/>
      <c r="I1" s="237"/>
      <c r="J1" s="237"/>
      <c r="K1" s="237"/>
      <c r="L1" s="237"/>
      <c r="M1" s="237"/>
      <c r="N1" s="237" t="s">
        <v>229</v>
      </c>
      <c r="O1" s="237"/>
      <c r="P1" s="237"/>
      <c r="Q1" s="237"/>
      <c r="R1" s="237"/>
      <c r="S1" s="237"/>
      <c r="T1" s="237"/>
      <c r="U1" s="237"/>
      <c r="V1" s="237"/>
      <c r="W1" s="237"/>
      <c r="X1" s="237"/>
    </row>
    <row r="2" spans="1:51" x14ac:dyDescent="0.3">
      <c r="A2" s="158"/>
      <c r="B2" s="158" t="s">
        <v>16</v>
      </c>
      <c r="C2" s="159"/>
      <c r="D2" s="160"/>
      <c r="E2" s="158"/>
      <c r="F2" s="158"/>
      <c r="G2" s="158"/>
      <c r="H2" s="158"/>
      <c r="I2" s="158"/>
      <c r="J2" s="158"/>
      <c r="K2" s="158"/>
      <c r="L2" s="158"/>
      <c r="M2" s="158"/>
      <c r="O2" s="98"/>
    </row>
    <row r="3" spans="1:51" ht="15" thickBot="1" x14ac:dyDescent="0.35">
      <c r="A3" s="158"/>
      <c r="B3" s="158" t="s">
        <v>17</v>
      </c>
      <c r="C3" s="161"/>
      <c r="D3" s="160"/>
      <c r="E3" s="158"/>
      <c r="F3" s="162"/>
      <c r="G3" s="163"/>
      <c r="H3" s="163"/>
      <c r="I3" s="163"/>
      <c r="J3" s="163"/>
      <c r="K3" s="164"/>
      <c r="L3" s="158"/>
      <c r="M3" s="158"/>
      <c r="O3" s="98"/>
    </row>
    <row r="4" spans="1:51" ht="15" thickBot="1" x14ac:dyDescent="0.35">
      <c r="A4" s="158"/>
      <c r="B4" s="158" t="s">
        <v>18</v>
      </c>
      <c r="C4" s="165"/>
      <c r="D4" s="160"/>
      <c r="E4" s="158"/>
      <c r="F4" s="162"/>
      <c r="G4" s="163"/>
      <c r="H4" s="163"/>
      <c r="I4" s="163"/>
      <c r="J4" s="163"/>
      <c r="K4" s="164"/>
      <c r="L4" s="158"/>
      <c r="M4" s="158"/>
      <c r="N4" s="166"/>
      <c r="O4" s="167"/>
      <c r="P4" s="241" t="s">
        <v>260</v>
      </c>
      <c r="Q4" s="241"/>
      <c r="R4" s="241"/>
      <c r="S4" s="241"/>
      <c r="T4" s="241"/>
      <c r="U4" s="241"/>
      <c r="V4" s="241"/>
      <c r="W4" s="241"/>
      <c r="X4" s="241"/>
      <c r="Y4" s="241"/>
      <c r="Z4" s="241"/>
      <c r="AA4" s="241"/>
      <c r="AB4" s="241"/>
      <c r="AC4" s="241"/>
      <c r="AD4" s="241"/>
      <c r="AE4" s="242"/>
      <c r="AF4" s="243" t="s">
        <v>261</v>
      </c>
      <c r="AG4" s="241"/>
      <c r="AH4" s="241"/>
      <c r="AI4" s="241"/>
      <c r="AJ4" s="241"/>
      <c r="AK4" s="241"/>
      <c r="AL4" s="241"/>
      <c r="AM4" s="241"/>
      <c r="AN4" s="241"/>
      <c r="AO4" s="241"/>
      <c r="AP4" s="241"/>
      <c r="AQ4" s="241"/>
      <c r="AR4" s="242"/>
      <c r="AS4" s="243" t="s">
        <v>272</v>
      </c>
      <c r="AT4" s="241"/>
      <c r="AU4" s="242"/>
    </row>
    <row r="5" spans="1:51" x14ac:dyDescent="0.3">
      <c r="A5" s="158"/>
      <c r="D5" s="160"/>
      <c r="E5" s="158"/>
      <c r="F5" s="158"/>
      <c r="G5" s="158"/>
      <c r="H5" s="158"/>
      <c r="I5" s="158"/>
      <c r="J5" s="158"/>
      <c r="K5" s="158"/>
      <c r="L5" s="158"/>
      <c r="M5" s="158"/>
      <c r="N5" s="168"/>
      <c r="O5" s="169"/>
      <c r="Q5" s="239" t="s">
        <v>252</v>
      </c>
      <c r="R5" s="239"/>
      <c r="S5" s="239"/>
      <c r="T5" s="240" t="s">
        <v>254</v>
      </c>
      <c r="U5" s="240"/>
      <c r="V5" s="240"/>
      <c r="W5" s="240" t="s">
        <v>253</v>
      </c>
      <c r="X5" s="240"/>
      <c r="Y5" s="240"/>
      <c r="Z5" s="240" t="s">
        <v>257</v>
      </c>
      <c r="AA5" s="240"/>
      <c r="AB5" s="240"/>
      <c r="AC5" s="244" t="s">
        <v>259</v>
      </c>
      <c r="AD5" s="240"/>
      <c r="AE5" s="245"/>
      <c r="AG5" s="240" t="s">
        <v>268</v>
      </c>
      <c r="AH5" s="240"/>
      <c r="AI5" s="240"/>
      <c r="AJ5" s="240" t="s">
        <v>269</v>
      </c>
      <c r="AK5" s="240"/>
      <c r="AL5" s="240"/>
      <c r="AM5" s="240" t="s">
        <v>263</v>
      </c>
      <c r="AN5" s="240"/>
      <c r="AO5" s="240"/>
      <c r="AP5" s="244" t="s">
        <v>259</v>
      </c>
      <c r="AQ5" s="240"/>
      <c r="AR5" s="245"/>
      <c r="AS5" s="244" t="s">
        <v>259</v>
      </c>
      <c r="AT5" s="240"/>
      <c r="AU5" s="245"/>
      <c r="AV5" s="223"/>
    </row>
    <row r="6" spans="1:51" ht="15" thickBot="1" x14ac:dyDescent="0.35">
      <c r="A6" s="170" t="s">
        <v>19</v>
      </c>
      <c r="B6" s="170" t="s">
        <v>20</v>
      </c>
      <c r="C6" s="170" t="s">
        <v>21</v>
      </c>
      <c r="D6" s="160"/>
      <c r="E6" s="238" t="s">
        <v>22</v>
      </c>
      <c r="F6" s="238"/>
      <c r="G6" s="238"/>
      <c r="H6" s="238"/>
      <c r="I6" s="238"/>
      <c r="J6" s="238"/>
      <c r="K6" s="238"/>
      <c r="L6" s="158"/>
      <c r="M6" s="170"/>
      <c r="N6" s="168"/>
      <c r="O6" s="169"/>
      <c r="P6" s="160" t="s">
        <v>235</v>
      </c>
      <c r="Q6" s="98" t="s">
        <v>258</v>
      </c>
      <c r="R6" s="160" t="s">
        <v>255</v>
      </c>
      <c r="S6" s="160" t="s">
        <v>256</v>
      </c>
      <c r="T6" s="160" t="s">
        <v>258</v>
      </c>
      <c r="U6" s="160" t="s">
        <v>255</v>
      </c>
      <c r="V6" s="160" t="s">
        <v>256</v>
      </c>
      <c r="W6" s="160" t="s">
        <v>258</v>
      </c>
      <c r="X6" s="160" t="s">
        <v>255</v>
      </c>
      <c r="Y6" s="160" t="s">
        <v>256</v>
      </c>
      <c r="Z6" s="160" t="s">
        <v>258</v>
      </c>
      <c r="AA6" s="160" t="s">
        <v>255</v>
      </c>
      <c r="AB6" s="160" t="s">
        <v>256</v>
      </c>
      <c r="AC6" s="171" t="s">
        <v>273</v>
      </c>
      <c r="AD6" s="160" t="s">
        <v>255</v>
      </c>
      <c r="AE6" s="172" t="s">
        <v>256</v>
      </c>
      <c r="AF6" s="160" t="s">
        <v>270</v>
      </c>
      <c r="AG6" s="160" t="s">
        <v>258</v>
      </c>
      <c r="AH6" s="160" t="s">
        <v>271</v>
      </c>
      <c r="AI6" s="160" t="s">
        <v>256</v>
      </c>
      <c r="AJ6" s="160" t="s">
        <v>258</v>
      </c>
      <c r="AK6" s="160" t="s">
        <v>271</v>
      </c>
      <c r="AL6" s="160" t="s">
        <v>256</v>
      </c>
      <c r="AM6" s="160" t="s">
        <v>258</v>
      </c>
      <c r="AN6" s="160" t="s">
        <v>271</v>
      </c>
      <c r="AO6" s="160" t="s">
        <v>256</v>
      </c>
      <c r="AP6" s="171" t="s">
        <v>273</v>
      </c>
      <c r="AQ6" s="160" t="s">
        <v>255</v>
      </c>
      <c r="AR6" s="172" t="s">
        <v>256</v>
      </c>
      <c r="AS6" s="171" t="s">
        <v>273</v>
      </c>
      <c r="AT6" s="160" t="s">
        <v>255</v>
      </c>
      <c r="AU6" s="172" t="s">
        <v>256</v>
      </c>
      <c r="AV6" s="224"/>
    </row>
    <row r="7" spans="1:51" ht="15" thickBot="1" x14ac:dyDescent="0.35">
      <c r="A7" s="170"/>
      <c r="B7" s="170"/>
      <c r="C7" s="170"/>
      <c r="D7" s="160"/>
      <c r="E7" s="158"/>
      <c r="F7" s="158"/>
      <c r="G7" s="158"/>
      <c r="H7" s="158"/>
      <c r="I7" s="158"/>
      <c r="J7" s="158"/>
      <c r="K7" s="158"/>
      <c r="L7" s="158"/>
      <c r="M7" s="170"/>
      <c r="N7" s="98" t="s">
        <v>469</v>
      </c>
      <c r="O7" s="167">
        <f>fcross</f>
        <v>25</v>
      </c>
      <c r="P7" s="173" t="str">
        <f>COMPLEX(ADC_VINmin,0)</f>
        <v>19.4714285714286</v>
      </c>
      <c r="Q7" s="174" t="str">
        <f>IMSUM(COMPLEX(1,0),IMDIV(COMPLEX(0,2*PI()*O7),COMPLEX(wp_lf_VINmin,0)))</f>
        <v>1+0.0359039160410263i</v>
      </c>
      <c r="R7" s="174">
        <f t="shared" ref="R7:R13" si="0">IMABS(Q7)</f>
        <v>1.0006443380078065</v>
      </c>
      <c r="S7" s="174">
        <f t="shared" ref="S7:S13" si="1">IMARGUMENT(Q7)</f>
        <v>3.5888500155510067E-2</v>
      </c>
      <c r="T7" s="174" t="str">
        <f>IMSUM(COMPLEX(1,0),IMDIV(COMPLEX(0,2*PI()*O7),COMPLEX(wz_esr_VINmin,0)))</f>
        <v>1+0.0000031415926535898i</v>
      </c>
      <c r="U7" s="174">
        <f t="shared" ref="U7:U13" si="2">IMABS(T7)</f>
        <v>1.0000000000049347</v>
      </c>
      <c r="V7" s="174">
        <f t="shared" ref="V7:V13" si="3">IMARGUMENT(T7)</f>
        <v>3.1415926535794646E-6</v>
      </c>
      <c r="W7" s="175" t="str">
        <f>IMSUB(COMPLEX(1,0),IMDIV(COMPLEX(0,2*PI()*O7),COMPLEX(wz_RHP_VINmin,0)))</f>
        <v>1-0.000933304743738481i</v>
      </c>
      <c r="X7" s="174">
        <f t="shared" ref="X7:X13" si="4">IMABS(W7)</f>
        <v>1.0000004355287775</v>
      </c>
      <c r="Y7" s="174">
        <f t="shared" ref="Y7:Y13" si="5">IMARGUMENT(W7)</f>
        <v>-9.333044727511809E-4</v>
      </c>
      <c r="Z7" s="175" t="str">
        <f t="shared" ref="Z7:Z13" si="6">IF(Dc_Mode_Loop="CCM",IMSUM(COMPLEX(1,0),IMDIV(COMPLEX(0,2*PI()*O7),COMPLEX(Q*(wsl/2),0)),IMDIV(IMPOWER(COMPLEX(0,2*PI()*O7),2),IMPOWER(COMPLEX(wsl/2,0),2))),COMPLEX(1,0))</f>
        <v>0.999999947874315-0.0000615343770990098i</v>
      </c>
      <c r="AA7" s="174">
        <f t="shared" ref="AA7:AA13" si="7">IMABS(Z7)</f>
        <v>0.99999994976755491</v>
      </c>
      <c r="AB7" s="174">
        <f t="shared" ref="AB7:AB13" si="8">IMARGUMENT(Z7)</f>
        <v>-6.1534380228865291E-5</v>
      </c>
      <c r="AC7" s="176" t="str">
        <f t="shared" ref="AC7:AC13" si="9">(IMDIV(IMPRODUCT(P7,T7,W7),IMPRODUCT(Q7,Z7)))</f>
        <v>19.4457560725918-0.715092237263983i</v>
      </c>
      <c r="AD7" s="177">
        <f t="shared" ref="AD7:AD13" si="10">20*LOG(IMABS(AC7))</f>
        <v>25.782365689186051</v>
      </c>
      <c r="AE7" s="167">
        <f t="shared" ref="AE7:AE13" si="11">(180/PI())*IMARGUMENT(AC7)</f>
        <v>-2.1060283389725885</v>
      </c>
      <c r="AF7" s="175" t="str">
        <f t="shared" ref="AF7:AF13" si="12">COMPLEX(Adc_ea,0)</f>
        <v>-0.0000897803247373448</v>
      </c>
      <c r="AG7" s="175" t="str">
        <f t="shared" ref="AG7:AG13" si="13">COMPLEX(0,2*PI()*O7*wp0_ea)</f>
        <v>0.000314159265358979i</v>
      </c>
      <c r="AH7" s="175">
        <f t="shared" ref="AH7:AH13" si="14">IMABS(AG7)</f>
        <v>3.1415926535897898E-4</v>
      </c>
      <c r="AI7" s="175">
        <f t="shared" ref="AI7:AI13" si="15">IMARGUMENT(AG7)</f>
        <v>1.5707963267948966</v>
      </c>
      <c r="AJ7" s="175" t="str">
        <f t="shared" ref="AJ7:AJ13" si="16">IMSUM(COMPLEX(1,0),IMDIV(COMPLEX(0,2*PI()*O7),COMPLEX(wp1_ea,0)))</f>
        <v>1+0.0369137136796802i</v>
      </c>
      <c r="AK7" s="175">
        <f t="shared" ref="AK7:AK13" si="17">IMABS(AJ7)</f>
        <v>1.0006810791943783</v>
      </c>
      <c r="AL7" s="175">
        <f t="shared" ref="AL7:AL13" si="18">IMARGUMENT(AJ7)</f>
        <v>3.689696089155807E-2</v>
      </c>
      <c r="AM7" s="175" t="str">
        <f t="shared" ref="AM7:AM13" si="19">IMSUM(COMPLEX(1,0),IMDIV(COMPLEX(0,2*PI()*O7),COMPLEX(wz_ea,0)))</f>
        <v>1+0.0738274273593605i</v>
      </c>
      <c r="AN7" s="175">
        <f t="shared" ref="AN7:AN13" si="20">IMABS(AM7)</f>
        <v>1.0027215411222108</v>
      </c>
      <c r="AO7" s="175">
        <f t="shared" ref="AO7:AO13" si="21">IMARGUMENT(AM7)</f>
        <v>7.369373244836229E-2</v>
      </c>
      <c r="AP7" s="166" t="str">
        <f t="shared" ref="AP7:AP13" si="22">IMPRODUCT(AF7,IMDIV(AM7,IMPRODUCT(AG7,AJ7)))</f>
        <v>-0.010534833158496+0.286168529301756i</v>
      </c>
      <c r="AQ7" s="175">
        <f t="shared" ref="AQ7:AQ13" si="23">20*LOG(IMABS(AP7))</f>
        <v>-10.861680883726144</v>
      </c>
      <c r="AR7" s="167">
        <f t="shared" ref="AR7:AR13" si="24">(180/PI())*IMARGUMENT(AP7)</f>
        <v>92.108299709911918</v>
      </c>
      <c r="AS7" s="166" t="str">
        <f t="shared" ref="AS7:AS13" si="25">IMPRODUCT(AC7,AP7)</f>
        <v>-0.000220902012628643+5.5722967938668i</v>
      </c>
      <c r="AT7" s="177">
        <f t="shared" ref="AT7:AT13" si="26">20*LOG(IMABS(AS7))</f>
        <v>14.92068480545991</v>
      </c>
      <c r="AU7" s="167">
        <f t="shared" ref="AU7:AU13" si="27">(180/PI())*IMARGUMENT(AS7)</f>
        <v>90.00227137093934</v>
      </c>
      <c r="AV7" s="225"/>
    </row>
    <row r="8" spans="1:51" ht="15" thickBot="1" x14ac:dyDescent="0.35">
      <c r="A8" s="170"/>
      <c r="B8" s="170"/>
      <c r="C8" s="170"/>
      <c r="D8" s="160"/>
      <c r="E8" s="158"/>
      <c r="F8" s="158"/>
      <c r="G8" s="158"/>
      <c r="H8" s="158"/>
      <c r="I8" s="158"/>
      <c r="J8" s="158"/>
      <c r="K8" s="158"/>
      <c r="L8" s="158"/>
      <c r="M8" s="170"/>
      <c r="N8" s="166" t="s">
        <v>302</v>
      </c>
      <c r="O8" s="167">
        <f>fcross</f>
        <v>25</v>
      </c>
      <c r="P8" s="173" t="str">
        <f t="shared" ref="P8:P13" si="28">COMPLEX(Adc,0)</f>
        <v>20.7142857142857</v>
      </c>
      <c r="Q8" s="174" t="str">
        <f t="shared" ref="Q8:Q13" si="29">IMSUM(COMPLEX(1,0),IMDIV(COMPLEX(0,2*PI()*O8),COMPLEX(wp_lf,0)))</f>
        <v>1+0.0359039160410263i</v>
      </c>
      <c r="R8" s="174">
        <f t="shared" si="0"/>
        <v>1.0006443380078065</v>
      </c>
      <c r="S8" s="174">
        <f t="shared" si="1"/>
        <v>3.5888500155510067E-2</v>
      </c>
      <c r="T8" s="174" t="str">
        <f t="shared" ref="T8:T13" si="30">IMSUM(COMPLEX(1,0),IMDIV(COMPLEX(0,2*PI()*O8),COMPLEX(wz_esr,0)))</f>
        <v>1+0.0000031415926535898i</v>
      </c>
      <c r="U8" s="174">
        <f t="shared" si="2"/>
        <v>1.0000000000049347</v>
      </c>
      <c r="V8" s="174">
        <f t="shared" si="3"/>
        <v>3.1415926535794646E-6</v>
      </c>
      <c r="W8" s="175" t="str">
        <f t="shared" ref="W8:W13" si="31">IMSUB(COMPLEX(1,0),IMDIV(COMPLEX(0,2*PI()*O8),COMPLEX(wz_rhp,0)))</f>
        <v>1-0.00082466807156732i</v>
      </c>
      <c r="X8" s="174">
        <f t="shared" si="4"/>
        <v>1.0000003400386563</v>
      </c>
      <c r="Y8" s="174">
        <f t="shared" si="5"/>
        <v>-8.2466788462134911E-4</v>
      </c>
      <c r="Z8" s="175" t="str">
        <f t="shared" si="6"/>
        <v>0.999999947874315-0.0000615343770990098i</v>
      </c>
      <c r="AA8" s="174">
        <f t="shared" si="7"/>
        <v>0.99999994976755491</v>
      </c>
      <c r="AB8" s="174">
        <f t="shared" si="8"/>
        <v>-6.1534380228865291E-5</v>
      </c>
      <c r="AC8" s="176" t="str">
        <f t="shared" si="9"/>
        <v>20.687055091638-0.758488983375095i</v>
      </c>
      <c r="AD8" s="177">
        <f t="shared" si="10"/>
        <v>26.319807787775716</v>
      </c>
      <c r="AE8" s="167">
        <f t="shared" si="11"/>
        <v>-2.0998039209720498</v>
      </c>
      <c r="AF8" s="175" t="str">
        <f t="shared" si="12"/>
        <v>-0.0000897803247373448</v>
      </c>
      <c r="AG8" s="175" t="str">
        <f t="shared" si="13"/>
        <v>0.000314159265358979i</v>
      </c>
      <c r="AH8" s="175">
        <f t="shared" si="14"/>
        <v>3.1415926535897898E-4</v>
      </c>
      <c r="AI8" s="175">
        <f t="shared" si="15"/>
        <v>1.5707963267948966</v>
      </c>
      <c r="AJ8" s="175" t="str">
        <f t="shared" si="16"/>
        <v>1+0.0369137136796802i</v>
      </c>
      <c r="AK8" s="175">
        <f t="shared" si="17"/>
        <v>1.0006810791943783</v>
      </c>
      <c r="AL8" s="175">
        <f t="shared" si="18"/>
        <v>3.689696089155807E-2</v>
      </c>
      <c r="AM8" s="175" t="str">
        <f t="shared" si="19"/>
        <v>1+0.0738274273593605i</v>
      </c>
      <c r="AN8" s="175">
        <f t="shared" si="20"/>
        <v>1.0027215411222108</v>
      </c>
      <c r="AO8" s="175">
        <f t="shared" si="21"/>
        <v>7.369373244836229E-2</v>
      </c>
      <c r="AP8" s="166" t="str">
        <f t="shared" si="22"/>
        <v>-0.010534833158496+0.286168529301756i</v>
      </c>
      <c r="AQ8" s="175">
        <f t="shared" si="23"/>
        <v>-10.861680883726144</v>
      </c>
      <c r="AR8" s="167">
        <f t="shared" si="24"/>
        <v>92.108299709911918</v>
      </c>
      <c r="AS8" s="166" t="str">
        <f t="shared" si="25"/>
        <v>-0.00087899706698652+5.92797468605086i</v>
      </c>
      <c r="AT8" s="177">
        <f t="shared" si="26"/>
        <v>15.458126904049568</v>
      </c>
      <c r="AU8" s="167">
        <f t="shared" si="27"/>
        <v>90.008495788939868</v>
      </c>
      <c r="AV8" s="225"/>
    </row>
    <row r="9" spans="1:51" x14ac:dyDescent="0.3">
      <c r="A9" s="178" t="s">
        <v>205</v>
      </c>
      <c r="B9" s="170"/>
      <c r="C9" s="170"/>
      <c r="D9" s="160"/>
      <c r="E9" s="158"/>
      <c r="F9" s="158"/>
      <c r="G9" s="158"/>
      <c r="H9" s="158"/>
      <c r="I9" s="158"/>
      <c r="J9" s="158"/>
      <c r="K9" s="158"/>
      <c r="L9" s="158"/>
      <c r="M9" s="170"/>
      <c r="N9" s="179" t="s">
        <v>303</v>
      </c>
      <c r="O9" s="180">
        <f>wz_rhp/(2*PI())</f>
        <v>30315.227255599119</v>
      </c>
      <c r="P9" s="181" t="str">
        <f t="shared" si="28"/>
        <v>20.7142857142857</v>
      </c>
      <c r="Q9" s="182" t="str">
        <f t="shared" si="29"/>
        <v>1+43.5374149659865i</v>
      </c>
      <c r="R9" s="182">
        <f t="shared" si="0"/>
        <v>43.548897826701712</v>
      </c>
      <c r="S9" s="182">
        <f t="shared" si="1"/>
        <v>1.5478316146746984</v>
      </c>
      <c r="T9" s="182" t="str">
        <f t="shared" si="30"/>
        <v>1+0.00380952380952382i</v>
      </c>
      <c r="U9" s="182">
        <f t="shared" si="2"/>
        <v>1.0000072562095013</v>
      </c>
      <c r="V9" s="182">
        <f t="shared" si="3"/>
        <v>3.809505381148849E-3</v>
      </c>
      <c r="W9" s="183" t="str">
        <f t="shared" si="31"/>
        <v>1-i</v>
      </c>
      <c r="X9" s="182">
        <f t="shared" si="4"/>
        <v>1.4142135623730951</v>
      </c>
      <c r="Y9" s="182">
        <f t="shared" si="5"/>
        <v>-0.78539816339744828</v>
      </c>
      <c r="Z9" s="183" t="str">
        <f t="shared" si="6"/>
        <v>0.923353307599206-0.0746171450315287i</v>
      </c>
      <c r="AA9" s="182">
        <f t="shared" si="7"/>
        <v>0.92636334609431203</v>
      </c>
      <c r="AB9" s="182">
        <f t="shared" si="8"/>
        <v>-8.0635820196052491E-2</v>
      </c>
      <c r="AC9" s="184" t="str">
        <f t="shared" si="9"/>
        <v>-0.455464554389803-0.56555612212699i</v>
      </c>
      <c r="AD9" s="185">
        <f t="shared" si="10"/>
        <v>-2.779408387465458</v>
      </c>
      <c r="AE9" s="186">
        <f t="shared" si="11"/>
        <v>-128.84585816259778</v>
      </c>
      <c r="AF9" s="183" t="str">
        <f t="shared" si="12"/>
        <v>-0.0000897803247373448</v>
      </c>
      <c r="AG9" s="183" t="str">
        <f t="shared" si="13"/>
        <v>0.380952380952381i</v>
      </c>
      <c r="AH9" s="183">
        <f t="shared" si="14"/>
        <v>0.38095238095238099</v>
      </c>
      <c r="AI9" s="183">
        <f t="shared" si="15"/>
        <v>1.5707963267948966</v>
      </c>
      <c r="AJ9" s="183" t="str">
        <f t="shared" si="16"/>
        <v>1+44.7619047619049i</v>
      </c>
      <c r="AK9" s="183">
        <f t="shared" si="17"/>
        <v>44.773073581270303</v>
      </c>
      <c r="AL9" s="183">
        <f t="shared" si="18"/>
        <v>1.5484596168124101</v>
      </c>
      <c r="AM9" s="183" t="str">
        <f t="shared" si="19"/>
        <v>1+89.52380952381i</v>
      </c>
      <c r="AN9" s="183">
        <f t="shared" si="20"/>
        <v>89.529394455985326</v>
      </c>
      <c r="AO9" s="183">
        <f t="shared" si="21"/>
        <v>1.5596265785769132</v>
      </c>
      <c r="AP9" s="179" t="str">
        <f t="shared" si="22"/>
        <v>-5.26241653619839E-06+0.000471229140246316i</v>
      </c>
      <c r="AQ9" s="183">
        <f t="shared" si="23"/>
        <v>-66.534815641816081</v>
      </c>
      <c r="AR9" s="186">
        <f t="shared" si="24"/>
        <v>90.639819779089976</v>
      </c>
      <c r="AS9" s="179" t="str">
        <f t="shared" si="25"/>
        <v>0.000268903369393615-0.000211651978488549i</v>
      </c>
      <c r="AT9" s="185">
        <f t="shared" si="26"/>
        <v>-69.314224029281547</v>
      </c>
      <c r="AU9" s="186">
        <f t="shared" si="27"/>
        <v>-38.206038383507824</v>
      </c>
      <c r="AV9" s="225"/>
    </row>
    <row r="10" spans="1:51" x14ac:dyDescent="0.3">
      <c r="A10" s="98" t="s">
        <v>25</v>
      </c>
      <c r="B10" s="187">
        <f>VIN_min</f>
        <v>4.7</v>
      </c>
      <c r="C10" s="98" t="s">
        <v>10</v>
      </c>
      <c r="E10" s="98" t="s">
        <v>28</v>
      </c>
      <c r="N10" s="168" t="s">
        <v>254</v>
      </c>
      <c r="O10" s="188">
        <f>wz_esr/(2*PI())</f>
        <v>7957747.1545947678</v>
      </c>
      <c r="P10" s="189" t="str">
        <f t="shared" si="28"/>
        <v>20.7142857142857</v>
      </c>
      <c r="Q10" s="160" t="str">
        <f t="shared" si="29"/>
        <v>1+11428.5714285714i</v>
      </c>
      <c r="R10" s="160">
        <f t="shared" si="0"/>
        <v>11428.571472321399</v>
      </c>
      <c r="S10" s="160">
        <f t="shared" si="1"/>
        <v>1.5707088267951199</v>
      </c>
      <c r="T10" s="160" t="str">
        <f t="shared" si="30"/>
        <v>1+i</v>
      </c>
      <c r="U10" s="160">
        <f t="shared" si="2"/>
        <v>1.4142135623730951</v>
      </c>
      <c r="V10" s="160">
        <f t="shared" si="3"/>
        <v>0.78539816339744828</v>
      </c>
      <c r="W10" s="98" t="str">
        <f t="shared" si="31"/>
        <v>1-262.499999999999i</v>
      </c>
      <c r="X10" s="160">
        <f t="shared" si="4"/>
        <v>262.50190475499306</v>
      </c>
      <c r="Y10" s="160">
        <f t="shared" si="5"/>
        <v>-1.5669868214137477</v>
      </c>
      <c r="Z10" s="98" t="str">
        <f t="shared" si="6"/>
        <v>-5280.4361482422-19.5870005707756i</v>
      </c>
      <c r="AA10" s="160">
        <f t="shared" si="7"/>
        <v>5280.4724756648702</v>
      </c>
      <c r="AB10" s="160">
        <f t="shared" si="8"/>
        <v>-3.1378833178101004</v>
      </c>
      <c r="AC10" s="171" t="str">
        <f t="shared" si="9"/>
        <v>0.0000900857648697671+0.0000901195839361145i</v>
      </c>
      <c r="AD10" s="190">
        <f t="shared" si="10"/>
        <v>-77.894946254793837</v>
      </c>
      <c r="AE10" s="169">
        <f t="shared" si="11"/>
        <v>45.010752676093531</v>
      </c>
      <c r="AF10" s="98" t="str">
        <f t="shared" si="12"/>
        <v>-0.0000897803247373448</v>
      </c>
      <c r="AG10" s="98" t="str">
        <f t="shared" si="13"/>
        <v>100i</v>
      </c>
      <c r="AH10" s="98">
        <f t="shared" si="14"/>
        <v>100</v>
      </c>
      <c r="AI10" s="98">
        <f t="shared" si="15"/>
        <v>1.5707963267948966</v>
      </c>
      <c r="AJ10" s="98" t="str">
        <f t="shared" si="16"/>
        <v>1+11750i</v>
      </c>
      <c r="AK10" s="98">
        <f t="shared" si="17"/>
        <v>11750.000042553191</v>
      </c>
      <c r="AL10" s="98">
        <f t="shared" si="18"/>
        <v>1.5707112204121234</v>
      </c>
      <c r="AM10" s="98" t="str">
        <f t="shared" si="19"/>
        <v>1+23500.0000000001i</v>
      </c>
      <c r="AN10" s="98">
        <f t="shared" si="20"/>
        <v>23500.000021276694</v>
      </c>
      <c r="AO10" s="98">
        <f t="shared" si="21"/>
        <v>1.5707537736034329</v>
      </c>
      <c r="AP10" s="168" t="str">
        <f t="shared" si="22"/>
        <v>-7.64087864570706E-11+1.79560648824403E-06i</v>
      </c>
      <c r="AQ10" s="98">
        <f t="shared" si="23"/>
        <v>-114.91577667189547</v>
      </c>
      <c r="AR10" s="169">
        <f t="shared" si="24"/>
        <v>90.002438118266852</v>
      </c>
      <c r="AS10" s="168" t="str">
        <f t="shared" si="25"/>
        <v>-1.6182619297751E-10+1.61751697970535E-10i</v>
      </c>
      <c r="AT10" s="190">
        <f t="shared" si="26"/>
        <v>-192.81072292668935</v>
      </c>
      <c r="AU10" s="169">
        <f t="shared" si="27"/>
        <v>135.01319079436036</v>
      </c>
      <c r="AV10" s="225"/>
    </row>
    <row r="11" spans="1:51" ht="15" thickBot="1" x14ac:dyDescent="0.35">
      <c r="A11" s="98" t="s">
        <v>26</v>
      </c>
      <c r="B11" s="187">
        <f>VIN_nom</f>
        <v>5</v>
      </c>
      <c r="C11" s="98" t="s">
        <v>10</v>
      </c>
      <c r="E11" s="98" t="s">
        <v>29</v>
      </c>
      <c r="N11" s="191" t="s">
        <v>252</v>
      </c>
      <c r="O11" s="192">
        <f>wp_lf/(2*PI())</f>
        <v>696.30287602704209</v>
      </c>
      <c r="P11" s="193" t="str">
        <f t="shared" si="28"/>
        <v>20.7142857142857</v>
      </c>
      <c r="Q11" s="194" t="str">
        <f t="shared" si="29"/>
        <v>1+i</v>
      </c>
      <c r="R11" s="194">
        <f t="shared" si="0"/>
        <v>1.4142135623730951</v>
      </c>
      <c r="S11" s="194">
        <f t="shared" si="1"/>
        <v>0.78539816339744828</v>
      </c>
      <c r="T11" s="194" t="str">
        <f t="shared" si="30"/>
        <v>1+0.0000875i</v>
      </c>
      <c r="U11" s="194">
        <f t="shared" si="2"/>
        <v>1.0000000038281249</v>
      </c>
      <c r="V11" s="194">
        <f t="shared" si="3"/>
        <v>8.7499999776692705E-5</v>
      </c>
      <c r="W11" s="195" t="str">
        <f t="shared" si="31"/>
        <v>1-0.0229687499999999i</v>
      </c>
      <c r="X11" s="194">
        <f t="shared" si="4"/>
        <v>1.0002637469570526</v>
      </c>
      <c r="Y11" s="194">
        <f t="shared" si="5"/>
        <v>-2.2964712120198169E-2</v>
      </c>
      <c r="Z11" s="195" t="str">
        <f t="shared" si="6"/>
        <v>0.99995956400449-0.00171386254994292i</v>
      </c>
      <c r="AA11" s="194">
        <f t="shared" si="7"/>
        <v>0.99996103272522063</v>
      </c>
      <c r="AB11" s="194">
        <f t="shared" si="8"/>
        <v>-1.7139301762260585E-3</v>
      </c>
      <c r="AC11" s="196" t="str">
        <f t="shared" si="9"/>
        <v>10.1387171325929-10.5771993795612i</v>
      </c>
      <c r="AD11" s="197">
        <f t="shared" si="10"/>
        <v>23.317728367976706</v>
      </c>
      <c r="AE11" s="198">
        <f t="shared" si="11"/>
        <v>-46.212566736047975</v>
      </c>
      <c r="AF11" s="195" t="str">
        <f t="shared" si="12"/>
        <v>-0.0000897803247373448</v>
      </c>
      <c r="AG11" s="195" t="str">
        <f t="shared" si="13"/>
        <v>0.00875i</v>
      </c>
      <c r="AH11" s="195">
        <f t="shared" si="14"/>
        <v>8.7500000000000008E-3</v>
      </c>
      <c r="AI11" s="195">
        <f t="shared" si="15"/>
        <v>1.5707963267948966</v>
      </c>
      <c r="AJ11" s="195" t="str">
        <f t="shared" si="16"/>
        <v>1+1.028125i</v>
      </c>
      <c r="AK11" s="195">
        <f t="shared" si="17"/>
        <v>1.4342388279589282</v>
      </c>
      <c r="AL11" s="195">
        <f t="shared" si="18"/>
        <v>0.79926476300430715</v>
      </c>
      <c r="AM11" s="195" t="str">
        <f t="shared" si="19"/>
        <v>1+2.05625000000001i</v>
      </c>
      <c r="AN11" s="195">
        <f t="shared" si="20"/>
        <v>2.2865178902645922</v>
      </c>
      <c r="AO11" s="195">
        <f t="shared" si="21"/>
        <v>1.1181507188515347</v>
      </c>
      <c r="AP11" s="191" t="str">
        <f t="shared" si="22"/>
        <v>-0.0051283314608255+0.0155331743245721i</v>
      </c>
      <c r="AQ11" s="195">
        <f t="shared" si="23"/>
        <v>-35.725475059331949</v>
      </c>
      <c r="AR11" s="198">
        <f t="shared" si="24"/>
        <v>108.27081941604121</v>
      </c>
      <c r="AS11" s="191" t="str">
        <f t="shared" si="25"/>
        <v>0.112302779784993+0.211729844993719i</v>
      </c>
      <c r="AT11" s="197">
        <f t="shared" si="26"/>
        <v>-12.407746691355237</v>
      </c>
      <c r="AU11" s="198">
        <f t="shared" si="27"/>
        <v>62.058252679993309</v>
      </c>
      <c r="AV11" s="225"/>
      <c r="AX11" s="213" t="s">
        <v>537</v>
      </c>
      <c r="AY11" s="213"/>
    </row>
    <row r="12" spans="1:51" x14ac:dyDescent="0.3">
      <c r="A12" s="98" t="s">
        <v>27</v>
      </c>
      <c r="B12" s="187">
        <f>VIN_max</f>
        <v>5.3</v>
      </c>
      <c r="C12" s="98" t="s">
        <v>10</v>
      </c>
      <c r="E12" s="98" t="s">
        <v>30</v>
      </c>
      <c r="N12" s="179" t="s">
        <v>263</v>
      </c>
      <c r="O12" s="186">
        <f>wz_ea/(2*PI())</f>
        <v>338.6275384933943</v>
      </c>
      <c r="P12" s="181" t="str">
        <f t="shared" si="28"/>
        <v>20.7142857142857</v>
      </c>
      <c r="Q12" s="182" t="str">
        <f t="shared" si="29"/>
        <v>1+0.486322188449847i</v>
      </c>
      <c r="R12" s="182">
        <f t="shared" si="0"/>
        <v>1.1119843843232011</v>
      </c>
      <c r="S12" s="182">
        <f t="shared" si="1"/>
        <v>0.45264560794336295</v>
      </c>
      <c r="T12" s="182" t="str">
        <f t="shared" si="30"/>
        <v>1+0.0000425531914893616i</v>
      </c>
      <c r="U12" s="182">
        <f t="shared" si="2"/>
        <v>1.0000000009053871</v>
      </c>
      <c r="V12" s="182">
        <f t="shared" si="3"/>
        <v>4.2553191463676867E-5</v>
      </c>
      <c r="W12" s="183" t="str">
        <f t="shared" si="31"/>
        <v>1-0.0111702127659574i</v>
      </c>
      <c r="X12" s="182">
        <f t="shared" si="4"/>
        <v>1.0000623848806818</v>
      </c>
      <c r="Y12" s="182">
        <f t="shared" si="5"/>
        <v>-1.1169748217983499E-2</v>
      </c>
      <c r="Z12" s="183" t="str">
        <f t="shared" si="6"/>
        <v>0.999990436512181-0.000833489385990476i</v>
      </c>
      <c r="AA12" s="182">
        <f t="shared" si="7"/>
        <v>0.99999078386772089</v>
      </c>
      <c r="AB12" s="182">
        <f t="shared" si="8"/>
        <v>-8.3349716411721612E-4</v>
      </c>
      <c r="AC12" s="184" t="str">
        <f t="shared" si="9"/>
        <v>16.6686732244657-8.31958374139097i</v>
      </c>
      <c r="AD12" s="185">
        <f t="shared" si="10"/>
        <v>25.404047385038918</v>
      </c>
      <c r="AE12" s="186">
        <f t="shared" si="11"/>
        <v>-26.524468393386403</v>
      </c>
      <c r="AF12" s="183" t="str">
        <f t="shared" si="12"/>
        <v>-0.0000897803247373448</v>
      </c>
      <c r="AG12" s="183" t="str">
        <f t="shared" si="13"/>
        <v>0.00425531914893617i</v>
      </c>
      <c r="AH12" s="183">
        <f t="shared" si="14"/>
        <v>4.2553191489361703E-3</v>
      </c>
      <c r="AI12" s="183">
        <f t="shared" si="15"/>
        <v>1.5707963267948966</v>
      </c>
      <c r="AJ12" s="183" t="str">
        <f t="shared" si="16"/>
        <v>1+0.499999999999999i</v>
      </c>
      <c r="AK12" s="183">
        <f t="shared" si="17"/>
        <v>1.1180339887498945</v>
      </c>
      <c r="AL12" s="183">
        <f t="shared" si="18"/>
        <v>0.46364760900080532</v>
      </c>
      <c r="AM12" s="183" t="str">
        <f t="shared" si="19"/>
        <v>1+i</v>
      </c>
      <c r="AN12" s="183">
        <f t="shared" si="20"/>
        <v>1.4142135623730951</v>
      </c>
      <c r="AO12" s="183">
        <f t="shared" si="21"/>
        <v>0.78539816339744828</v>
      </c>
      <c r="AP12" s="179" t="str">
        <f t="shared" si="22"/>
        <v>-0.00843935052531044+0.0253180515759312i</v>
      </c>
      <c r="AQ12" s="183">
        <f t="shared" si="23"/>
        <v>-31.473819489588909</v>
      </c>
      <c r="AR12" s="186">
        <f t="shared" si="24"/>
        <v>108.43494882292208</v>
      </c>
      <c r="AS12" s="179" t="str">
        <f t="shared" si="25"/>
        <v>0.0699628741216926+0.492230211817638i</v>
      </c>
      <c r="AT12" s="185">
        <f t="shared" si="26"/>
        <v>-6.0697721045499877</v>
      </c>
      <c r="AU12" s="186">
        <f t="shared" si="27"/>
        <v>81.910480429535681</v>
      </c>
      <c r="AV12" s="225"/>
      <c r="AX12" t="s">
        <v>538</v>
      </c>
      <c r="AY12">
        <f>SUM(AX19:AX559)/1000</f>
        <v>0.1513561248436209</v>
      </c>
    </row>
    <row r="13" spans="1:51" ht="15" thickBot="1" x14ac:dyDescent="0.35">
      <c r="A13" s="98" t="s">
        <v>68</v>
      </c>
      <c r="B13" s="187">
        <f>Fsw</f>
        <v>219000</v>
      </c>
      <c r="C13" s="98" t="s">
        <v>69</v>
      </c>
      <c r="E13" s="98" t="s">
        <v>70</v>
      </c>
      <c r="N13" s="191" t="s">
        <v>269</v>
      </c>
      <c r="O13" s="198">
        <f>wp1_ea/(2*PI())</f>
        <v>677.25507698678871</v>
      </c>
      <c r="P13" s="193" t="str">
        <f t="shared" si="28"/>
        <v>20.7142857142857</v>
      </c>
      <c r="Q13" s="194" t="str">
        <f t="shared" si="29"/>
        <v>1+0.972644376899696i</v>
      </c>
      <c r="R13" s="194">
        <f t="shared" si="0"/>
        <v>1.3950043311454621</v>
      </c>
      <c r="S13" s="194">
        <f t="shared" si="1"/>
        <v>0.7715315637905894</v>
      </c>
      <c r="T13" s="194" t="str">
        <f t="shared" si="30"/>
        <v>1+0.0000851063829787234i</v>
      </c>
      <c r="U13" s="194">
        <f t="shared" si="2"/>
        <v>1.0000000036215482</v>
      </c>
      <c r="V13" s="194">
        <f t="shared" si="3"/>
        <v>8.5106382773245481E-5</v>
      </c>
      <c r="W13" s="195" t="str">
        <f t="shared" si="31"/>
        <v>1-0.0223404255319148i</v>
      </c>
      <c r="X13" s="194">
        <f t="shared" si="4"/>
        <v>1.0002495161773122</v>
      </c>
      <c r="Y13" s="194">
        <f t="shared" si="5"/>
        <v>-2.2336709982486467E-2</v>
      </c>
      <c r="Z13" s="195" t="str">
        <f t="shared" si="6"/>
        <v>0.999961746048723-0.00166697877198096i</v>
      </c>
      <c r="AA13" s="194">
        <f t="shared" si="7"/>
        <v>0.99996313551002325</v>
      </c>
      <c r="AB13" s="194">
        <f t="shared" si="8"/>
        <v>-1.6670409986935368E-3</v>
      </c>
      <c r="AC13" s="196" t="str">
        <f t="shared" si="9"/>
        <v>10.4319742767993-10.5730876282373i</v>
      </c>
      <c r="AD13" s="197">
        <f t="shared" si="10"/>
        <v>23.436375362517996</v>
      </c>
      <c r="AE13" s="198">
        <f t="shared" si="11"/>
        <v>-45.384910926490583</v>
      </c>
      <c r="AF13" s="195" t="str">
        <f t="shared" si="12"/>
        <v>-0.0000897803247373448</v>
      </c>
      <c r="AG13" s="195" t="str">
        <f t="shared" si="13"/>
        <v>0.00851063829787234i</v>
      </c>
      <c r="AH13" s="195">
        <f t="shared" si="14"/>
        <v>8.5106382978723406E-3</v>
      </c>
      <c r="AI13" s="195">
        <f t="shared" si="15"/>
        <v>1.5707963267948966</v>
      </c>
      <c r="AJ13" s="195" t="str">
        <f t="shared" si="16"/>
        <v>1+i</v>
      </c>
      <c r="AK13" s="195">
        <f t="shared" si="17"/>
        <v>1.4142135623730951</v>
      </c>
      <c r="AL13" s="195">
        <f t="shared" si="18"/>
        <v>0.78539816339744828</v>
      </c>
      <c r="AM13" s="195" t="str">
        <f t="shared" si="19"/>
        <v>1+2i</v>
      </c>
      <c r="AN13" s="195">
        <f t="shared" si="20"/>
        <v>2.2360679774997898</v>
      </c>
      <c r="AO13" s="195">
        <f t="shared" si="21"/>
        <v>1.1071487177940904</v>
      </c>
      <c r="AP13" s="191" t="str">
        <f t="shared" si="22"/>
        <v>-0.00527459407831901+0.015823782234957i</v>
      </c>
      <c r="AQ13" s="195">
        <f t="shared" si="23"/>
        <v>-35.556219142707405</v>
      </c>
      <c r="AR13" s="198">
        <f t="shared" si="24"/>
        <v>108.43494882292204</v>
      </c>
      <c r="AS13" s="191" t="str">
        <f t="shared" si="25"/>
        <v>0.112281806434763+0.220842034630194i</v>
      </c>
      <c r="AT13" s="197">
        <f t="shared" si="26"/>
        <v>-12.119843780189399</v>
      </c>
      <c r="AU13" s="198">
        <f t="shared" si="27"/>
        <v>63.05003789643154</v>
      </c>
      <c r="AV13" s="225"/>
      <c r="AX13"/>
      <c r="AY13"/>
    </row>
    <row r="14" spans="1:51" x14ac:dyDescent="0.3">
      <c r="A14" s="98" t="s">
        <v>563</v>
      </c>
      <c r="B14" s="98" t="s">
        <v>495</v>
      </c>
      <c r="E14" s="98" t="s">
        <v>564</v>
      </c>
      <c r="AX14" t="s">
        <v>539</v>
      </c>
      <c r="AY14" s="23">
        <f>SUM(AY19:AY559)</f>
        <v>88.958166475795935</v>
      </c>
    </row>
    <row r="15" spans="1:51" ht="15" thickBot="1" x14ac:dyDescent="0.35">
      <c r="O15" s="199" t="s">
        <v>231</v>
      </c>
      <c r="P15" s="98">
        <f>B17</f>
        <v>5</v>
      </c>
      <c r="Q15" s="98" t="s">
        <v>10</v>
      </c>
    </row>
    <row r="16" spans="1:51" ht="15" thickBot="1" x14ac:dyDescent="0.35">
      <c r="A16" s="200" t="s">
        <v>262</v>
      </c>
      <c r="O16" s="201"/>
      <c r="P16" s="241" t="s">
        <v>260</v>
      </c>
      <c r="Q16" s="241"/>
      <c r="R16" s="241"/>
      <c r="S16" s="241"/>
      <c r="T16" s="241"/>
      <c r="U16" s="241"/>
      <c r="V16" s="241"/>
      <c r="W16" s="241"/>
      <c r="X16" s="241"/>
      <c r="Y16" s="241"/>
      <c r="Z16" s="241"/>
      <c r="AA16" s="241"/>
      <c r="AB16" s="241"/>
      <c r="AC16" s="241"/>
      <c r="AD16" s="241"/>
      <c r="AE16" s="242"/>
      <c r="AF16" s="243" t="s">
        <v>261</v>
      </c>
      <c r="AG16" s="241"/>
      <c r="AH16" s="241"/>
      <c r="AI16" s="241"/>
      <c r="AJ16" s="241"/>
      <c r="AK16" s="241"/>
      <c r="AL16" s="241"/>
      <c r="AM16" s="241"/>
      <c r="AN16" s="241"/>
      <c r="AO16" s="241"/>
      <c r="AP16" s="241"/>
      <c r="AQ16" s="241"/>
      <c r="AR16" s="242"/>
      <c r="AS16" s="243" t="s">
        <v>272</v>
      </c>
      <c r="AT16" s="241"/>
      <c r="AU16" s="242"/>
    </row>
    <row r="17" spans="1:51" x14ac:dyDescent="0.3">
      <c r="A17" s="98" t="s">
        <v>233</v>
      </c>
      <c r="B17" s="98">
        <f>VIN_var</f>
        <v>5</v>
      </c>
      <c r="C17" s="98" t="s">
        <v>10</v>
      </c>
      <c r="E17" s="98" t="s">
        <v>234</v>
      </c>
      <c r="O17" s="202"/>
      <c r="Q17" s="239" t="s">
        <v>252</v>
      </c>
      <c r="R17" s="239"/>
      <c r="S17" s="239"/>
      <c r="T17" s="240" t="s">
        <v>254</v>
      </c>
      <c r="U17" s="240"/>
      <c r="V17" s="240"/>
      <c r="W17" s="240" t="s">
        <v>253</v>
      </c>
      <c r="X17" s="240"/>
      <c r="Y17" s="240"/>
      <c r="Z17" s="240" t="s">
        <v>257</v>
      </c>
      <c r="AA17" s="240"/>
      <c r="AB17" s="240"/>
      <c r="AC17" s="244" t="s">
        <v>259</v>
      </c>
      <c r="AD17" s="240"/>
      <c r="AE17" s="245"/>
      <c r="AG17" s="240" t="s">
        <v>268</v>
      </c>
      <c r="AH17" s="240"/>
      <c r="AI17" s="240"/>
      <c r="AJ17" s="240" t="s">
        <v>269</v>
      </c>
      <c r="AK17" s="240"/>
      <c r="AL17" s="240"/>
      <c r="AM17" s="240" t="s">
        <v>263</v>
      </c>
      <c r="AN17" s="240"/>
      <c r="AO17" s="240"/>
      <c r="AP17" s="244" t="s">
        <v>259</v>
      </c>
      <c r="AQ17" s="240"/>
      <c r="AR17" s="245"/>
      <c r="AS17" s="244" t="s">
        <v>259</v>
      </c>
      <c r="AT17" s="240"/>
      <c r="AU17" s="245"/>
      <c r="AV17" s="223"/>
    </row>
    <row r="18" spans="1:51" ht="15" thickBot="1" x14ac:dyDescent="0.35">
      <c r="A18" s="98" t="s">
        <v>450</v>
      </c>
      <c r="C18" s="98" t="s">
        <v>11</v>
      </c>
      <c r="E18" s="98" t="s">
        <v>451</v>
      </c>
      <c r="N18" s="170"/>
      <c r="O18" s="203" t="s">
        <v>230</v>
      </c>
      <c r="P18" s="194" t="s">
        <v>235</v>
      </c>
      <c r="Q18" s="195" t="s">
        <v>258</v>
      </c>
      <c r="R18" s="194" t="s">
        <v>255</v>
      </c>
      <c r="S18" s="194" t="s">
        <v>256</v>
      </c>
      <c r="T18" s="194" t="s">
        <v>258</v>
      </c>
      <c r="U18" s="194" t="s">
        <v>255</v>
      </c>
      <c r="V18" s="194" t="s">
        <v>256</v>
      </c>
      <c r="W18" s="194" t="s">
        <v>258</v>
      </c>
      <c r="X18" s="194" t="s">
        <v>255</v>
      </c>
      <c r="Y18" s="194" t="s">
        <v>256</v>
      </c>
      <c r="Z18" s="194" t="s">
        <v>258</v>
      </c>
      <c r="AA18" s="194" t="s">
        <v>255</v>
      </c>
      <c r="AB18" s="194" t="s">
        <v>256</v>
      </c>
      <c r="AC18" s="196" t="s">
        <v>273</v>
      </c>
      <c r="AD18" s="194" t="s">
        <v>255</v>
      </c>
      <c r="AE18" s="204" t="s">
        <v>256</v>
      </c>
      <c r="AF18" s="194" t="s">
        <v>270</v>
      </c>
      <c r="AG18" s="194" t="s">
        <v>258</v>
      </c>
      <c r="AH18" s="194" t="s">
        <v>271</v>
      </c>
      <c r="AI18" s="194" t="s">
        <v>256</v>
      </c>
      <c r="AJ18" s="194" t="s">
        <v>258</v>
      </c>
      <c r="AK18" s="194" t="s">
        <v>271</v>
      </c>
      <c r="AL18" s="194" t="s">
        <v>256</v>
      </c>
      <c r="AM18" s="194" t="s">
        <v>258</v>
      </c>
      <c r="AN18" s="194" t="s">
        <v>271</v>
      </c>
      <c r="AO18" s="194" t="s">
        <v>256</v>
      </c>
      <c r="AP18" s="196" t="s">
        <v>273</v>
      </c>
      <c r="AQ18" s="194" t="s">
        <v>255</v>
      </c>
      <c r="AR18" s="204" t="s">
        <v>256</v>
      </c>
      <c r="AS18" s="196" t="s">
        <v>273</v>
      </c>
      <c r="AT18" s="194" t="s">
        <v>255</v>
      </c>
      <c r="AU18" s="204" t="s">
        <v>256</v>
      </c>
      <c r="AV18" s="225"/>
      <c r="AX18" s="98" t="s">
        <v>535</v>
      </c>
      <c r="AY18" s="98" t="s">
        <v>536</v>
      </c>
    </row>
    <row r="19" spans="1:51" x14ac:dyDescent="0.3">
      <c r="N19" s="170">
        <v>1</v>
      </c>
      <c r="O19" s="199">
        <f>10^(1+(N19/100))</f>
        <v>10.232929922807543</v>
      </c>
      <c r="P19" s="189" t="str">
        <f t="shared" ref="P19:P82" si="32">COMPLEX(Adc,0)</f>
        <v>20.7142857142857</v>
      </c>
      <c r="Q19" s="160" t="str">
        <f t="shared" ref="Q19:Q82" si="33">IMSUM(COMPLEX(1,0),IMDIV(COMPLEX(0,2*PI()*O19),COMPLEX(wp_lf,0)))</f>
        <v>1+0.0146960902720875i</v>
      </c>
      <c r="R19" s="160">
        <f>IMABS(Q19)</f>
        <v>1.0001079817046183</v>
      </c>
      <c r="S19" s="160">
        <f>IMARGUMENT(Q19)</f>
        <v>1.4695032412795277E-2</v>
      </c>
      <c r="T19" s="160" t="str">
        <f t="shared" ref="T19:T82" si="34">IMSUM(COMPLEX(1,0),IMDIV(COMPLEX(0,2*PI()*O19),COMPLEX(wz_esr,0)))</f>
        <v>1+1.28590789880765E-06i</v>
      </c>
      <c r="U19" s="160">
        <f>IMABS(T19)</f>
        <v>1.0000000000008269</v>
      </c>
      <c r="V19" s="160">
        <f>IMARGUMENT(T19)</f>
        <v>1.2859078988069413E-6</v>
      </c>
      <c r="W19" s="98" t="str">
        <f t="shared" ref="W19:W82" si="35">IMSUB(COMPLEX(1,0),IMDIV(COMPLEX(0,2*PI()*O19),COMPLEX(wz_rhp,0)))</f>
        <v>1-0.000337550823437008i</v>
      </c>
      <c r="X19" s="160">
        <f>IMABS(W19)</f>
        <v>1.0000000569702776</v>
      </c>
      <c r="Y19" s="160">
        <f>IMARGUMENT(W19)</f>
        <v>-3.3755081061676582E-4</v>
      </c>
      <c r="Z19" s="98" t="str">
        <f t="shared" ref="Z19:Z82" si="36">IF(Dc_Mode_Loop="CCM",IMSUM(COMPLEX(1,0),IMDIV(COMPLEX(0,2*PI()*O19),COMPLEX(Q*(wsl/2),0)),IMDIV(IMPOWER(COMPLEX(0,2*PI()*O19),2),IMPOWER(COMPLEX(wsl/2,0),2))),COMPLEX(1,0))</f>
        <v>0.999999991266833-0.0000251870787479112i</v>
      </c>
      <c r="AA19" s="160">
        <f>IMABS(Z19)</f>
        <v>0.99999999158402753</v>
      </c>
      <c r="AB19" s="160">
        <f>IMARGUMENT(Z19)</f>
        <v>-2.5187078962548032E-5</v>
      </c>
      <c r="AC19" s="171" t="str">
        <f>(IMDIV(IMPRODUCT(P19,T19,W19),IMPRODUCT(Q19,Z19)))</f>
        <v>20.7097185855624-0.310795649081013i</v>
      </c>
      <c r="AD19" s="190">
        <f>20*LOG(IMABS(AC19))</f>
        <v>26.32446194582527</v>
      </c>
      <c r="AE19" s="169">
        <f>(180/PI())*IMARGUMENT(AC19)</f>
        <v>-0.8597867834624161</v>
      </c>
      <c r="AF19" s="98" t="str">
        <f t="shared" ref="AF19:AF82" si="37">COMPLEX(Adc_ea,0)</f>
        <v>-0.0000897803247373448</v>
      </c>
      <c r="AG19" s="98" t="str">
        <f t="shared" ref="AG19:AG82" si="38">COMPLEX(0,2*PI()*O19*wp0_ea)</f>
        <v>0.000128590789880765i</v>
      </c>
      <c r="AH19" s="98">
        <f>IMABS(AG19)</f>
        <v>1.28590789880765E-4</v>
      </c>
      <c r="AI19" s="98">
        <f>IMARGUMENT(AG19)</f>
        <v>1.5707963267948966</v>
      </c>
      <c r="AJ19" s="98" t="str">
        <f t="shared" ref="AJ19:AJ82" si="39">IMSUM(COMPLEX(1,0),IMDIV(COMPLEX(0,2*PI()*O19),COMPLEX(wp1_ea,0)))</f>
        <v>1+0.0151094178109899i</v>
      </c>
      <c r="AK19" s="98">
        <f>IMABS(AJ19)</f>
        <v>1.0001141407392393</v>
      </c>
      <c r="AL19" s="98">
        <f>IMARGUMENT(AJ19)</f>
        <v>1.5108268169431911E-2</v>
      </c>
      <c r="AM19" s="98" t="str">
        <f t="shared" ref="AM19:AM82" si="40">IMSUM(COMPLEX(1,0),IMDIV(COMPLEX(0,2*PI()*O19),COMPLEX(wz_ea,0)))</f>
        <v>1+0.0302188356219799i</v>
      </c>
      <c r="AN19" s="98">
        <f>IMABS(AM19)</f>
        <v>1.000456484823977</v>
      </c>
      <c r="AO19" s="98">
        <f>IMARGUMENT(AM19)</f>
        <v>3.0209642266332735E-2</v>
      </c>
      <c r="AP19" s="168" t="str">
        <f>IMPRODUCT(AF19,IMDIV(AM19,IMPRODUCT(AG19,AJ19)))</f>
        <v>-0.0105467803846141+0.698345631887104i</v>
      </c>
      <c r="AQ19" s="98">
        <f>20*LOG(IMABS(AP19))</f>
        <v>-3.1176011272110098</v>
      </c>
      <c r="AR19" s="169">
        <f>(180/PI())*IMARGUMENT(AP19)</f>
        <v>90.865245000600595</v>
      </c>
      <c r="AS19" s="168" t="str">
        <f>IMPRODUCT(AC19,AP19)</f>
        <v>-0.00137806980384494+14.465819405294i</v>
      </c>
      <c r="AT19" s="190">
        <f>20*LOG(IMABS(AS19))</f>
        <v>23.206860818614242</v>
      </c>
      <c r="AU19" s="169">
        <f>(180/PI())*IMARGUMENT(AS19)</f>
        <v>90.00545821713817</v>
      </c>
      <c r="AV19" s="225"/>
      <c r="AX19">
        <f>SUM((AT20&lt;0)*(AT19&gt;0))*O19</f>
        <v>0</v>
      </c>
      <c r="AY19">
        <f>IF(AX19&gt;0,AU19,0)</f>
        <v>0</v>
      </c>
    </row>
    <row r="20" spans="1:51" x14ac:dyDescent="0.3">
      <c r="A20" s="98" t="s">
        <v>31</v>
      </c>
      <c r="B20" s="205">
        <f>VOUT</f>
        <v>20</v>
      </c>
      <c r="C20" s="98" t="s">
        <v>10</v>
      </c>
      <c r="E20" s="98" t="s">
        <v>206</v>
      </c>
      <c r="N20" s="170">
        <v>2</v>
      </c>
      <c r="O20" s="199">
        <f t="shared" ref="O20:O83" si="41">10^(1+(N20/100))</f>
        <v>10.471285480509</v>
      </c>
      <c r="P20" s="189" t="str">
        <f t="shared" si="32"/>
        <v>20.7142857142857</v>
      </c>
      <c r="Q20" s="160" t="str">
        <f t="shared" si="33"/>
        <v>1+0.0150384061893525i</v>
      </c>
      <c r="R20" s="160">
        <f t="shared" ref="R20:R83" si="42">IMABS(Q20)</f>
        <v>1.000113070437896</v>
      </c>
      <c r="S20" s="160">
        <f t="shared" ref="S20:S83" si="43">IMARGUMENT(Q20)</f>
        <v>1.5037272679619932E-2</v>
      </c>
      <c r="T20" s="160" t="str">
        <f t="shared" si="34"/>
        <v>1+1.31586054156834E-06i</v>
      </c>
      <c r="U20" s="160">
        <f t="shared" ref="U20:U83" si="44">IMABS(T20)</f>
        <v>1.0000000000008658</v>
      </c>
      <c r="V20" s="160">
        <f t="shared" ref="V20:V83" si="45">IMARGUMENT(T20)</f>
        <v>1.3158605415675806E-6</v>
      </c>
      <c r="W20" s="98" t="str">
        <f t="shared" si="35"/>
        <v>1-0.000345413392161689i</v>
      </c>
      <c r="X20" s="160">
        <f t="shared" ref="X20:X83" si="46">IMABS(W20)</f>
        <v>1.0000000596552039</v>
      </c>
      <c r="Y20" s="160">
        <f t="shared" ref="Y20:Y83" si="47">IMARGUMENT(W20)</f>
        <v>-3.4541337842455198E-4</v>
      </c>
      <c r="Z20" s="98" t="str">
        <f t="shared" si="36"/>
        <v>0.999999990855252-0.000025773761178761i</v>
      </c>
      <c r="AA20" s="160">
        <f t="shared" ref="AA20:AA83" si="48">IMABS(Z20)</f>
        <v>0.99999999118739546</v>
      </c>
      <c r="AB20" s="160">
        <f t="shared" ref="AB20:AB83" si="49">IMARGUMENT(Z20)</f>
        <v>-2.5773761408748495E-5</v>
      </c>
      <c r="AC20" s="171" t="str">
        <f t="shared" ref="AC20:AC83" si="50">(IMDIV(IMPRODUCT(P20,T20,W20),IMPRODUCT(Q20,Z20)))</f>
        <v>20.7095033920839-0.318031773571296i</v>
      </c>
      <c r="AD20" s="190">
        <f t="shared" ref="AD20:AD83" si="51">20*LOG(IMABS(AC20))</f>
        <v>26.324417777300866</v>
      </c>
      <c r="AE20" s="169">
        <f t="shared" ref="AE20:AE83" si="52">(180/PI())*IMARGUMENT(AC20)</f>
        <v>-0.87981086769432371</v>
      </c>
      <c r="AF20" s="98" t="str">
        <f t="shared" si="37"/>
        <v>-0.0000897803247373448</v>
      </c>
      <c r="AG20" s="98" t="str">
        <f t="shared" si="38"/>
        <v>0.000131586054156834i</v>
      </c>
      <c r="AH20" s="98">
        <f t="shared" ref="AH20:AH83" si="53">IMABS(AG20)</f>
        <v>1.3158605415683399E-4</v>
      </c>
      <c r="AI20" s="98">
        <f t="shared" ref="AI20:AI83" si="54">IMARGUMENT(AG20)</f>
        <v>1.5707963267948966</v>
      </c>
      <c r="AJ20" s="98" t="str">
        <f t="shared" si="39"/>
        <v>1+0.015461361363428i</v>
      </c>
      <c r="AK20" s="98">
        <f t="shared" ref="AK20:AK83" si="55">IMABS(AJ20)</f>
        <v>1.0001195197051254</v>
      </c>
      <c r="AL20" s="98">
        <f t="shared" ref="AL20:AL83" si="56">IMARGUMENT(AJ20)</f>
        <v>1.5460129508255253E-2</v>
      </c>
      <c r="AM20" s="98" t="str">
        <f t="shared" si="40"/>
        <v>1+0.0309227227268561i</v>
      </c>
      <c r="AN20" s="98">
        <f t="shared" ref="AN20:AN83" si="57">IMABS(AM20)</f>
        <v>1.0004779931516945</v>
      </c>
      <c r="AO20" s="98">
        <f t="shared" ref="AO20:AO83" si="58">IMARGUMENT(AM20)</f>
        <v>3.0912872122969511E-2</v>
      </c>
      <c r="AP20" s="168" t="str">
        <f t="shared" ref="AP20:AP83" si="59">IMPRODUCT(AF20,IMDIV(AM20,IMPRODUCT(AG20,AJ20)))</f>
        <v>-0.0105466669369346+0.68245668206813i</v>
      </c>
      <c r="AQ20" s="98">
        <f t="shared" ref="AQ20:AQ83" si="60">20*LOG(IMABS(AP20))</f>
        <v>-3.3174611111447443</v>
      </c>
      <c r="AR20" s="169">
        <f t="shared" ref="AR20:AR83" si="61">(180/PI())*IMARGUMENT(AP20)</f>
        <v>90.88537693372507</v>
      </c>
      <c r="AS20" s="168" t="str">
        <f t="shared" ref="AS20:AS83" si="62">IMPRODUCT(AC20,AP20)</f>
        <v>-0.00137332572191676+14.1366931474315i</v>
      </c>
      <c r="AT20" s="190">
        <f t="shared" ref="AT20:AT83" si="63">20*LOG(IMABS(AS20))</f>
        <v>23.006956666156128</v>
      </c>
      <c r="AU20" s="169">
        <f t="shared" ref="AU20:AU83" si="64">(180/PI())*IMARGUMENT(AS20)</f>
        <v>90.005566066030738</v>
      </c>
      <c r="AV20" s="225"/>
      <c r="AX20">
        <f t="shared" ref="AX20:AX83" si="65">SUM((AT21&lt;0)*(AT20&gt;0))*O20</f>
        <v>0</v>
      </c>
      <c r="AY20">
        <f t="shared" ref="AY20:AY83" si="66">IF(AX20&gt;0,AU20,0)</f>
        <v>0</v>
      </c>
    </row>
    <row r="21" spans="1:51" x14ac:dyDescent="0.3">
      <c r="A21" s="98" t="s">
        <v>33</v>
      </c>
      <c r="B21" s="205">
        <f>IOUT</f>
        <v>0.4375</v>
      </c>
      <c r="C21" s="98" t="s">
        <v>11</v>
      </c>
      <c r="E21" s="98" t="s">
        <v>34</v>
      </c>
      <c r="N21" s="170">
        <v>3</v>
      </c>
      <c r="O21" s="199">
        <f t="shared" si="41"/>
        <v>10.715193052376069</v>
      </c>
      <c r="P21" s="189" t="str">
        <f t="shared" si="32"/>
        <v>20.7142857142857</v>
      </c>
      <c r="Q21" s="160" t="str">
        <f t="shared" si="33"/>
        <v>1+0.0153886956686359i</v>
      </c>
      <c r="R21" s="160">
        <f t="shared" si="42"/>
        <v>1.0001183989680331</v>
      </c>
      <c r="S21" s="160">
        <f t="shared" si="43"/>
        <v>1.5387481098840458E-2</v>
      </c>
      <c r="T21" s="160" t="str">
        <f t="shared" si="34"/>
        <v>1+1.34651087100564E-06i</v>
      </c>
      <c r="U21" s="160">
        <f t="shared" si="44"/>
        <v>1.0000000000009064</v>
      </c>
      <c r="V21" s="160">
        <f t="shared" si="45"/>
        <v>1.3465108710048263E-6</v>
      </c>
      <c r="W21" s="98" t="str">
        <f t="shared" si="35"/>
        <v>1-0.00035345910363898i</v>
      </c>
      <c r="X21" s="160">
        <f t="shared" si="46"/>
        <v>1.000000062466667</v>
      </c>
      <c r="Y21" s="160">
        <f t="shared" si="47"/>
        <v>-3.534590889193726E-4</v>
      </c>
      <c r="Z21" s="98" t="str">
        <f t="shared" si="36"/>
        <v>0.999999990424273-0.0000263741091989439i</v>
      </c>
      <c r="AA21" s="160">
        <f t="shared" si="48"/>
        <v>0.99999999077206969</v>
      </c>
      <c r="AB21" s="160">
        <f t="shared" si="49"/>
        <v>-2.6374109445379949E-5</v>
      </c>
      <c r="AC21" s="171" t="str">
        <f t="shared" si="50"/>
        <v>20.7092780615431-0.32543621767746i</v>
      </c>
      <c r="AD21" s="190">
        <f t="shared" si="51"/>
        <v>26.324371527659956</v>
      </c>
      <c r="AE21" s="169">
        <f t="shared" si="52"/>
        <v>-0.90030116377689473</v>
      </c>
      <c r="AF21" s="98" t="str">
        <f t="shared" si="37"/>
        <v>-0.0000897803247373448</v>
      </c>
      <c r="AG21" s="98" t="str">
        <f t="shared" si="38"/>
        <v>0.000134651087100564i</v>
      </c>
      <c r="AH21" s="98">
        <f t="shared" si="53"/>
        <v>1.3465108710056399E-4</v>
      </c>
      <c r="AI21" s="98">
        <f t="shared" si="54"/>
        <v>1.5707963267948966</v>
      </c>
      <c r="AJ21" s="98" t="str">
        <f t="shared" si="39"/>
        <v>1+0.0158215027343163i</v>
      </c>
      <c r="AK21" s="98">
        <f t="shared" si="55"/>
        <v>1.0001251521428565</v>
      </c>
      <c r="AL21" s="98">
        <f t="shared" si="56"/>
        <v>1.5820182786638187E-2</v>
      </c>
      <c r="AM21" s="98" t="str">
        <f t="shared" si="40"/>
        <v>1+0.0316430054686327i</v>
      </c>
      <c r="AN21" s="98">
        <f t="shared" si="57"/>
        <v>1.0005005146400916</v>
      </c>
      <c r="AO21" s="98">
        <f t="shared" si="58"/>
        <v>3.1632450641564641E-2</v>
      </c>
      <c r="AP21" s="168" t="str">
        <f t="shared" si="59"/>
        <v>-0.0105465481452466+0.666929579650037i</v>
      </c>
      <c r="AQ21" s="98">
        <f t="shared" si="60"/>
        <v>-3.5173145043909217</v>
      </c>
      <c r="AR21" s="169">
        <f t="shared" si="61"/>
        <v>90.905976212617659</v>
      </c>
      <c r="AS21" s="168" t="str">
        <f t="shared" si="62"/>
        <v>-0.00136835827083717+13.8150623411786i</v>
      </c>
      <c r="AT21" s="190">
        <f t="shared" si="63"/>
        <v>22.807057023269024</v>
      </c>
      <c r="AU21" s="169">
        <f t="shared" si="64"/>
        <v>90.005675048840757</v>
      </c>
      <c r="AV21" s="225"/>
      <c r="AX21">
        <f t="shared" si="65"/>
        <v>0</v>
      </c>
      <c r="AY21">
        <f t="shared" si="66"/>
        <v>0</v>
      </c>
    </row>
    <row r="22" spans="1:51" x14ac:dyDescent="0.3">
      <c r="N22" s="170">
        <v>4</v>
      </c>
      <c r="O22" s="199">
        <f t="shared" si="41"/>
        <v>10.964781961431854</v>
      </c>
      <c r="P22" s="189" t="str">
        <f t="shared" si="32"/>
        <v>20.7142857142857</v>
      </c>
      <c r="Q22" s="160" t="str">
        <f t="shared" si="33"/>
        <v>1+0.0157471444380563i</v>
      </c>
      <c r="R22" s="160">
        <f t="shared" si="42"/>
        <v>1.0001239785936307</v>
      </c>
      <c r="S22" s="160">
        <f t="shared" si="43"/>
        <v>1.5745843011786029E-2</v>
      </c>
      <c r="T22" s="160" t="str">
        <f t="shared" si="34"/>
        <v>1+1.37787513832993E-06i</v>
      </c>
      <c r="U22" s="160">
        <f t="shared" si="44"/>
        <v>1.0000000000009492</v>
      </c>
      <c r="V22" s="160">
        <f t="shared" si="45"/>
        <v>1.3778751383290579E-6</v>
      </c>
      <c r="W22" s="98" t="str">
        <f t="shared" si="35"/>
        <v>1-0.000361692223811605i</v>
      </c>
      <c r="X22" s="160">
        <f t="shared" si="46"/>
        <v>1.0000000654106302</v>
      </c>
      <c r="Y22" s="160">
        <f t="shared" si="47"/>
        <v>-3.6169220803926148E-4</v>
      </c>
      <c r="Z22" s="98" t="str">
        <f t="shared" si="36"/>
        <v>0.999999989972983-0.0000269884411209267i</v>
      </c>
      <c r="AA22" s="160">
        <f t="shared" si="48"/>
        <v>0.99999999033717102</v>
      </c>
      <c r="AB22" s="160">
        <f t="shared" si="49"/>
        <v>-2.6988441384987682E-5</v>
      </c>
      <c r="AC22" s="171" t="str">
        <f t="shared" si="50"/>
        <v>20.709042116648-0.333012885527982i</v>
      </c>
      <c r="AD22" s="190">
        <f t="shared" si="51"/>
        <v>26.324323098869161</v>
      </c>
      <c r="AE22" s="169">
        <f t="shared" si="52"/>
        <v>-0.92126851623720651</v>
      </c>
      <c r="AF22" s="98" t="str">
        <f t="shared" si="37"/>
        <v>-0.0000897803247373448</v>
      </c>
      <c r="AG22" s="98" t="str">
        <f t="shared" si="38"/>
        <v>0.000137787513832993i</v>
      </c>
      <c r="AH22" s="98">
        <f t="shared" si="53"/>
        <v>1.37787513832993E-4</v>
      </c>
      <c r="AI22" s="98">
        <f t="shared" si="54"/>
        <v>1.5707963267948966</v>
      </c>
      <c r="AJ22" s="98" t="str">
        <f t="shared" si="39"/>
        <v>1+0.0161900328753767i</v>
      </c>
      <c r="AK22" s="98">
        <f t="shared" si="55"/>
        <v>1.0001310499952023</v>
      </c>
      <c r="AL22" s="98">
        <f t="shared" si="56"/>
        <v>1.6188618535966773E-2</v>
      </c>
      <c r="AM22" s="98" t="str">
        <f t="shared" si="40"/>
        <v>1+0.0323800657507534i</v>
      </c>
      <c r="AN22" s="98">
        <f t="shared" si="57"/>
        <v>1.0005240969901841</v>
      </c>
      <c r="AO22" s="98">
        <f t="shared" si="58"/>
        <v>3.2368756369725492E-2</v>
      </c>
      <c r="AP22" s="168" t="str">
        <f t="shared" si="59"/>
        <v>-0.0105464237579469+0.651756091945775i</v>
      </c>
      <c r="AQ22" s="98">
        <f t="shared" si="60"/>
        <v>-3.7171609971174351</v>
      </c>
      <c r="AR22" s="169">
        <f t="shared" si="61"/>
        <v>90.927053609814322</v>
      </c>
      <c r="AS22" s="168" t="str">
        <f t="shared" si="62"/>
        <v>-0.00136315694403613+13.5007564528946i</v>
      </c>
      <c r="AT22" s="190">
        <f t="shared" si="63"/>
        <v>22.607162101751733</v>
      </c>
      <c r="AU22" s="169">
        <f t="shared" si="64"/>
        <v>90.005785093577103</v>
      </c>
      <c r="AV22" s="225"/>
      <c r="AX22">
        <f t="shared" si="65"/>
        <v>0</v>
      </c>
      <c r="AY22">
        <f t="shared" si="66"/>
        <v>0</v>
      </c>
    </row>
    <row r="23" spans="1:51" x14ac:dyDescent="0.3">
      <c r="A23" s="98" t="s">
        <v>207</v>
      </c>
      <c r="N23" s="170">
        <v>5</v>
      </c>
      <c r="O23" s="199">
        <f t="shared" si="41"/>
        <v>11.220184543019636</v>
      </c>
      <c r="P23" s="189" t="str">
        <f t="shared" si="32"/>
        <v>20.7142857142857</v>
      </c>
      <c r="Q23" s="160" t="str">
        <f t="shared" si="33"/>
        <v>1+0.0161139425518959i</v>
      </c>
      <c r="R23" s="160">
        <f t="shared" si="42"/>
        <v>1.0001298211455181</v>
      </c>
      <c r="S23" s="160">
        <f t="shared" si="43"/>
        <v>1.6112548058299061E-2</v>
      </c>
      <c r="T23" s="160" t="str">
        <f t="shared" si="34"/>
        <v>1+1.40996997329089E-06i</v>
      </c>
      <c r="U23" s="160">
        <f t="shared" si="44"/>
        <v>1.0000000000009939</v>
      </c>
      <c r="V23" s="160">
        <f t="shared" si="45"/>
        <v>1.4099699732899558E-6</v>
      </c>
      <c r="W23" s="98" t="str">
        <f t="shared" si="35"/>
        <v>1-0.000370117117988858i</v>
      </c>
      <c r="X23" s="160">
        <f t="shared" si="46"/>
        <v>1.0000000684933381</v>
      </c>
      <c r="Y23" s="160">
        <f t="shared" si="47"/>
        <v>-3.7011710108848751E-4</v>
      </c>
      <c r="Z23" s="98" t="str">
        <f t="shared" si="36"/>
        <v>0.999999989500424-0.000027617082671626i</v>
      </c>
      <c r="AA23" s="160">
        <f t="shared" si="48"/>
        <v>0.99999998988177563</v>
      </c>
      <c r="AB23" s="160">
        <f t="shared" si="49"/>
        <v>-2.7617082954572451E-5</v>
      </c>
      <c r="AC23" s="171" t="str">
        <f t="shared" si="50"/>
        <v>20.7087950576558-0.340765771008379i</v>
      </c>
      <c r="AD23" s="190">
        <f t="shared" si="51"/>
        <v>26.324272388279269</v>
      </c>
      <c r="AE23" s="169">
        <f t="shared" si="52"/>
        <v>-0.94272402113575982</v>
      </c>
      <c r="AF23" s="98" t="str">
        <f t="shared" si="37"/>
        <v>-0.0000897803247373448</v>
      </c>
      <c r="AG23" s="98" t="str">
        <f t="shared" si="38"/>
        <v>0.000140996997329089i</v>
      </c>
      <c r="AH23" s="98">
        <f t="shared" si="53"/>
        <v>1.40996997329089E-4</v>
      </c>
      <c r="AI23" s="98">
        <f t="shared" si="54"/>
        <v>1.5707963267948966</v>
      </c>
      <c r="AJ23" s="98" t="str">
        <f t="shared" si="39"/>
        <v>1+0.016567147186168i</v>
      </c>
      <c r="AK23" s="98">
        <f t="shared" si="55"/>
        <v>1.0001372257674885</v>
      </c>
      <c r="AL23" s="98">
        <f t="shared" si="56"/>
        <v>1.6565631705416268E-2</v>
      </c>
      <c r="AM23" s="98" t="str">
        <f t="shared" si="40"/>
        <v>1+0.033134294372336i</v>
      </c>
      <c r="AN23" s="98">
        <f t="shared" si="57"/>
        <v>1.000548790146464</v>
      </c>
      <c r="AO23" s="98">
        <f t="shared" si="58"/>
        <v>3.3122176511186978E-2</v>
      </c>
      <c r="AP23" s="168" t="str">
        <f t="shared" si="59"/>
        <v>-0.0105462935115992+0.636928173758661i</v>
      </c>
      <c r="AQ23" s="98">
        <f t="shared" si="60"/>
        <v>-3.9170002649650133</v>
      </c>
      <c r="AR23" s="169">
        <f t="shared" si="61"/>
        <v>90.948620140689911</v>
      </c>
      <c r="AS23" s="168" t="str">
        <f t="shared" si="62"/>
        <v>-0.00135771074176402+13.1936088326549i</v>
      </c>
      <c r="AT23" s="190">
        <f t="shared" si="63"/>
        <v>22.407272123314289</v>
      </c>
      <c r="AU23" s="169">
        <f t="shared" si="64"/>
        <v>90.005896119554137</v>
      </c>
      <c r="AV23" s="225"/>
      <c r="AX23">
        <f t="shared" si="65"/>
        <v>0</v>
      </c>
      <c r="AY23">
        <f t="shared" si="66"/>
        <v>0</v>
      </c>
    </row>
    <row r="24" spans="1:51" x14ac:dyDescent="0.3">
      <c r="A24" s="98" t="s">
        <v>208</v>
      </c>
      <c r="B24" s="205">
        <f>Lm</f>
        <v>1.4999999999999999E-5</v>
      </c>
      <c r="C24" s="98" t="s">
        <v>98</v>
      </c>
      <c r="E24" s="98" t="s">
        <v>209</v>
      </c>
      <c r="N24" s="170">
        <v>6</v>
      </c>
      <c r="O24" s="199">
        <f t="shared" si="41"/>
        <v>11.481536214968834</v>
      </c>
      <c r="P24" s="189" t="str">
        <f t="shared" si="32"/>
        <v>20.7142857142857</v>
      </c>
      <c r="Q24" s="160" t="str">
        <f t="shared" si="33"/>
        <v>1+0.0164892844913697i</v>
      </c>
      <c r="R24" s="160">
        <f t="shared" si="42"/>
        <v>1.0001359390118112</v>
      </c>
      <c r="S24" s="160">
        <f t="shared" si="43"/>
        <v>1.6487790275528432E-2</v>
      </c>
      <c r="T24" s="160" t="str">
        <f t="shared" si="34"/>
        <v>1+1.44281239299485E-06i</v>
      </c>
      <c r="U24" s="160">
        <f t="shared" si="44"/>
        <v>1.0000000000010409</v>
      </c>
      <c r="V24" s="160">
        <f t="shared" si="45"/>
        <v>1.4428123929938488E-6</v>
      </c>
      <c r="W24" s="98" t="str">
        <f t="shared" si="35"/>
        <v>1-0.000378738253161147i</v>
      </c>
      <c r="X24" s="160">
        <f t="shared" si="46"/>
        <v>1.0000000717213295</v>
      </c>
      <c r="Y24" s="160">
        <f t="shared" si="47"/>
        <v>-3.7873823505207382E-4</v>
      </c>
      <c r="Z24" s="98" t="str">
        <f t="shared" si="36"/>
        <v>0.999999989005594-0.0000282603671651131i</v>
      </c>
      <c r="AA24" s="160">
        <f t="shared" si="48"/>
        <v>0.99999998940491808</v>
      </c>
      <c r="AB24" s="160">
        <f t="shared" si="49"/>
        <v>-2.8260367468295688E-5</v>
      </c>
      <c r="AC24" s="171" t="str">
        <f t="shared" si="50"/>
        <v>20.7085363613196-0.348698959767551i</v>
      </c>
      <c r="AD24" s="190">
        <f t="shared" si="51"/>
        <v>26.324219288408344</v>
      </c>
      <c r="AE24" s="169">
        <f t="shared" si="52"/>
        <v>-0.96467903184916393</v>
      </c>
      <c r="AF24" s="98" t="str">
        <f t="shared" si="37"/>
        <v>-0.0000897803247373448</v>
      </c>
      <c r="AG24" s="98" t="str">
        <f t="shared" si="38"/>
        <v>0.000144281239299485i</v>
      </c>
      <c r="AH24" s="98">
        <f t="shared" si="53"/>
        <v>1.44281239299485E-4</v>
      </c>
      <c r="AI24" s="98">
        <f t="shared" si="54"/>
        <v>1.5707963267948966</v>
      </c>
      <c r="AJ24" s="98" t="str">
        <f t="shared" si="39"/>
        <v>1+0.0169530456176895i</v>
      </c>
      <c r="AK24" s="98">
        <f t="shared" si="55"/>
        <v>1.0001436925540828</v>
      </c>
      <c r="AL24" s="98">
        <f t="shared" si="56"/>
        <v>1.6951421763407533E-2</v>
      </c>
      <c r="AM24" s="98" t="str">
        <f t="shared" si="40"/>
        <v>1+0.0339060912353791i</v>
      </c>
      <c r="AN24" s="98">
        <f t="shared" si="57"/>
        <v>1.0005746464021872</v>
      </c>
      <c r="AO24" s="98">
        <f t="shared" si="58"/>
        <v>3.3893107115942185E-2</v>
      </c>
      <c r="AP24" s="168" t="str">
        <f t="shared" si="59"/>
        <v>-0.0105461571303782+0.62243796311663i</v>
      </c>
      <c r="AQ24" s="98">
        <f t="shared" si="60"/>
        <v>-4.1168319683699925</v>
      </c>
      <c r="AR24" s="169">
        <f t="shared" si="61"/>
        <v>90.970687068538851</v>
      </c>
      <c r="AS24" s="168" t="str">
        <f t="shared" si="62"/>
        <v>-0.00135200814802475+12.8934566258873i</v>
      </c>
      <c r="AT24" s="190">
        <f t="shared" si="63"/>
        <v>22.207387320038315</v>
      </c>
      <c r="AU24" s="169">
        <f t="shared" si="64"/>
        <v>90.006008036689693</v>
      </c>
      <c r="AV24" s="225"/>
      <c r="AX24">
        <f t="shared" si="65"/>
        <v>0</v>
      </c>
      <c r="AY24">
        <f t="shared" si="66"/>
        <v>0</v>
      </c>
    </row>
    <row r="25" spans="1:51" x14ac:dyDescent="0.3">
      <c r="N25" s="170">
        <v>7</v>
      </c>
      <c r="O25" s="199">
        <f t="shared" si="41"/>
        <v>11.748975549395301</v>
      </c>
      <c r="P25" s="189" t="str">
        <f t="shared" si="32"/>
        <v>20.7142857142857</v>
      </c>
      <c r="Q25" s="160" t="str">
        <f t="shared" si="33"/>
        <v>1+0.0168733692677424i</v>
      </c>
      <c r="R25" s="160">
        <f t="shared" si="42"/>
        <v>1.0001423451641498</v>
      </c>
      <c r="S25" s="160">
        <f t="shared" si="43"/>
        <v>1.6871768198929243E-2</v>
      </c>
      <c r="T25" s="160" t="str">
        <f t="shared" si="34"/>
        <v>1+1.47641981092746E-06i</v>
      </c>
      <c r="U25" s="160">
        <f t="shared" si="44"/>
        <v>1.0000000000010898</v>
      </c>
      <c r="V25" s="160">
        <f t="shared" si="45"/>
        <v>1.4764198109263873E-6</v>
      </c>
      <c r="W25" s="98" t="str">
        <f t="shared" si="35"/>
        <v>1-0.000387560200368456i</v>
      </c>
      <c r="X25" s="160">
        <f t="shared" si="46"/>
        <v>1.0000000751014517</v>
      </c>
      <c r="Y25" s="160">
        <f t="shared" si="47"/>
        <v>-3.875601809642346E-4</v>
      </c>
      <c r="Z25" s="98" t="str">
        <f t="shared" si="36"/>
        <v>0.999999988487444-0.0000289186356793414i</v>
      </c>
      <c r="AA25" s="160">
        <f t="shared" si="48"/>
        <v>0.99999998890558772</v>
      </c>
      <c r="AB25" s="160">
        <f t="shared" si="49"/>
        <v>-2.8918636004207385E-5</v>
      </c>
      <c r="AC25" s="171" t="str">
        <f t="shared" si="50"/>
        <v>20.7082654797849-0.356816631264794i</v>
      </c>
      <c r="AD25" s="190">
        <f t="shared" si="51"/>
        <v>26.324163686714286</v>
      </c>
      <c r="AE25" s="169">
        <f t="shared" si="52"/>
        <v>-0.98714516498199256</v>
      </c>
      <c r="AF25" s="98" t="str">
        <f t="shared" si="37"/>
        <v>-0.0000897803247373448</v>
      </c>
      <c r="AG25" s="98" t="str">
        <f t="shared" si="38"/>
        <v>0.000147641981092746i</v>
      </c>
      <c r="AH25" s="98">
        <f t="shared" si="53"/>
        <v>1.47641981092746E-4</v>
      </c>
      <c r="AI25" s="98">
        <f t="shared" si="54"/>
        <v>1.5707963267948966</v>
      </c>
      <c r="AJ25" s="98" t="str">
        <f t="shared" si="39"/>
        <v>1+0.0173479327783976i</v>
      </c>
      <c r="AK25" s="98">
        <f t="shared" si="55"/>
        <v>1.0001504640661243</v>
      </c>
      <c r="AL25" s="98">
        <f t="shared" si="56"/>
        <v>1.7346192801323001E-2</v>
      </c>
      <c r="AM25" s="98" t="str">
        <f t="shared" si="40"/>
        <v>1+0.0346958655567953i</v>
      </c>
      <c r="AN25" s="98">
        <f t="shared" si="57"/>
        <v>1.0006017205095818</v>
      </c>
      <c r="AO25" s="98">
        <f t="shared" si="58"/>
        <v>3.468195327398501E-2</v>
      </c>
      <c r="AP25" s="168" t="str">
        <f t="shared" si="59"/>
        <v>-0.0105460143254886+0.608277777103661i</v>
      </c>
      <c r="AQ25" s="98">
        <f t="shared" si="60"/>
        <v>-4.3166557518555217</v>
      </c>
      <c r="AR25" s="169">
        <f t="shared" si="61"/>
        <v>90.993265909733253</v>
      </c>
      <c r="AS25" s="168" t="str">
        <f t="shared" si="62"/>
        <v>-0.00134603710646705+12.6001406870209i</v>
      </c>
      <c r="AT25" s="190">
        <f t="shared" si="63"/>
        <v>22.007507934858744</v>
      </c>
      <c r="AU25" s="169">
        <f t="shared" si="64"/>
        <v>90.006120744751257</v>
      </c>
      <c r="AV25" s="225"/>
      <c r="AX25">
        <f t="shared" si="65"/>
        <v>0</v>
      </c>
      <c r="AY25">
        <f t="shared" si="66"/>
        <v>0</v>
      </c>
    </row>
    <row r="26" spans="1:51" x14ac:dyDescent="0.3">
      <c r="A26" s="98" t="s">
        <v>160</v>
      </c>
      <c r="B26" s="205">
        <f>R_cs</f>
        <v>0.04</v>
      </c>
      <c r="C26" s="206" t="s">
        <v>36</v>
      </c>
      <c r="E26" s="98" t="s">
        <v>210</v>
      </c>
      <c r="N26" s="170">
        <v>8</v>
      </c>
      <c r="O26" s="199">
        <f t="shared" si="41"/>
        <v>12.022644346174133</v>
      </c>
      <c r="P26" s="189" t="str">
        <f t="shared" si="32"/>
        <v>20.7142857142857</v>
      </c>
      <c r="Q26" s="160" t="str">
        <f t="shared" si="33"/>
        <v>1+0.0172664005278462i</v>
      </c>
      <c r="R26" s="160">
        <f t="shared" si="42"/>
        <v>1.000149053185168</v>
      </c>
      <c r="S26" s="160">
        <f t="shared" si="43"/>
        <v>1.7264684965512252E-2</v>
      </c>
      <c r="T26" s="160" t="str">
        <f t="shared" si="34"/>
        <v>1+1.51081004618654E-06i</v>
      </c>
      <c r="U26" s="160">
        <f t="shared" si="44"/>
        <v>1.0000000000011413</v>
      </c>
      <c r="V26" s="160">
        <f t="shared" si="45"/>
        <v>1.5108100461853905E-6</v>
      </c>
      <c r="W26" s="98" t="str">
        <f t="shared" si="35"/>
        <v>1-0.000396587637123966i</v>
      </c>
      <c r="X26" s="160">
        <f t="shared" si="46"/>
        <v>1.0000000786408738</v>
      </c>
      <c r="Y26" s="160">
        <f t="shared" si="47"/>
        <v>-3.9658761633196827E-4</v>
      </c>
      <c r="Z26" s="98" t="str">
        <f t="shared" si="36"/>
        <v>0.999999987944874-0.0000295922372369902i</v>
      </c>
      <c r="AA26" s="160">
        <f t="shared" si="48"/>
        <v>0.99999998838272419</v>
      </c>
      <c r="AB26" s="160">
        <f t="shared" si="49"/>
        <v>-2.9592237585090372E-5</v>
      </c>
      <c r="AC26" s="171" t="str">
        <f t="shared" si="50"/>
        <v>20.7079818394352-0.365123060858066i</v>
      </c>
      <c r="AD26" s="190">
        <f t="shared" si="51"/>
        <v>26.324105465356993</v>
      </c>
      <c r="AE26" s="169">
        <f t="shared" si="52"/>
        <v>-1.0101343064105321</v>
      </c>
      <c r="AF26" s="98" t="str">
        <f t="shared" si="37"/>
        <v>-0.0000897803247373448</v>
      </c>
      <c r="AG26" s="98" t="str">
        <f t="shared" si="38"/>
        <v>0.000151081004618654i</v>
      </c>
      <c r="AH26" s="98">
        <f t="shared" si="53"/>
        <v>1.51081004618654E-4</v>
      </c>
      <c r="AI26" s="98">
        <f t="shared" si="54"/>
        <v>1.5707963267948966</v>
      </c>
      <c r="AJ26" s="98" t="str">
        <f t="shared" si="39"/>
        <v>1+0.0177520180426918i</v>
      </c>
      <c r="AK26" s="98">
        <f t="shared" si="55"/>
        <v>1.0001575546605583</v>
      </c>
      <c r="AL26" s="98">
        <f t="shared" si="56"/>
        <v>1.7750153639527831E-2</v>
      </c>
      <c r="AM26" s="98" t="str">
        <f t="shared" si="40"/>
        <v>1+0.0355040360853838i</v>
      </c>
      <c r="AN26" s="98">
        <f t="shared" si="57"/>
        <v>1.0006300697952026</v>
      </c>
      <c r="AO26" s="98">
        <f t="shared" si="58"/>
        <v>3.5489129312691742E-2</v>
      </c>
      <c r="AP26" s="168" t="str">
        <f t="shared" si="59"/>
        <v>-0.0105458647945571+0.594440107786126i</v>
      </c>
      <c r="AQ26" s="98">
        <f t="shared" si="60"/>
        <v>-4.5164712432902023</v>
      </c>
      <c r="AR26" s="169">
        <f t="shared" si="61"/>
        <v>91.016368438957528</v>
      </c>
      <c r="AS26" s="168" t="str">
        <f t="shared" si="62"/>
        <v>-0.00133978499515841+12.3135054951002i</v>
      </c>
      <c r="AT26" s="190">
        <f t="shared" si="63"/>
        <v>21.807634222066806</v>
      </c>
      <c r="AU26" s="169">
        <f t="shared" si="64"/>
        <v>90.006234132546993</v>
      </c>
      <c r="AV26" s="225"/>
      <c r="AX26">
        <f t="shared" si="65"/>
        <v>0</v>
      </c>
      <c r="AY26">
        <f t="shared" si="66"/>
        <v>0</v>
      </c>
    </row>
    <row r="27" spans="1:51" x14ac:dyDescent="0.3">
      <c r="A27" s="98" t="s">
        <v>161</v>
      </c>
      <c r="B27" s="205">
        <f>R_sl</f>
        <v>0</v>
      </c>
      <c r="C27" s="206" t="s">
        <v>36</v>
      </c>
      <c r="E27" s="98" t="s">
        <v>211</v>
      </c>
      <c r="N27" s="170">
        <v>9</v>
      </c>
      <c r="O27" s="199">
        <f t="shared" si="41"/>
        <v>12.302687708123818</v>
      </c>
      <c r="P27" s="189" t="str">
        <f t="shared" si="32"/>
        <v>20.7142857142857</v>
      </c>
      <c r="Q27" s="160" t="str">
        <f t="shared" si="33"/>
        <v>1+0.0176685866620577i</v>
      </c>
      <c r="R27" s="160">
        <f t="shared" si="42"/>
        <v>1.000156077297256</v>
      </c>
      <c r="S27" s="160">
        <f t="shared" si="43"/>
        <v>1.7666748419390477E-2</v>
      </c>
      <c r="T27" s="160" t="str">
        <f t="shared" si="34"/>
        <v>1+1.54600133293005E-06i</v>
      </c>
      <c r="U27" s="160">
        <f t="shared" si="44"/>
        <v>1.000000000001195</v>
      </c>
      <c r="V27" s="160">
        <f t="shared" si="45"/>
        <v>1.5460013329288183E-6</v>
      </c>
      <c r="W27" s="98" t="str">
        <f t="shared" si="35"/>
        <v>1-0.000405825349894137i</v>
      </c>
      <c r="X27" s="160">
        <f t="shared" si="46"/>
        <v>1.000000082347104</v>
      </c>
      <c r="Y27" s="160">
        <f t="shared" si="47"/>
        <v>-4.0582532761511013E-4</v>
      </c>
      <c r="Z27" s="98" t="str">
        <f t="shared" si="36"/>
        <v>0.999999987376733-0.0000302815289905217i</v>
      </c>
      <c r="AA27" s="160">
        <f t="shared" si="48"/>
        <v>0.99999998783521848</v>
      </c>
      <c r="AB27" s="160">
        <f t="shared" si="49"/>
        <v>-3.0281529363517766E-5</v>
      </c>
      <c r="AC27" s="171" t="str">
        <f t="shared" si="50"/>
        <v>20.7076848396834-0.373622621934011i</v>
      </c>
      <c r="AD27" s="190">
        <f t="shared" si="51"/>
        <v>26.324044500949213</v>
      </c>
      <c r="AE27" s="169">
        <f t="shared" si="52"/>
        <v>-1.0336586174611262</v>
      </c>
      <c r="AF27" s="98" t="str">
        <f t="shared" si="37"/>
        <v>-0.0000897803247373448</v>
      </c>
      <c r="AG27" s="98" t="str">
        <f t="shared" si="38"/>
        <v>0.000154600133293005i</v>
      </c>
      <c r="AH27" s="98">
        <f t="shared" si="53"/>
        <v>1.5460013329300499E-4</v>
      </c>
      <c r="AI27" s="98">
        <f t="shared" si="54"/>
        <v>1.5707963267948966</v>
      </c>
      <c r="AJ27" s="98" t="str">
        <f t="shared" si="39"/>
        <v>1+0.0181655156619281i</v>
      </c>
      <c r="AK27" s="98">
        <f t="shared" si="55"/>
        <v>1.0001649793705356</v>
      </c>
      <c r="AL27" s="98">
        <f t="shared" si="56"/>
        <v>1.8163517935742401E-2</v>
      </c>
      <c r="AM27" s="98" t="str">
        <f t="shared" si="40"/>
        <v>1+0.0363310313238563i</v>
      </c>
      <c r="AN27" s="98">
        <f t="shared" si="57"/>
        <v>1.0006597542806721</v>
      </c>
      <c r="AO27" s="98">
        <f t="shared" si="58"/>
        <v>3.6315058997863428E-2</v>
      </c>
      <c r="AP27" s="168" t="str">
        <f t="shared" si="59"/>
        <v>-0.0105457082209947+0.580917618231894i</v>
      </c>
      <c r="AQ27" s="98">
        <f t="shared" si="60"/>
        <v>-4.7162780531129131</v>
      </c>
      <c r="AR27" s="169">
        <f t="shared" si="61"/>
        <v>91.040006694517956</v>
      </c>
      <c r="AS27" s="168" t="str">
        <f t="shared" si="62"/>
        <v>-0.00133323860015547+12.0333990713213i</v>
      </c>
      <c r="AT27" s="190">
        <f t="shared" si="63"/>
        <v>21.607766447836333</v>
      </c>
      <c r="AU27" s="169">
        <f t="shared" si="64"/>
        <v>90.006348077056828</v>
      </c>
      <c r="AV27" s="225"/>
      <c r="AX27">
        <f t="shared" si="65"/>
        <v>0</v>
      </c>
      <c r="AY27">
        <f t="shared" si="66"/>
        <v>0</v>
      </c>
    </row>
    <row r="28" spans="1:51" x14ac:dyDescent="0.3">
      <c r="A28" s="98" t="s">
        <v>146</v>
      </c>
      <c r="B28" s="207">
        <f>Rsl_int</f>
        <v>1333</v>
      </c>
      <c r="C28" s="206" t="s">
        <v>36</v>
      </c>
      <c r="E28" s="98" t="s">
        <v>212</v>
      </c>
      <c r="N28" s="170">
        <v>10</v>
      </c>
      <c r="O28" s="199">
        <f t="shared" si="41"/>
        <v>12.58925411794168</v>
      </c>
      <c r="P28" s="189" t="str">
        <f t="shared" si="32"/>
        <v>20.7142857142857</v>
      </c>
      <c r="Q28" s="160" t="str">
        <f t="shared" si="33"/>
        <v>1+0.0180801409147889i</v>
      </c>
      <c r="R28" s="160">
        <f t="shared" si="42"/>
        <v>1.0001634323926758</v>
      </c>
      <c r="S28" s="160">
        <f t="shared" si="43"/>
        <v>1.8078171219666265E-2</v>
      </c>
      <c r="T28" s="160" t="str">
        <f t="shared" si="34"/>
        <v>1+1.58201233004403E-06i</v>
      </c>
      <c r="U28" s="160">
        <f t="shared" si="44"/>
        <v>1.0000000000012514</v>
      </c>
      <c r="V28" s="160">
        <f t="shared" si="45"/>
        <v>1.58201233004271E-6</v>
      </c>
      <c r="W28" s="98" t="str">
        <f t="shared" si="35"/>
        <v>1-0.000415278236636556i</v>
      </c>
      <c r="X28" s="160">
        <f t="shared" si="46"/>
        <v>1.0000000862280032</v>
      </c>
      <c r="Y28" s="160">
        <f t="shared" si="47"/>
        <v>-4.1527821276414868E-4</v>
      </c>
      <c r="Z28" s="98" t="str">
        <f t="shared" si="36"/>
        <v>0.999999986781817-0.0000309868764115474i</v>
      </c>
      <c r="AA28" s="160">
        <f t="shared" si="48"/>
        <v>0.99999998726191031</v>
      </c>
      <c r="AB28" s="160">
        <f t="shared" si="49"/>
        <v>-3.098687681121988E-5</v>
      </c>
      <c r="AC28" s="171" t="str">
        <f t="shared" si="50"/>
        <v>20.7073738517067-0.382319788080166i</v>
      </c>
      <c r="AD28" s="190">
        <f t="shared" si="51"/>
        <v>26.323980664295728</v>
      </c>
      <c r="AE28" s="169">
        <f t="shared" si="52"/>
        <v>-1.0577305412256464</v>
      </c>
      <c r="AF28" s="98" t="str">
        <f t="shared" si="37"/>
        <v>-0.0000897803247373448</v>
      </c>
      <c r="AG28" s="98" t="str">
        <f t="shared" si="38"/>
        <v>0.000158201233004403i</v>
      </c>
      <c r="AH28" s="98">
        <f t="shared" si="53"/>
        <v>1.58201233004403E-4</v>
      </c>
      <c r="AI28" s="98">
        <f t="shared" si="54"/>
        <v>1.5707963267948966</v>
      </c>
      <c r="AJ28" s="98" t="str">
        <f t="shared" si="39"/>
        <v>1+0.0185886448780173i</v>
      </c>
      <c r="AK28" s="98">
        <f t="shared" si="55"/>
        <v>1.0001727539372391</v>
      </c>
      <c r="AL28" s="98">
        <f t="shared" si="56"/>
        <v>1.858650429581114E-2</v>
      </c>
      <c r="AM28" s="98" t="str">
        <f t="shared" si="40"/>
        <v>1+0.0371772897560347i</v>
      </c>
      <c r="AN28" s="98">
        <f t="shared" si="57"/>
        <v>1.0006908368090537</v>
      </c>
      <c r="AO28" s="98">
        <f t="shared" si="58"/>
        <v>3.7160175738448875E-2</v>
      </c>
      <c r="AP28" s="168" t="str">
        <f t="shared" si="59"/>
        <v>-0.0105455442733305+0.567703138620133i</v>
      </c>
      <c r="AQ28" s="98">
        <f t="shared" si="60"/>
        <v>-4.9160757735214826</v>
      </c>
      <c r="AR28" s="169">
        <f t="shared" si="61"/>
        <v>91.064192983725803</v>
      </c>
      <c r="AS28" s="168" t="str">
        <f t="shared" si="62"/>
        <v>-0.00132638408788496+11.7596728984461i</v>
      </c>
      <c r="AT28" s="190">
        <f t="shared" si="63"/>
        <v>21.407904890774219</v>
      </c>
      <c r="AU28" s="169">
        <f t="shared" si="64"/>
        <v>90.006462442500151</v>
      </c>
      <c r="AV28" s="225"/>
      <c r="AX28">
        <f t="shared" si="65"/>
        <v>0</v>
      </c>
      <c r="AY28">
        <f t="shared" si="66"/>
        <v>0</v>
      </c>
    </row>
    <row r="29" spans="1:51" x14ac:dyDescent="0.3">
      <c r="A29" s="98" t="s">
        <v>144</v>
      </c>
      <c r="B29" s="207">
        <f>Isl</f>
        <v>2.9999999999999997E-5</v>
      </c>
      <c r="C29" s="206" t="s">
        <v>11</v>
      </c>
      <c r="E29" s="98" t="s">
        <v>213</v>
      </c>
      <c r="N29" s="170">
        <v>11</v>
      </c>
      <c r="O29" s="199">
        <f t="shared" si="41"/>
        <v>12.882495516931346</v>
      </c>
      <c r="P29" s="189" t="str">
        <f t="shared" si="32"/>
        <v>20.7142857142857</v>
      </c>
      <c r="Q29" s="160" t="str">
        <f t="shared" si="33"/>
        <v>1+0.018501281497552i</v>
      </c>
      <c r="R29" s="160">
        <f t="shared" si="42"/>
        <v>1.0001711340650918</v>
      </c>
      <c r="S29" s="160">
        <f t="shared" si="43"/>
        <v>1.8499170950706301E-2</v>
      </c>
      <c r="T29" s="160" t="str">
        <f t="shared" si="34"/>
        <v>1+0.0000016188621310358i</v>
      </c>
      <c r="U29" s="160">
        <f t="shared" si="44"/>
        <v>1.0000000000013105</v>
      </c>
      <c r="V29" s="160">
        <f t="shared" si="45"/>
        <v>1.618862131034386E-6</v>
      </c>
      <c r="W29" s="98" t="str">
        <f t="shared" si="35"/>
        <v>1-0.000424951309396896i</v>
      </c>
      <c r="X29" s="160">
        <f t="shared" si="46"/>
        <v>1.0000000902918036</v>
      </c>
      <c r="Y29" s="160">
        <f t="shared" si="47"/>
        <v>-4.2495128381715084E-4</v>
      </c>
      <c r="Z29" s="98" t="str">
        <f t="shared" si="36"/>
        <v>0.999999986158863-0.0000317086534846062i</v>
      </c>
      <c r="AA29" s="160">
        <f t="shared" si="48"/>
        <v>0.99999998666158241</v>
      </c>
      <c r="AB29" s="160">
        <f t="shared" si="49"/>
        <v>-3.1708653912862988E-5</v>
      </c>
      <c r="AC29" s="171" t="str">
        <f t="shared" si="50"/>
        <v>20.7070482171228-0.391219135299849i</v>
      </c>
      <c r="AD29" s="190">
        <f t="shared" si="51"/>
        <v>26.323913820120382</v>
      </c>
      <c r="AE29" s="169">
        <f t="shared" si="52"/>
        <v>-1.082362809016898</v>
      </c>
      <c r="AF29" s="98" t="str">
        <f t="shared" si="37"/>
        <v>-0.0000897803247373448</v>
      </c>
      <c r="AG29" s="98" t="str">
        <f t="shared" si="38"/>
        <v>0.00016188621310358i</v>
      </c>
      <c r="AH29" s="98">
        <f t="shared" si="53"/>
        <v>1.6188621310358E-4</v>
      </c>
      <c r="AI29" s="98">
        <f t="shared" si="54"/>
        <v>1.5707963267948966</v>
      </c>
      <c r="AJ29" s="98" t="str">
        <f t="shared" si="39"/>
        <v>1+0.0190216300396706i</v>
      </c>
      <c r="AK29" s="98">
        <f t="shared" si="55"/>
        <v>1.0001808948432109</v>
      </c>
      <c r="AL29" s="98">
        <f t="shared" si="56"/>
        <v>1.9019336386916653E-2</v>
      </c>
      <c r="AM29" s="98" t="str">
        <f t="shared" si="40"/>
        <v>1+0.0380432600793413i</v>
      </c>
      <c r="AN29" s="98">
        <f t="shared" si="57"/>
        <v>1.0007233831771218</v>
      </c>
      <c r="AO29" s="98">
        <f t="shared" si="58"/>
        <v>3.8024922794963674E-2</v>
      </c>
      <c r="AP29" s="168" t="str">
        <f t="shared" si="59"/>
        <v>-0.0105453726045146+0.554789662439684i</v>
      </c>
      <c r="AQ29" s="98">
        <f t="shared" si="60"/>
        <v>-5.115863977624505</v>
      </c>
      <c r="AR29" s="169">
        <f t="shared" si="61"/>
        <v>91.088939888352286</v>
      </c>
      <c r="AS29" s="168" t="str">
        <f t="shared" si="62"/>
        <v>-0.00131920697626142+11.4921818420516i</v>
      </c>
      <c r="AT29" s="190">
        <f t="shared" si="63"/>
        <v>21.2080498424959</v>
      </c>
      <c r="AU29" s="169">
        <f t="shared" si="64"/>
        <v>90.006577079335401</v>
      </c>
      <c r="AV29" s="225"/>
      <c r="AX29">
        <f t="shared" si="65"/>
        <v>0</v>
      </c>
      <c r="AY29">
        <f t="shared" si="66"/>
        <v>0</v>
      </c>
    </row>
    <row r="30" spans="1:51" x14ac:dyDescent="0.3">
      <c r="C30" s="206"/>
      <c r="N30" s="170">
        <v>12</v>
      </c>
      <c r="O30" s="199">
        <f t="shared" si="41"/>
        <v>13.182567385564075</v>
      </c>
      <c r="P30" s="189" t="str">
        <f t="shared" si="32"/>
        <v>20.7142857142857</v>
      </c>
      <c r="Q30" s="160" t="str">
        <f t="shared" si="33"/>
        <v>1+0.0189322317046585i</v>
      </c>
      <c r="R30" s="160">
        <f t="shared" si="42"/>
        <v>1.0001791986425828</v>
      </c>
      <c r="S30" s="160">
        <f t="shared" si="43"/>
        <v>1.892997023485167E-2</v>
      </c>
      <c r="T30" s="160" t="str">
        <f t="shared" si="34"/>
        <v>1+1.65657027415762E-06i</v>
      </c>
      <c r="U30" s="160">
        <f t="shared" si="44"/>
        <v>1.0000000000013722</v>
      </c>
      <c r="V30" s="160">
        <f t="shared" si="45"/>
        <v>1.6565702741561047E-6</v>
      </c>
      <c r="W30" s="98" t="str">
        <f t="shared" si="35"/>
        <v>1-0.000434849696966374i</v>
      </c>
      <c r="X30" s="160">
        <f t="shared" si="46"/>
        <v>1.000000094547125</v>
      </c>
      <c r="Y30" s="160">
        <f t="shared" si="47"/>
        <v>-4.3484966955718336E-4</v>
      </c>
      <c r="Z30" s="98" t="str">
        <f t="shared" si="36"/>
        <v>0.99999998550655-0.0000324472429054562i</v>
      </c>
      <c r="AA30" s="160">
        <f t="shared" si="48"/>
        <v>0.99999998603296181</v>
      </c>
      <c r="AB30" s="160">
        <f t="shared" si="49"/>
        <v>-3.2447243364341628E-5</v>
      </c>
      <c r="AC30" s="171" t="str">
        <f t="shared" si="50"/>
        <v>20.7067072466038-0.400325344270166i</v>
      </c>
      <c r="AD30" s="190">
        <f t="shared" si="51"/>
        <v>26.323843826780152</v>
      </c>
      <c r="AE30" s="169">
        <f t="shared" si="52"/>
        <v>-1.1075684469667748</v>
      </c>
      <c r="AF30" s="98" t="str">
        <f t="shared" si="37"/>
        <v>-0.0000897803247373448</v>
      </c>
      <c r="AG30" s="98" t="str">
        <f t="shared" si="38"/>
        <v>0.000165657027415762i</v>
      </c>
      <c r="AH30" s="98">
        <f t="shared" si="53"/>
        <v>1.6565702741576201E-4</v>
      </c>
      <c r="AI30" s="98">
        <f t="shared" si="54"/>
        <v>1.5707963267948966</v>
      </c>
      <c r="AJ30" s="98" t="str">
        <f t="shared" si="39"/>
        <v>1+0.019464700721352i</v>
      </c>
      <c r="AK30" s="98">
        <f t="shared" si="55"/>
        <v>1.0001894193472414</v>
      </c>
      <c r="AL30" s="98">
        <f t="shared" si="56"/>
        <v>1.9462243053284183E-2</v>
      </c>
      <c r="AM30" s="98" t="str">
        <f t="shared" si="40"/>
        <v>1+0.0389294014427042i</v>
      </c>
      <c r="AN30" s="98">
        <f t="shared" si="57"/>
        <v>1.0007574622737956</v>
      </c>
      <c r="AO30" s="98">
        <f t="shared" si="58"/>
        <v>3.8909753491614921E-2</v>
      </c>
      <c r="AP30" s="168" t="str">
        <f t="shared" si="59"/>
        <v>-0.010545192851187+0.542170342774016i</v>
      </c>
      <c r="AQ30" s="98">
        <f t="shared" si="60"/>
        <v>-5.3156422185543315</v>
      </c>
      <c r="AR30" s="169">
        <f t="shared" si="61"/>
        <v>91.114260270152954</v>
      </c>
      <c r="AS30" s="168" t="str">
        <f t="shared" si="62"/>
        <v>-0.00131169210442658+11.2307840735709i</v>
      </c>
      <c r="AT30" s="190">
        <f t="shared" si="63"/>
        <v>21.008201608225797</v>
      </c>
      <c r="AU30" s="169">
        <f t="shared" si="64"/>
        <v>90.006691823186188</v>
      </c>
      <c r="AV30" s="225"/>
      <c r="AX30">
        <f t="shared" si="65"/>
        <v>0</v>
      </c>
      <c r="AY30">
        <f t="shared" si="66"/>
        <v>0</v>
      </c>
    </row>
    <row r="31" spans="1:51" x14ac:dyDescent="0.3">
      <c r="A31" s="98" t="s">
        <v>236</v>
      </c>
      <c r="B31" s="207">
        <f>Gcomp</f>
        <v>0.14499999999999999</v>
      </c>
      <c r="C31" s="206"/>
      <c r="E31" s="98" t="s">
        <v>237</v>
      </c>
      <c r="N31" s="170">
        <v>13</v>
      </c>
      <c r="O31" s="199">
        <f t="shared" si="41"/>
        <v>13.489628825916535</v>
      </c>
      <c r="P31" s="189" t="str">
        <f t="shared" si="32"/>
        <v>20.7142857142857</v>
      </c>
      <c r="Q31" s="160" t="str">
        <f t="shared" si="33"/>
        <v>1+0.0193732200316126i</v>
      </c>
      <c r="R31" s="160">
        <f t="shared" si="42"/>
        <v>1.0001876432222072</v>
      </c>
      <c r="S31" s="160">
        <f t="shared" si="43"/>
        <v>1.9370796847608861E-2</v>
      </c>
      <c r="T31" s="160" t="str">
        <f t="shared" si="34"/>
        <v>1+0.0000016951567527661i</v>
      </c>
      <c r="U31" s="160">
        <f t="shared" si="44"/>
        <v>1.0000000000014366</v>
      </c>
      <c r="V31" s="160">
        <f t="shared" si="45"/>
        <v>1.6951567527644762E-6</v>
      </c>
      <c r="W31" s="98" t="str">
        <f t="shared" si="35"/>
        <v>1-0.0004449786476011i</v>
      </c>
      <c r="X31" s="160">
        <f t="shared" si="46"/>
        <v>1.0000000990029934</v>
      </c>
      <c r="Y31" s="160">
        <f t="shared" si="47"/>
        <v>-4.4497861823162324E-4</v>
      </c>
      <c r="Z31" s="98" t="str">
        <f t="shared" si="36"/>
        <v>0.999999984823495-0.0000332030362839848i</v>
      </c>
      <c r="AA31" s="160">
        <f t="shared" si="48"/>
        <v>0.99999998537471579</v>
      </c>
      <c r="AB31" s="160">
        <f t="shared" si="49"/>
        <v>-3.3203036775689387E-5</v>
      </c>
      <c r="AC31" s="171" t="str">
        <f t="shared" si="50"/>
        <v>20.7063502184259-0.409643202643481i</v>
      </c>
      <c r="AD31" s="190">
        <f t="shared" si="51"/>
        <v>26.323770535965938</v>
      </c>
      <c r="AE31" s="169">
        <f t="shared" si="52"/>
        <v>-1.1333607827697332</v>
      </c>
      <c r="AF31" s="98" t="str">
        <f t="shared" si="37"/>
        <v>-0.0000897803247373448</v>
      </c>
      <c r="AG31" s="98" t="str">
        <f t="shared" si="38"/>
        <v>0.00016951567527661i</v>
      </c>
      <c r="AH31" s="98">
        <f t="shared" si="53"/>
        <v>1.6951567527661001E-4</v>
      </c>
      <c r="AI31" s="98">
        <f t="shared" si="54"/>
        <v>1.5707963267948966</v>
      </c>
      <c r="AJ31" s="98" t="str">
        <f t="shared" si="39"/>
        <v>1+0.0199180918450017i</v>
      </c>
      <c r="AK31" s="98">
        <f t="shared" si="55"/>
        <v>1.0001983455209</v>
      </c>
      <c r="AL31" s="98">
        <f t="shared" si="56"/>
        <v>1.9915458434425264E-2</v>
      </c>
      <c r="AM31" s="98" t="str">
        <f t="shared" si="40"/>
        <v>1+0.0398361836900034i</v>
      </c>
      <c r="AN31" s="98">
        <f t="shared" si="57"/>
        <v>1.0007931462250246</v>
      </c>
      <c r="AO31" s="98">
        <f t="shared" si="58"/>
        <v>3.9815131432136414E-2</v>
      </c>
      <c r="AP31" s="168" t="str">
        <f t="shared" si="59"/>
        <v>-0.0105450046329139+0.529838488670811i</v>
      </c>
      <c r="AQ31" s="98">
        <f t="shared" si="60"/>
        <v>-5.5154100285391845</v>
      </c>
      <c r="AR31" s="169">
        <f t="shared" si="61"/>
        <v>91.14016727645928</v>
      </c>
      <c r="AS31" s="168" t="str">
        <f t="shared" si="62"/>
        <v>-0.00130382360114617+10.975340995089i</v>
      </c>
      <c r="AT31" s="190">
        <f t="shared" si="63"/>
        <v>20.808360507426748</v>
      </c>
      <c r="AU31" s="169">
        <f t="shared" si="64"/>
        <v>90.006806493689552</v>
      </c>
      <c r="AV31" s="225"/>
      <c r="AX31">
        <f t="shared" si="65"/>
        <v>0</v>
      </c>
      <c r="AY31">
        <f t="shared" si="66"/>
        <v>0</v>
      </c>
    </row>
    <row r="32" spans="1:51" x14ac:dyDescent="0.3">
      <c r="N32" s="170">
        <v>14</v>
      </c>
      <c r="O32" s="199">
        <f t="shared" si="41"/>
        <v>13.803842646028857</v>
      </c>
      <c r="P32" s="189" t="str">
        <f t="shared" si="32"/>
        <v>20.7142857142857</v>
      </c>
      <c r="Q32" s="160" t="str">
        <f t="shared" si="33"/>
        <v>1+0.0198244802962623i</v>
      </c>
      <c r="R32" s="160">
        <f t="shared" si="42"/>
        <v>1.000196485706192</v>
      </c>
      <c r="S32" s="160">
        <f t="shared" si="43"/>
        <v>1.9821883835369817E-2</v>
      </c>
      <c r="T32" s="160" t="str">
        <f t="shared" si="34"/>
        <v>1+1.73464202592295E-06i</v>
      </c>
      <c r="U32" s="160">
        <f t="shared" si="44"/>
        <v>1.0000000000015046</v>
      </c>
      <c r="V32" s="160">
        <f t="shared" si="45"/>
        <v>1.7346420259212101E-6</v>
      </c>
      <c r="W32" s="98" t="str">
        <f t="shared" si="35"/>
        <v>1-0.000455343531804773i</v>
      </c>
      <c r="X32" s="160">
        <f t="shared" si="46"/>
        <v>1.0000001036688606</v>
      </c>
      <c r="Y32" s="160">
        <f t="shared" si="47"/>
        <v>-4.5534350033481186E-4</v>
      </c>
      <c r="Z32" s="98" t="str">
        <f t="shared" si="36"/>
        <v>0.999999984108249-0.0000339764343518453i</v>
      </c>
      <c r="AA32" s="160">
        <f t="shared" si="48"/>
        <v>0.99999998468544793</v>
      </c>
      <c r="AB32" s="160">
        <f t="shared" si="49"/>
        <v>-3.397643487871623E-5</v>
      </c>
      <c r="AC32" s="171" t="str">
        <f t="shared" si="50"/>
        <v>20.7059763769512-0.419177607392809i</v>
      </c>
      <c r="AD32" s="190">
        <f t="shared" si="51"/>
        <v>26.323693792389228</v>
      </c>
      <c r="AE32" s="169">
        <f t="shared" si="52"/>
        <v>-1.1597534525746829</v>
      </c>
      <c r="AF32" s="98" t="str">
        <f t="shared" si="37"/>
        <v>-0.0000897803247373448</v>
      </c>
      <c r="AG32" s="98" t="str">
        <f t="shared" si="38"/>
        <v>0.000173464202592295i</v>
      </c>
      <c r="AH32" s="98">
        <f t="shared" si="53"/>
        <v>1.7346420259229501E-4</v>
      </c>
      <c r="AI32" s="98">
        <f t="shared" si="54"/>
        <v>1.5707963267948966</v>
      </c>
      <c r="AJ32" s="98" t="str">
        <f t="shared" si="39"/>
        <v>1+0.0203820438045947i</v>
      </c>
      <c r="AK32" s="98">
        <f t="shared" si="55"/>
        <v>1.0002076922867833</v>
      </c>
      <c r="AL32" s="98">
        <f t="shared" si="56"/>
        <v>2.0379222085968117E-2</v>
      </c>
      <c r="AM32" s="98" t="str">
        <f t="shared" si="40"/>
        <v>1+0.0407640876091894i</v>
      </c>
      <c r="AN32" s="98">
        <f t="shared" si="57"/>
        <v>1.0008305105454218</v>
      </c>
      <c r="AO32" s="98">
        <f t="shared" si="58"/>
        <v>4.0741530719336921E-2</v>
      </c>
      <c r="AP32" s="168" t="str">
        <f t="shared" si="59"/>
        <v>-0.0105448075513883+0.517787561594228i</v>
      </c>
      <c r="AQ32" s="98">
        <f t="shared" si="60"/>
        <v>-5.7151669179329616</v>
      </c>
      <c r="AR32" s="169">
        <f t="shared" si="61"/>
        <v>91.166674345834835</v>
      </c>
      <c r="AS32" s="168" t="str">
        <f t="shared" si="62"/>
        <v>-0.00129558485171755+10.7257171658491i</v>
      </c>
      <c r="AT32" s="190">
        <f t="shared" si="63"/>
        <v>20.608526874456299</v>
      </c>
      <c r="AU32" s="169">
        <f t="shared" si="64"/>
        <v>90.006920893260158</v>
      </c>
      <c r="AV32" s="225"/>
      <c r="AX32">
        <f t="shared" si="65"/>
        <v>0</v>
      </c>
      <c r="AY32">
        <f t="shared" si="66"/>
        <v>0</v>
      </c>
    </row>
    <row r="33" spans="1:51" x14ac:dyDescent="0.3">
      <c r="N33" s="170">
        <v>15</v>
      </c>
      <c r="O33" s="199">
        <f t="shared" si="41"/>
        <v>14.125375446227544</v>
      </c>
      <c r="P33" s="189" t="str">
        <f t="shared" si="32"/>
        <v>20.7142857142857</v>
      </c>
      <c r="Q33" s="160" t="str">
        <f t="shared" si="33"/>
        <v>1+0.0202862517627731i</v>
      </c>
      <c r="R33" s="160">
        <f t="shared" si="42"/>
        <v>1.0002057448398218</v>
      </c>
      <c r="S33" s="160">
        <f t="shared" si="43"/>
        <v>2.0283469635709699E-2</v>
      </c>
      <c r="T33" s="160" t="str">
        <f t="shared" si="34"/>
        <v>1+1.77504702924264E-06i</v>
      </c>
      <c r="U33" s="160">
        <f t="shared" si="44"/>
        <v>1.0000000000015754</v>
      </c>
      <c r="V33" s="160">
        <f t="shared" si="45"/>
        <v>1.7750470292407757E-6</v>
      </c>
      <c r="W33" s="98" t="str">
        <f t="shared" si="35"/>
        <v>1-0.000465949845176193i</v>
      </c>
      <c r="X33" s="160">
        <f t="shared" si="46"/>
        <v>1.0000001085546231</v>
      </c>
      <c r="Y33" s="160">
        <f t="shared" si="47"/>
        <v>-4.659498114555223E-4</v>
      </c>
      <c r="Z33" s="98" t="str">
        <f t="shared" si="36"/>
        <v>0.999999983359294-0.0000347678471749303i</v>
      </c>
      <c r="AA33" s="160">
        <f t="shared" si="48"/>
        <v>0.9999999839636956</v>
      </c>
      <c r="AB33" s="160">
        <f t="shared" si="49"/>
        <v>-3.4767847739482671E-5</v>
      </c>
      <c r="AC33" s="171" t="str">
        <f t="shared" si="50"/>
        <v>20.7055849310397-0.428933567201368i</v>
      </c>
      <c r="AD33" s="190">
        <f t="shared" si="51"/>
        <v>26.323613433454419</v>
      </c>
      <c r="AE33" s="169">
        <f t="shared" si="52"/>
        <v>-1.1867604080277931</v>
      </c>
      <c r="AF33" s="98" t="str">
        <f t="shared" si="37"/>
        <v>-0.0000897803247373448</v>
      </c>
      <c r="AG33" s="98" t="str">
        <f t="shared" si="38"/>
        <v>0.000177504702924264i</v>
      </c>
      <c r="AH33" s="98">
        <f t="shared" si="53"/>
        <v>1.77504702924264E-4</v>
      </c>
      <c r="AI33" s="98">
        <f t="shared" si="54"/>
        <v>1.5707963267948966</v>
      </c>
      <c r="AJ33" s="98" t="str">
        <f t="shared" si="39"/>
        <v>1+0.0208568025936011i</v>
      </c>
      <c r="AK33" s="98">
        <f t="shared" si="55"/>
        <v>1.0002174794585568</v>
      </c>
      <c r="AL33" s="98">
        <f t="shared" si="56"/>
        <v>2.0853779103123724E-2</v>
      </c>
      <c r="AM33" s="98" t="str">
        <f t="shared" si="40"/>
        <v>1+0.0417136051872022i</v>
      </c>
      <c r="AN33" s="98">
        <f t="shared" si="57"/>
        <v>1.0008696342969516</v>
      </c>
      <c r="AO33" s="98">
        <f t="shared" si="58"/>
        <v>4.1689436178351046E-2</v>
      </c>
      <c r="AP33" s="168" t="str">
        <f t="shared" si="59"/>
        <v>-0.0105446011895919+0.506011171957973i</v>
      </c>
      <c r="AQ33" s="98">
        <f t="shared" si="60"/>
        <v>-5.9149123742007905</v>
      </c>
      <c r="AR33" s="169">
        <f t="shared" si="61"/>
        <v>91.193795213792413</v>
      </c>
      <c r="AS33" s="168" t="str">
        <f t="shared" si="62"/>
        <v>-0.00128695846335916+10.4817802304337i</v>
      </c>
      <c r="AT33" s="190">
        <f t="shared" si="63"/>
        <v>20.408701059253616</v>
      </c>
      <c r="AU33" s="169">
        <f t="shared" si="64"/>
        <v>90.007034805764619</v>
      </c>
      <c r="AV33" s="225"/>
      <c r="AX33">
        <f t="shared" si="65"/>
        <v>0</v>
      </c>
      <c r="AY33">
        <f t="shared" si="66"/>
        <v>0</v>
      </c>
    </row>
    <row r="34" spans="1:51" x14ac:dyDescent="0.3">
      <c r="N34" s="170">
        <v>16</v>
      </c>
      <c r="O34" s="199">
        <f t="shared" si="41"/>
        <v>14.454397707459275</v>
      </c>
      <c r="P34" s="189" t="str">
        <f t="shared" si="32"/>
        <v>20.7142857142857</v>
      </c>
      <c r="Q34" s="160" t="str">
        <f t="shared" si="33"/>
        <v>1+0.0207587792684888i</v>
      </c>
      <c r="R34" s="160">
        <f t="shared" si="42"/>
        <v>1.0002154402511079</v>
      </c>
      <c r="S34" s="160">
        <f t="shared" si="43"/>
        <v>2.0755798200309362E-2</v>
      </c>
      <c r="T34" s="160" t="str">
        <f t="shared" si="34"/>
        <v>1+1.81639318599277E-06i</v>
      </c>
      <c r="U34" s="160">
        <f t="shared" si="44"/>
        <v>1.0000000000016498</v>
      </c>
      <c r="V34" s="160">
        <f t="shared" si="45"/>
        <v>1.8163931859907726E-6</v>
      </c>
      <c r="W34" s="98" t="str">
        <f t="shared" si="35"/>
        <v>1-0.0004768032113231i</v>
      </c>
      <c r="X34" s="160">
        <f t="shared" si="46"/>
        <v>1.0000001136706447</v>
      </c>
      <c r="Y34" s="160">
        <f t="shared" si="47"/>
        <v>-4.7680317519075061E-4</v>
      </c>
      <c r="Z34" s="98" t="str">
        <f t="shared" si="36"/>
        <v>0.999999982575041-0.0000355776943707944i</v>
      </c>
      <c r="AA34" s="160">
        <f t="shared" si="48"/>
        <v>0.99999998320792716</v>
      </c>
      <c r="AB34" s="160">
        <f t="shared" si="49"/>
        <v>-3.5577694975723185E-5</v>
      </c>
      <c r="AC34" s="171" t="str">
        <f t="shared" si="50"/>
        <v>20.7051750523861-0.438916204896663i</v>
      </c>
      <c r="AD34" s="190">
        <f t="shared" si="51"/>
        <v>26.323529288915321</v>
      </c>
      <c r="AE34" s="169">
        <f t="shared" si="52"/>
        <v>-1.2143959234694106</v>
      </c>
      <c r="AF34" s="98" t="str">
        <f t="shared" si="37"/>
        <v>-0.0000897803247373448</v>
      </c>
      <c r="AG34" s="98" t="str">
        <f t="shared" si="38"/>
        <v>0.000181639318599277i</v>
      </c>
      <c r="AH34" s="98">
        <f t="shared" si="53"/>
        <v>1.8163931859927699E-4</v>
      </c>
      <c r="AI34" s="98">
        <f t="shared" si="54"/>
        <v>1.5707963267948966</v>
      </c>
      <c r="AJ34" s="98" t="str">
        <f t="shared" si="39"/>
        <v>1+0.021342619935415i</v>
      </c>
      <c r="AK34" s="98">
        <f t="shared" si="55"/>
        <v>1.0002277277828822</v>
      </c>
      <c r="AL34" s="98">
        <f t="shared" si="56"/>
        <v>2.1339380246835359E-2</v>
      </c>
      <c r="AM34" s="98" t="str">
        <f t="shared" si="40"/>
        <v>1+0.0426852398708302i</v>
      </c>
      <c r="AN34" s="98">
        <f t="shared" si="57"/>
        <v>1.000910600255003</v>
      </c>
      <c r="AO34" s="98">
        <f t="shared" si="58"/>
        <v>4.265934358358428E-2</v>
      </c>
      <c r="AP34" s="168" t="str">
        <f t="shared" si="59"/>
        <v>-0.0105443851109205+0.494503075737328i</v>
      </c>
      <c r="AQ34" s="98">
        <f t="shared" si="60"/>
        <v>-6.1146458608584542</v>
      </c>
      <c r="AR34" s="169">
        <f t="shared" si="61"/>
        <v>91.221543918569353</v>
      </c>
      <c r="AS34" s="168" t="str">
        <f t="shared" si="62"/>
        <v>-0.00127792622902748+10.2434008485806i</v>
      </c>
      <c r="AT34" s="190">
        <f t="shared" si="63"/>
        <v>20.208883428056893</v>
      </c>
      <c r="AU34" s="169">
        <f t="shared" si="64"/>
        <v>90.007147995099942</v>
      </c>
      <c r="AV34" s="225"/>
      <c r="AX34">
        <f t="shared" si="65"/>
        <v>0</v>
      </c>
      <c r="AY34">
        <f t="shared" si="66"/>
        <v>0</v>
      </c>
    </row>
    <row r="35" spans="1:51" x14ac:dyDescent="0.3">
      <c r="A35" s="98" t="s">
        <v>235</v>
      </c>
      <c r="B35" s="208">
        <f>IF(Dc_Mode_Loop="CCM",(Gcomp*(VIN_var/VOUT)*(VOUT/IOUT))/(2*R_cs*Acs),K35*K37)</f>
        <v>20.714285714285712</v>
      </c>
      <c r="C35" s="98" t="s">
        <v>180</v>
      </c>
      <c r="E35" s="98" t="s">
        <v>239</v>
      </c>
      <c r="J35" s="98" t="s">
        <v>546</v>
      </c>
      <c r="K35" s="98">
        <f>Fsw/((1+B45/B46)*B46)</f>
        <v>9.9134751287205134</v>
      </c>
      <c r="N35" s="170">
        <v>17</v>
      </c>
      <c r="O35" s="199">
        <f t="shared" si="41"/>
        <v>14.791083881682074</v>
      </c>
      <c r="P35" s="189" t="str">
        <f t="shared" si="32"/>
        <v>20.7142857142857</v>
      </c>
      <c r="Q35" s="160" t="str">
        <f t="shared" si="33"/>
        <v>1+0.0212423133537476i</v>
      </c>
      <c r="R35" s="160">
        <f t="shared" si="42"/>
        <v>1.0002255924923231</v>
      </c>
      <c r="S35" s="160">
        <f t="shared" si="43"/>
        <v>2.1239119120552052E-2</v>
      </c>
      <c r="T35" s="160" t="str">
        <f t="shared" si="34"/>
        <v>1+1.85870241845291E-06i</v>
      </c>
      <c r="U35" s="160">
        <f t="shared" si="44"/>
        <v>1.0000000000017275</v>
      </c>
      <c r="V35" s="160">
        <f t="shared" si="45"/>
        <v>1.8587024184507695E-6</v>
      </c>
      <c r="W35" s="98" t="str">
        <f t="shared" si="35"/>
        <v>1-0.000487909384843888i</v>
      </c>
      <c r="X35" s="160">
        <f t="shared" si="46"/>
        <v>1.000000119027777</v>
      </c>
      <c r="Y35" s="160">
        <f t="shared" si="47"/>
        <v>-4.879093461273783E-4</v>
      </c>
      <c r="Z35" s="98" t="str">
        <f t="shared" si="36"/>
        <v>0.999999981753828-0.0000364064053311403i</v>
      </c>
      <c r="AA35" s="160">
        <f t="shared" si="48"/>
        <v>0.9999999824165412</v>
      </c>
      <c r="AB35" s="160">
        <f t="shared" si="49"/>
        <v>-3.6406405979333176E-5</v>
      </c>
      <c r="AC35" s="171" t="str">
        <f t="shared" si="50"/>
        <v>20.7047458737796-0.449130759929221i</v>
      </c>
      <c r="AD35" s="190">
        <f t="shared" si="51"/>
        <v>26.323441180515672</v>
      </c>
      <c r="AE35" s="169">
        <f t="shared" si="52"/>
        <v>-1.2426746032875258</v>
      </c>
      <c r="AF35" s="98" t="str">
        <f t="shared" si="37"/>
        <v>-0.0000897803247373448</v>
      </c>
      <c r="AG35" s="98" t="str">
        <f t="shared" si="38"/>
        <v>0.000185870241845291i</v>
      </c>
      <c r="AH35" s="98">
        <f t="shared" si="53"/>
        <v>1.8587024184529101E-4</v>
      </c>
      <c r="AI35" s="98">
        <f t="shared" si="54"/>
        <v>1.5707963267948966</v>
      </c>
      <c r="AJ35" s="98" t="str">
        <f t="shared" si="39"/>
        <v>1+0.0218397534168217i</v>
      </c>
      <c r="AK35" s="98">
        <f t="shared" si="55"/>
        <v>1.0002384589833104</v>
      </c>
      <c r="AL35" s="98">
        <f t="shared" si="56"/>
        <v>2.1836282072661129E-2</v>
      </c>
      <c r="AM35" s="98" t="str">
        <f t="shared" si="40"/>
        <v>1+0.0436795068336435i</v>
      </c>
      <c r="AN35" s="98">
        <f t="shared" si="57"/>
        <v>1.0009534950821792</v>
      </c>
      <c r="AO35" s="98">
        <f t="shared" si="58"/>
        <v>4.3651759889328505E-2</v>
      </c>
      <c r="AP35" s="168" t="str">
        <f t="shared" si="59"/>
        <v>-0.0105441588582665+0.483257171158371i</v>
      </c>
      <c r="AQ35" s="98">
        <f t="shared" si="60"/>
        <v>-6.3143668163632221</v>
      </c>
      <c r="AR35" s="169">
        <f t="shared" si="61"/>
        <v>91.249934806956318</v>
      </c>
      <c r="AS35" s="168" t="str">
        <f t="shared" si="62"/>
        <v>-0.00126846908956513+10.0104526265965i</v>
      </c>
      <c r="AT35" s="190">
        <f t="shared" si="63"/>
        <v>20.00907436415244</v>
      </c>
      <c r="AU35" s="169">
        <f t="shared" si="64"/>
        <v>90.007260203668793</v>
      </c>
      <c r="AV35" s="225"/>
      <c r="AX35">
        <f t="shared" si="65"/>
        <v>0</v>
      </c>
      <c r="AY35">
        <f t="shared" si="66"/>
        <v>0</v>
      </c>
    </row>
    <row r="36" spans="1:51" x14ac:dyDescent="0.3">
      <c r="A36" s="98" t="s">
        <v>252</v>
      </c>
      <c r="B36" s="209">
        <f>IF(Dc_Mode_Loop="CCM",2/(Cout*(VOUT/IOUT)),(2*B20/B17-1)/(Cout*(VOUT/IOUT)*(B20/B17-1)))</f>
        <v>4375</v>
      </c>
      <c r="C36" s="98" t="s">
        <v>251</v>
      </c>
      <c r="E36" s="98" t="s">
        <v>242</v>
      </c>
      <c r="J36" s="98" t="s">
        <v>547</v>
      </c>
      <c r="K36" s="98">
        <f>(1+SQRT(1+2*(Dc_DCM_VIN_nom^2)/K38))/2</f>
        <v>4</v>
      </c>
      <c r="N36" s="170">
        <v>18</v>
      </c>
      <c r="O36" s="199">
        <f t="shared" si="41"/>
        <v>15.135612484362087</v>
      </c>
      <c r="P36" s="189" t="str">
        <f t="shared" si="32"/>
        <v>20.7142857142857</v>
      </c>
      <c r="Q36" s="160" t="str">
        <f t="shared" si="33"/>
        <v>1+0.0217371103947218i</v>
      </c>
      <c r="R36" s="160">
        <f t="shared" si="42"/>
        <v>1.0002362230834836</v>
      </c>
      <c r="S36" s="160">
        <f t="shared" si="43"/>
        <v>2.1733687755842605E-2</v>
      </c>
      <c r="T36" s="160" t="str">
        <f t="shared" si="34"/>
        <v>1+1.90199715953816E-06i</v>
      </c>
      <c r="U36" s="160">
        <f t="shared" si="44"/>
        <v>1.0000000000018088</v>
      </c>
      <c r="V36" s="160">
        <f t="shared" si="45"/>
        <v>1.9019971595358664E-6</v>
      </c>
      <c r="W36" s="98" t="str">
        <f t="shared" si="35"/>
        <v>1-0.000499274254378765i</v>
      </c>
      <c r="X36" s="160">
        <f t="shared" si="46"/>
        <v>1.0000001246373829</v>
      </c>
      <c r="Y36" s="160">
        <f t="shared" si="47"/>
        <v>-4.9927421289327773E-4</v>
      </c>
      <c r="Z36" s="98" t="str">
        <f t="shared" si="36"/>
        <v>0.999999980893913-0.0000372544194494886i</v>
      </c>
      <c r="AA36" s="160">
        <f t="shared" si="48"/>
        <v>0.99999998158785874</v>
      </c>
      <c r="AB36" s="160">
        <f t="shared" si="49"/>
        <v>-3.7254420144039764E-5</v>
      </c>
      <c r="AC36" s="171" t="str">
        <f t="shared" si="50"/>
        <v>20.7042964872839-0.459582590896339i</v>
      </c>
      <c r="AD36" s="190">
        <f t="shared" si="51"/>
        <v>26.323348921613299</v>
      </c>
      <c r="AE36" s="169">
        <f t="shared" si="52"/>
        <v>-1.2716113894310905</v>
      </c>
      <c r="AF36" s="98" t="str">
        <f t="shared" si="37"/>
        <v>-0.0000897803247373448</v>
      </c>
      <c r="AG36" s="98" t="str">
        <f t="shared" si="38"/>
        <v>0.000190199715953816i</v>
      </c>
      <c r="AH36" s="98">
        <f t="shared" si="53"/>
        <v>1.9019971595381601E-4</v>
      </c>
      <c r="AI36" s="98">
        <f t="shared" si="54"/>
        <v>1.5707963267948966</v>
      </c>
      <c r="AJ36" s="98" t="str">
        <f t="shared" si="39"/>
        <v>1+0.0223484666245733i</v>
      </c>
      <c r="AK36" s="98">
        <f t="shared" si="55"/>
        <v>1.000249695806237</v>
      </c>
      <c r="AL36" s="98">
        <f t="shared" si="56"/>
        <v>2.2344747062437692E-2</v>
      </c>
      <c r="AM36" s="98" t="str">
        <f t="shared" si="40"/>
        <v>1+0.0446969332491468i</v>
      </c>
      <c r="AN36" s="98">
        <f t="shared" si="57"/>
        <v>1.0009984095101643</v>
      </c>
      <c r="AO36" s="98">
        <f t="shared" si="58"/>
        <v>4.4667203464023683E-2</v>
      </c>
      <c r="AP36" s="168" t="str">
        <f t="shared" si="59"/>
        <v>-0.0105439219530598+0.472267495462581i</v>
      </c>
      <c r="AQ36" s="98">
        <f t="shared" si="60"/>
        <v>-6.5140746529548004</v>
      </c>
      <c r="AR36" s="169">
        <f t="shared" si="61"/>
        <v>91.278982540175662</v>
      </c>
      <c r="AS36" s="168" t="str">
        <f t="shared" si="62"/>
        <v>-0.00125856709411365+9.78281205033368i</v>
      </c>
      <c r="AT36" s="190">
        <f t="shared" si="63"/>
        <v>19.809274268658502</v>
      </c>
      <c r="AU36" s="169">
        <f t="shared" si="64"/>
        <v>90.007371150744575</v>
      </c>
      <c r="AV36" s="225"/>
      <c r="AX36">
        <f t="shared" si="65"/>
        <v>0</v>
      </c>
      <c r="AY36">
        <f t="shared" si="66"/>
        <v>0</v>
      </c>
    </row>
    <row r="37" spans="1:51" x14ac:dyDescent="0.3">
      <c r="B37" s="210">
        <f>wp_lf/(2*PI())</f>
        <v>696.30287602704209</v>
      </c>
      <c r="C37" s="98" t="s">
        <v>69</v>
      </c>
      <c r="J37" s="98" t="s">
        <v>548</v>
      </c>
      <c r="K37" s="98">
        <f>2*VOUT/Dc_DCM_VIN_nom*(K36-1)/(2*K36-1)</f>
        <v>13.053767324192435</v>
      </c>
      <c r="N37" s="170">
        <v>19</v>
      </c>
      <c r="O37" s="199">
        <f t="shared" si="41"/>
        <v>15.488166189124817</v>
      </c>
      <c r="P37" s="189" t="str">
        <f t="shared" si="32"/>
        <v>20.7142857142857</v>
      </c>
      <c r="Q37" s="160" t="str">
        <f t="shared" si="33"/>
        <v>1+0.0222434327393519i</v>
      </c>
      <c r="R37" s="160">
        <f t="shared" si="42"/>
        <v>1.0002473545578763</v>
      </c>
      <c r="S37" s="160">
        <f t="shared" si="43"/>
        <v>2.2239765364698474E-2</v>
      </c>
      <c r="T37" s="160" t="str">
        <f t="shared" si="34"/>
        <v>1+1.94630036469329E-06i</v>
      </c>
      <c r="U37" s="160">
        <f t="shared" si="44"/>
        <v>1.000000000001894</v>
      </c>
      <c r="V37" s="160">
        <f t="shared" si="45"/>
        <v>1.9463003646908324E-6</v>
      </c>
      <c r="W37" s="98" t="str">
        <f t="shared" si="35"/>
        <v>1-0.000510903845731988i</v>
      </c>
      <c r="X37" s="160">
        <f t="shared" si="46"/>
        <v>1.0000001305113613</v>
      </c>
      <c r="Y37" s="160">
        <f t="shared" si="47"/>
        <v>-5.109038012794878E-4</v>
      </c>
      <c r="Z37" s="98" t="str">
        <f t="shared" si="36"/>
        <v>0.99999997999347-0.0000381221863541495i</v>
      </c>
      <c r="AA37" s="160">
        <f t="shared" si="48"/>
        <v>0.99999998072012053</v>
      </c>
      <c r="AB37" s="160">
        <f t="shared" si="49"/>
        <v>-3.8122187098374505E-5</v>
      </c>
      <c r="AC37" s="171" t="str">
        <f t="shared" si="50"/>
        <v>20.7038259423306-0.47027717811083i</v>
      </c>
      <c r="AD37" s="190">
        <f t="shared" si="51"/>
        <v>26.323252316785851</v>
      </c>
      <c r="AE37" s="169">
        <f t="shared" si="52"/>
        <v>-1.3012215690858406</v>
      </c>
      <c r="AF37" s="98" t="str">
        <f t="shared" si="37"/>
        <v>-0.0000897803247373448</v>
      </c>
      <c r="AG37" s="98" t="str">
        <f t="shared" si="38"/>
        <v>0.000194630036469329i</v>
      </c>
      <c r="AH37" s="98">
        <f t="shared" si="53"/>
        <v>1.9463003646932899E-4</v>
      </c>
      <c r="AI37" s="98">
        <f t="shared" si="54"/>
        <v>1.5707963267948966</v>
      </c>
      <c r="AJ37" s="98" t="str">
        <f t="shared" si="39"/>
        <v>1+0.0228690292851462i</v>
      </c>
      <c r="AK37" s="98">
        <f t="shared" si="55"/>
        <v>1.0002614620690156</v>
      </c>
      <c r="AL37" s="98">
        <f t="shared" si="56"/>
        <v>2.2865043758775516E-2</v>
      </c>
      <c r="AM37" s="98" t="str">
        <f t="shared" si="40"/>
        <v>1+0.0457380585702925i</v>
      </c>
      <c r="AN37" s="98">
        <f t="shared" si="57"/>
        <v>1.0010454385300296</v>
      </c>
      <c r="AO37" s="98">
        <f t="shared" si="58"/>
        <v>4.5706204328125374E-2</v>
      </c>
      <c r="AP37" s="168" t="str">
        <f t="shared" si="59"/>
        <v>-0.0105436738942643+0.461528221745176i</v>
      </c>
      <c r="AQ37" s="98">
        <f t="shared" si="60"/>
        <v>-6.7137687554431134</v>
      </c>
      <c r="AR37" s="169">
        <f t="shared" si="61"/>
        <v>91.308702099804378</v>
      </c>
      <c r="AS37" s="168" t="str">
        <f t="shared" si="62"/>
        <v>-0.00124819935871234+9.5603584196914i</v>
      </c>
      <c r="AT37" s="190">
        <f t="shared" si="63"/>
        <v>19.609483561342739</v>
      </c>
      <c r="AU37" s="169">
        <f t="shared" si="64"/>
        <v>90.007480530718553</v>
      </c>
      <c r="AV37" s="225"/>
      <c r="AX37">
        <f t="shared" si="65"/>
        <v>0</v>
      </c>
      <c r="AY37">
        <f t="shared" si="66"/>
        <v>0</v>
      </c>
    </row>
    <row r="38" spans="1:51" x14ac:dyDescent="0.3">
      <c r="B38" s="211"/>
      <c r="C38" s="98" t="s">
        <v>275</v>
      </c>
      <c r="E38" s="98" t="s">
        <v>274</v>
      </c>
      <c r="J38" s="98" t="s">
        <v>549</v>
      </c>
      <c r="K38" s="98">
        <f>(Lm*Fsw/(VOUT/IOUT))</f>
        <v>7.1859374999999989E-2</v>
      </c>
      <c r="N38" s="170">
        <v>20</v>
      </c>
      <c r="O38" s="199">
        <f t="shared" si="41"/>
        <v>15.848931924611136</v>
      </c>
      <c r="P38" s="189" t="str">
        <f t="shared" si="32"/>
        <v>20.7142857142857</v>
      </c>
      <c r="Q38" s="160" t="str">
        <f t="shared" si="33"/>
        <v>1+0.0227615488464471i</v>
      </c>
      <c r="R38" s="160">
        <f t="shared" si="42"/>
        <v>1.0002590105097227</v>
      </c>
      <c r="S38" s="160">
        <f t="shared" si="43"/>
        <v>2.2757619238661639E-2</v>
      </c>
      <c r="T38" s="160" t="str">
        <f t="shared" si="34"/>
        <v>1+1.99163552406412E-06i</v>
      </c>
      <c r="U38" s="160">
        <f t="shared" si="44"/>
        <v>1.0000000000019833</v>
      </c>
      <c r="V38" s="160">
        <f t="shared" si="45"/>
        <v>1.9916355240614868E-6</v>
      </c>
      <c r="W38" s="98" t="str">
        <f t="shared" si="35"/>
        <v>1-0.000522804325066831i</v>
      </c>
      <c r="X38" s="160">
        <f t="shared" si="46"/>
        <v>1.0000001366621718</v>
      </c>
      <c r="Y38" s="160">
        <f t="shared" si="47"/>
        <v>-5.2280427743511923E-4</v>
      </c>
      <c r="Z38" s="98" t="str">
        <f t="shared" si="36"/>
        <v>0.999999979050592-0.0000390101661466222i</v>
      </c>
      <c r="AA38" s="160">
        <f t="shared" si="48"/>
        <v>0.99999997981148847</v>
      </c>
      <c r="AB38" s="160">
        <f t="shared" si="49"/>
        <v>-3.9010166944073638E-5</v>
      </c>
      <c r="AC38" s="171" t="str">
        <f t="shared" si="50"/>
        <v>20.7033332437267-0.481220126214972i</v>
      </c>
      <c r="AD38" s="190">
        <f t="shared" si="51"/>
        <v>26.323151161419172</v>
      </c>
      <c r="AE38" s="169">
        <f t="shared" si="52"/>
        <v>-1.3315207825156075</v>
      </c>
      <c r="AF38" s="98" t="str">
        <f t="shared" si="37"/>
        <v>-0.0000897803247373448</v>
      </c>
      <c r="AG38" s="98" t="str">
        <f t="shared" si="38"/>
        <v>0.000199163552406412i</v>
      </c>
      <c r="AH38" s="98">
        <f t="shared" si="53"/>
        <v>1.9916355240641201E-4</v>
      </c>
      <c r="AI38" s="98">
        <f t="shared" si="54"/>
        <v>1.5707963267948966</v>
      </c>
      <c r="AJ38" s="98" t="str">
        <f t="shared" si="39"/>
        <v>1+0.0234017174077535i</v>
      </c>
      <c r="AK38" s="98">
        <f t="shared" si="55"/>
        <v>1.0002737827103299</v>
      </c>
      <c r="AL38" s="98">
        <f t="shared" si="56"/>
        <v>2.3397446902433578E-2</v>
      </c>
      <c r="AM38" s="98" t="str">
        <f t="shared" si="40"/>
        <v>1+0.046803434815507i</v>
      </c>
      <c r="AN38" s="98">
        <f t="shared" si="57"/>
        <v>1.0010946815913715</v>
      </c>
      <c r="AO38" s="98">
        <f t="shared" si="58"/>
        <v>4.676930439553726E-2</v>
      </c>
      <c r="AP38" s="168" t="str">
        <f t="shared" si="59"/>
        <v>-0.0105434141573274+0.451033655865429i</v>
      </c>
      <c r="AQ38" s="98">
        <f t="shared" si="60"/>
        <v>-6.9134484799420068</v>
      </c>
      <c r="AR38" s="169">
        <f t="shared" si="61"/>
        <v>91.339108793736045</v>
      </c>
      <c r="AS38" s="168" t="str">
        <f t="shared" si="62"/>
        <v>-0.00123734402301312+9.34297378460985i</v>
      </c>
      <c r="AT38" s="190">
        <f t="shared" si="63"/>
        <v>19.409702681477167</v>
      </c>
      <c r="AU38" s="169">
        <f t="shared" si="64"/>
        <v>90.007588011220435</v>
      </c>
      <c r="AV38" s="225"/>
      <c r="AX38">
        <f t="shared" si="65"/>
        <v>0</v>
      </c>
      <c r="AY38">
        <f t="shared" si="66"/>
        <v>0</v>
      </c>
    </row>
    <row r="39" spans="1:51" x14ac:dyDescent="0.3">
      <c r="A39" s="98" t="s">
        <v>253</v>
      </c>
      <c r="B39" s="209">
        <f>((VOUT/IOUT)*((VIN_var/VOUT)^2))/(Lm)</f>
        <v>190476.1904761905</v>
      </c>
      <c r="C39" s="98" t="s">
        <v>251</v>
      </c>
      <c r="E39" s="98" t="s">
        <v>243</v>
      </c>
      <c r="N39" s="170">
        <v>21</v>
      </c>
      <c r="O39" s="199">
        <f t="shared" si="41"/>
        <v>16.218100973589298</v>
      </c>
      <c r="P39" s="189" t="str">
        <f t="shared" si="32"/>
        <v>20.7142857142857</v>
      </c>
      <c r="Q39" s="160" t="str">
        <f t="shared" si="33"/>
        <v>1+0.0232917334280254i</v>
      </c>
      <c r="R39" s="160">
        <f t="shared" si="42"/>
        <v>1.0002712156440783</v>
      </c>
      <c r="S39" s="160">
        <f t="shared" si="43"/>
        <v>2.3287522839079939E-2</v>
      </c>
      <c r="T39" s="160" t="str">
        <f t="shared" si="34"/>
        <v>1+2.03802667495222E-06i</v>
      </c>
      <c r="U39" s="160">
        <f t="shared" si="44"/>
        <v>1.0000000000020768</v>
      </c>
      <c r="V39" s="160">
        <f t="shared" si="45"/>
        <v>2.0380266749493979E-6</v>
      </c>
      <c r="W39" s="98" t="str">
        <f t="shared" si="35"/>
        <v>1-0.000534982002174956i</v>
      </c>
      <c r="X39" s="160">
        <f t="shared" si="46"/>
        <v>1.0000001431028611</v>
      </c>
      <c r="Y39" s="160">
        <f t="shared" si="47"/>
        <v>-5.3498195113665774E-4</v>
      </c>
      <c r="Z39" s="98" t="str">
        <f t="shared" si="36"/>
        <v>0.999999978063276-0.0000399188296455463i</v>
      </c>
      <c r="AA39" s="160">
        <f t="shared" si="48"/>
        <v>0.99999997886003245</v>
      </c>
      <c r="AB39" s="160">
        <f t="shared" si="49"/>
        <v>-3.9918830500030942E-5</v>
      </c>
      <c r="AC39" s="171" t="str">
        <f t="shared" si="50"/>
        <v>20.7028173495665-0.492417166839478i</v>
      </c>
      <c r="AD39" s="190">
        <f t="shared" si="51"/>
        <v>26.323045241275111</v>
      </c>
      <c r="AE39" s="169">
        <f t="shared" si="52"/>
        <v>-1.3625250310718422</v>
      </c>
      <c r="AF39" s="98" t="str">
        <f t="shared" si="37"/>
        <v>-0.0000897803247373448</v>
      </c>
      <c r="AG39" s="98" t="str">
        <f t="shared" si="38"/>
        <v>0.000203802667495222i</v>
      </c>
      <c r="AH39" s="98">
        <f t="shared" si="53"/>
        <v>2.0380266749522199E-4</v>
      </c>
      <c r="AI39" s="98">
        <f t="shared" si="54"/>
        <v>1.5707963267948966</v>
      </c>
      <c r="AJ39" s="98" t="str">
        <f t="shared" si="39"/>
        <v>1+0.0239468134306886i</v>
      </c>
      <c r="AK39" s="98">
        <f t="shared" si="55"/>
        <v>1.0002866838429292</v>
      </c>
      <c r="AL39" s="98">
        <f t="shared" si="56"/>
        <v>2.3942237572623194E-2</v>
      </c>
      <c r="AM39" s="98" t="str">
        <f t="shared" si="40"/>
        <v>1+0.0478936268613773i</v>
      </c>
      <c r="AN39" s="98">
        <f t="shared" si="57"/>
        <v>1.0011462428106779</v>
      </c>
      <c r="AO39" s="98">
        <f t="shared" si="58"/>
        <v>4.7857057718548618E-2</v>
      </c>
      <c r="AP39" s="168" t="str">
        <f t="shared" si="59"/>
        <v>-0.0105431421930813+0.440778233427413i</v>
      </c>
      <c r="AQ39" s="98">
        <f t="shared" si="60"/>
        <v>-7.1131131525448836</v>
      </c>
      <c r="AR39" s="169">
        <f t="shared" si="61"/>
        <v>91.370218262175953</v>
      </c>
      <c r="AS39" s="168" t="str">
        <f t="shared" si="62"/>
        <v>-0.00122597820503331+9.13054288252062i</v>
      </c>
      <c r="AT39" s="190">
        <f t="shared" si="63"/>
        <v>19.209932088730223</v>
      </c>
      <c r="AU39" s="169">
        <f t="shared" si="64"/>
        <v>90.007693231104113</v>
      </c>
      <c r="AV39" s="225"/>
      <c r="AX39">
        <f t="shared" si="65"/>
        <v>0</v>
      </c>
      <c r="AY39">
        <f t="shared" si="66"/>
        <v>0</v>
      </c>
    </row>
    <row r="40" spans="1:51" x14ac:dyDescent="0.3">
      <c r="B40" s="211">
        <f>wz_rhp/(2*PI())</f>
        <v>30315.227255599119</v>
      </c>
      <c r="C40" s="98" t="s">
        <v>69</v>
      </c>
      <c r="N40" s="170">
        <v>22</v>
      </c>
      <c r="O40" s="199">
        <f t="shared" si="41"/>
        <v>16.595869074375614</v>
      </c>
      <c r="P40" s="189" t="str">
        <f t="shared" si="32"/>
        <v>20.7142857142857</v>
      </c>
      <c r="Q40" s="160" t="str">
        <f t="shared" si="33"/>
        <v>1+0.0238342675949698i</v>
      </c>
      <c r="R40" s="160">
        <f t="shared" si="42"/>
        <v>1.0002839958290788</v>
      </c>
      <c r="S40" s="160">
        <f t="shared" si="43"/>
        <v>2.3829755936808021E-2</v>
      </c>
      <c r="T40" s="160" t="str">
        <f t="shared" si="34"/>
        <v>1+2.08549841455986E-06i</v>
      </c>
      <c r="U40" s="160">
        <f t="shared" si="44"/>
        <v>1.0000000000021747</v>
      </c>
      <c r="V40" s="160">
        <f t="shared" si="45"/>
        <v>2.0854984145568367E-6</v>
      </c>
      <c r="W40" s="98" t="str">
        <f t="shared" si="35"/>
        <v>1-0.000547443333821962i</v>
      </c>
      <c r="X40" s="160">
        <f t="shared" si="46"/>
        <v>1.0000001498470905</v>
      </c>
      <c r="Y40" s="160">
        <f t="shared" si="47"/>
        <v>-5.4744327913344053E-4</v>
      </c>
      <c r="Z40" s="98" t="str">
        <f t="shared" si="36"/>
        <v>0.999999977029431-0.0000408486586363369i</v>
      </c>
      <c r="AA40" s="160">
        <f t="shared" si="48"/>
        <v>0.9999999778637374</v>
      </c>
      <c r="AB40" s="160">
        <f t="shared" si="49"/>
        <v>-4.0848659551933657E-5</v>
      </c>
      <c r="AC40" s="171" t="str">
        <f t="shared" si="50"/>
        <v>20.70227716905-0.503874161307703i</v>
      </c>
      <c r="AD40" s="190">
        <f t="shared" si="51"/>
        <v>26.322934332040475</v>
      </c>
      <c r="AE40" s="169">
        <f t="shared" si="52"/>
        <v>-1.394250685374643</v>
      </c>
      <c r="AF40" s="98" t="str">
        <f t="shared" si="37"/>
        <v>-0.0000897803247373448</v>
      </c>
      <c r="AG40" s="98" t="str">
        <f t="shared" si="38"/>
        <v>0.000208549841455986i</v>
      </c>
      <c r="AH40" s="98">
        <f t="shared" si="53"/>
        <v>2.0854984145598601E-4</v>
      </c>
      <c r="AI40" s="98">
        <f t="shared" si="54"/>
        <v>1.5707963267948966</v>
      </c>
      <c r="AJ40" s="98" t="str">
        <f t="shared" si="39"/>
        <v>1+0.0245046063710784i</v>
      </c>
      <c r="AK40" s="98">
        <f t="shared" si="55"/>
        <v>1.0003001928088395</v>
      </c>
      <c r="AL40" s="98">
        <f t="shared" si="56"/>
        <v>2.4499703330290622E-2</v>
      </c>
      <c r="AM40" s="98" t="str">
        <f t="shared" si="40"/>
        <v>1+0.0490092127421568i</v>
      </c>
      <c r="AN40" s="98">
        <f t="shared" si="57"/>
        <v>1.0012002311893491</v>
      </c>
      <c r="AO40" s="98">
        <f t="shared" si="58"/>
        <v>4.8970030736214115E-2</v>
      </c>
      <c r="AP40" s="168" t="str">
        <f t="shared" si="59"/>
        <v>-0.0105428574265926+0.430756516829488i</v>
      </c>
      <c r="AQ40" s="98">
        <f t="shared" si="60"/>
        <v>-7.3127620679413869</v>
      </c>
      <c r="AR40" s="169">
        <f t="shared" si="61"/>
        <v>91.402046483662716</v>
      </c>
      <c r="AS40" s="168" t="str">
        <f t="shared" si="62"/>
        <v>-0.00121407795381151+8.92295307722222i</v>
      </c>
      <c r="AT40" s="190">
        <f t="shared" si="63"/>
        <v>19.010172264099083</v>
      </c>
      <c r="AU40" s="169">
        <f t="shared" si="64"/>
        <v>90.007795798288072</v>
      </c>
      <c r="AV40" s="225"/>
      <c r="AX40">
        <f t="shared" si="65"/>
        <v>0</v>
      </c>
      <c r="AY40">
        <f t="shared" si="66"/>
        <v>0</v>
      </c>
    </row>
    <row r="41" spans="1:51" x14ac:dyDescent="0.3">
      <c r="B41" s="211"/>
      <c r="N41" s="170">
        <v>23</v>
      </c>
      <c r="O41" s="199">
        <f t="shared" si="41"/>
        <v>16.982436524617448</v>
      </c>
      <c r="P41" s="189" t="str">
        <f t="shared" si="32"/>
        <v>20.7142857142857</v>
      </c>
      <c r="Q41" s="160" t="str">
        <f t="shared" si="33"/>
        <v>1+0.0243894390060768i</v>
      </c>
      <c r="R41" s="160">
        <f t="shared" si="42"/>
        <v>1.0002973781506335</v>
      </c>
      <c r="S41" s="160">
        <f t="shared" si="43"/>
        <v>2.4384604754875822E-2</v>
      </c>
      <c r="T41" s="160" t="str">
        <f t="shared" si="34"/>
        <v>1+2.13407591303172E-06i</v>
      </c>
      <c r="U41" s="160">
        <f t="shared" si="44"/>
        <v>1.0000000000022773</v>
      </c>
      <c r="V41" s="160">
        <f t="shared" si="45"/>
        <v>2.13407591302848E-6</v>
      </c>
      <c r="W41" s="98" t="str">
        <f t="shared" si="35"/>
        <v>1-0.000560194927170825i</v>
      </c>
      <c r="X41" s="160">
        <f t="shared" si="46"/>
        <v>1.0000001569091659</v>
      </c>
      <c r="Y41" s="160">
        <f t="shared" si="47"/>
        <v>-5.601948685710189E-4</v>
      </c>
      <c r="Z41" s="98" t="str">
        <f t="shared" si="36"/>
        <v>0.999999975946861-0.0000418001461266321i</v>
      </c>
      <c r="AA41" s="160">
        <f t="shared" si="48"/>
        <v>0.99999997682048702</v>
      </c>
      <c r="AB41" s="160">
        <f t="shared" si="49"/>
        <v>-4.1800147107711713E-5</v>
      </c>
      <c r="AC41" s="171" t="str">
        <f t="shared" si="50"/>
        <v>20.701711560198-0.515597103384664i</v>
      </c>
      <c r="AD41" s="190">
        <f t="shared" si="51"/>
        <v>26.322818198854044</v>
      </c>
      <c r="AE41" s="169">
        <f t="shared" si="52"/>
        <v>-1.4267144936677483</v>
      </c>
      <c r="AF41" s="98" t="str">
        <f t="shared" si="37"/>
        <v>-0.0000897803247373448</v>
      </c>
      <c r="AG41" s="98" t="str">
        <f t="shared" si="38"/>
        <v>0.000213407591303173i</v>
      </c>
      <c r="AH41" s="98">
        <f t="shared" si="53"/>
        <v>2.13407591303173E-4</v>
      </c>
      <c r="AI41" s="98">
        <f t="shared" si="54"/>
        <v>1.5707963267948966</v>
      </c>
      <c r="AJ41" s="98" t="str">
        <f t="shared" si="39"/>
        <v>1+0.0250753919781227i</v>
      </c>
      <c r="AK41" s="98">
        <f t="shared" si="55"/>
        <v>1.0003143382371646</v>
      </c>
      <c r="AL41" s="98">
        <f t="shared" si="56"/>
        <v>2.5070138364424521E-2</v>
      </c>
      <c r="AM41" s="98" t="str">
        <f t="shared" si="40"/>
        <v>1+0.0501507839562455i</v>
      </c>
      <c r="AN41" s="98">
        <f t="shared" si="57"/>
        <v>1.0012567608418061</v>
      </c>
      <c r="AO41" s="98">
        <f t="shared" si="58"/>
        <v>5.0108802526094211E-2</v>
      </c>
      <c r="AP41" s="168" t="str">
        <f t="shared" si="59"/>
        <v>-0.0105425592559598+0.420963192381028i</v>
      </c>
      <c r="AQ41" s="98">
        <f t="shared" si="60"/>
        <v>-7.5123944879713882</v>
      </c>
      <c r="AR41" s="169">
        <f t="shared" si="61"/>
        <v>91.434609781109131</v>
      </c>
      <c r="AS41" s="168" t="str">
        <f t="shared" si="62"/>
        <v>-0.00120161819995632+8.72009429914682i</v>
      </c>
      <c r="AT41" s="190">
        <f t="shared" si="63"/>
        <v>18.81042371088266</v>
      </c>
      <c r="AU41" s="169">
        <f t="shared" si="64"/>
        <v>90.007895287441386</v>
      </c>
      <c r="AV41" s="225"/>
      <c r="AX41">
        <f t="shared" si="65"/>
        <v>0</v>
      </c>
      <c r="AY41">
        <f t="shared" si="66"/>
        <v>0</v>
      </c>
    </row>
    <row r="42" spans="1:51" x14ac:dyDescent="0.3">
      <c r="A42" s="98" t="s">
        <v>254</v>
      </c>
      <c r="B42" s="209">
        <f>1/(Cout*Resr)</f>
        <v>50000000.000000007</v>
      </c>
      <c r="C42" s="98" t="s">
        <v>251</v>
      </c>
      <c r="E42" s="98" t="s">
        <v>244</v>
      </c>
      <c r="N42" s="170">
        <v>24</v>
      </c>
      <c r="O42" s="199">
        <f t="shared" si="41"/>
        <v>17.378008287493756</v>
      </c>
      <c r="P42" s="189" t="str">
        <f t="shared" si="32"/>
        <v>20.7142857142857</v>
      </c>
      <c r="Q42" s="160" t="str">
        <f t="shared" si="33"/>
        <v>1+0.0249575420205774i</v>
      </c>
      <c r="R42" s="160">
        <f t="shared" si="42"/>
        <v>1.0003113909696864</v>
      </c>
      <c r="S42" s="160">
        <f t="shared" si="43"/>
        <v>2.4952362114174606E-2</v>
      </c>
      <c r="T42" s="160" t="str">
        <f t="shared" si="34"/>
        <v>1+2.18378492680052E-06i</v>
      </c>
      <c r="U42" s="160">
        <f t="shared" si="44"/>
        <v>1.0000000000023843</v>
      </c>
      <c r="V42" s="160">
        <f t="shared" si="45"/>
        <v>2.1837849267970486E-6</v>
      </c>
      <c r="W42" s="98" t="str">
        <f t="shared" si="35"/>
        <v>1-0.000573243543285135i</v>
      </c>
      <c r="X42" s="160">
        <f t="shared" si="46"/>
        <v>1.0000001643040666</v>
      </c>
      <c r="Y42" s="160">
        <f t="shared" si="47"/>
        <v>-5.7324348049431206E-4</v>
      </c>
      <c r="Z42" s="98" t="str">
        <f t="shared" si="36"/>
        <v>0.999999974813271-0.0000427737966076943i</v>
      </c>
      <c r="AA42" s="160">
        <f t="shared" si="48"/>
        <v>0.99999997572806987</v>
      </c>
      <c r="AB42" s="160">
        <f t="shared" si="49"/>
        <v>-4.2773797658940064E-5</v>
      </c>
      <c r="AC42" s="171" t="str">
        <f t="shared" si="50"/>
        <v>20.701119327462-0.527592122070841i</v>
      </c>
      <c r="AD42" s="190">
        <f t="shared" si="51"/>
        <v>26.322696595811617</v>
      </c>
      <c r="AE42" s="169">
        <f t="shared" si="52"/>
        <v>-1.4599335903507744</v>
      </c>
      <c r="AF42" s="98" t="str">
        <f t="shared" si="37"/>
        <v>-0.0000897803247373448</v>
      </c>
      <c r="AG42" s="98" t="str">
        <f t="shared" si="38"/>
        <v>0.000218378492680052i</v>
      </c>
      <c r="AH42" s="98">
        <f t="shared" si="53"/>
        <v>2.18378492680052E-4</v>
      </c>
      <c r="AI42" s="98">
        <f t="shared" si="54"/>
        <v>1.5707963267948966</v>
      </c>
      <c r="AJ42" s="98" t="str">
        <f t="shared" si="39"/>
        <v>1+0.0256594728899061i</v>
      </c>
      <c r="AK42" s="98">
        <f t="shared" si="55"/>
        <v>1.0003291501045983</v>
      </c>
      <c r="AL42" s="98">
        <f t="shared" si="56"/>
        <v>2.5653843641441597E-2</v>
      </c>
      <c r="AM42" s="98" t="str">
        <f t="shared" si="40"/>
        <v>1+0.0513189457798123i</v>
      </c>
      <c r="AN42" s="98">
        <f t="shared" si="57"/>
        <v>1.0013159512341503</v>
      </c>
      <c r="AO42" s="98">
        <f t="shared" si="58"/>
        <v>5.1273965059270586E-2</v>
      </c>
      <c r="AP42" s="168" t="str">
        <f t="shared" si="59"/>
        <v>-0.0105422470510541+0.411393067484816i</v>
      </c>
      <c r="AQ42" s="98">
        <f t="shared" si="60"/>
        <v>-7.7120096401144345</v>
      </c>
      <c r="AR42" s="169">
        <f t="shared" si="61"/>
        <v>91.467924827854318</v>
      </c>
      <c r="AS42" s="168" t="str">
        <f t="shared" si="62"/>
        <v>-0.00118857270390849+8.52185898698687i</v>
      </c>
      <c r="AT42" s="190">
        <f t="shared" si="63"/>
        <v>18.61068695569719</v>
      </c>
      <c r="AU42" s="169">
        <f t="shared" si="64"/>
        <v>90.007991237503546</v>
      </c>
      <c r="AV42" s="225"/>
      <c r="AX42">
        <f t="shared" si="65"/>
        <v>0</v>
      </c>
      <c r="AY42">
        <f t="shared" si="66"/>
        <v>0</v>
      </c>
    </row>
    <row r="43" spans="1:51" x14ac:dyDescent="0.3">
      <c r="B43" s="209">
        <f>wz_esr/(2*PI())</f>
        <v>7957747.1545947678</v>
      </c>
      <c r="C43" s="98" t="s">
        <v>69</v>
      </c>
      <c r="N43" s="170">
        <v>25</v>
      </c>
      <c r="O43" s="199">
        <f t="shared" si="41"/>
        <v>17.782794100389236</v>
      </c>
      <c r="P43" s="189" t="str">
        <f t="shared" si="32"/>
        <v>20.7142857142857</v>
      </c>
      <c r="Q43" s="160" t="str">
        <f t="shared" si="33"/>
        <v>1+0.0255388778542091i</v>
      </c>
      <c r="R43" s="160">
        <f t="shared" si="42"/>
        <v>1.0003260639821658</v>
      </c>
      <c r="S43" s="160">
        <f t="shared" si="43"/>
        <v>2.5533327582206632E-2</v>
      </c>
      <c r="T43" s="160" t="str">
        <f t="shared" si="34"/>
        <v>1+0.0000022346518122433i</v>
      </c>
      <c r="U43" s="160">
        <f t="shared" si="44"/>
        <v>1.0000000000024967</v>
      </c>
      <c r="V43" s="160">
        <f t="shared" si="45"/>
        <v>2.2346518122395804E-6</v>
      </c>
      <c r="W43" s="98" t="str">
        <f t="shared" si="35"/>
        <v>1-0.000586596100713865i</v>
      </c>
      <c r="X43" s="160">
        <f t="shared" si="46"/>
        <v>1.0000001720474778</v>
      </c>
      <c r="Y43" s="160">
        <f t="shared" si="47"/>
        <v>-5.8659603343228666E-4</v>
      </c>
      <c r="Z43" s="98" t="str">
        <f t="shared" si="36"/>
        <v>0.999999973626257-0.0000437701263218956i</v>
      </c>
      <c r="AA43" s="160">
        <f t="shared" si="48"/>
        <v>0.999999974584169</v>
      </c>
      <c r="AB43" s="160">
        <f t="shared" si="49"/>
        <v>-4.377012744832574E-5</v>
      </c>
      <c r="AC43" s="171" t="str">
        <f t="shared" si="50"/>
        <v>20.7004992192235-0.539865484440255i</v>
      </c>
      <c r="AD43" s="190">
        <f t="shared" si="51"/>
        <v>26.322569265448031</v>
      </c>
      <c r="AE43" s="169">
        <f t="shared" si="52"/>
        <v>-1.4939255046911297</v>
      </c>
      <c r="AF43" s="98" t="str">
        <f t="shared" si="37"/>
        <v>-0.0000897803247373448</v>
      </c>
      <c r="AG43" s="98" t="str">
        <f t="shared" si="38"/>
        <v>0.000223465181224331i</v>
      </c>
      <c r="AH43" s="98">
        <f t="shared" si="53"/>
        <v>2.2346518122433101E-4</v>
      </c>
      <c r="AI43" s="98">
        <f t="shared" si="54"/>
        <v>1.5707963267948966</v>
      </c>
      <c r="AJ43" s="98" t="str">
        <f t="shared" si="39"/>
        <v>1+0.0262571587938588i</v>
      </c>
      <c r="AK43" s="98">
        <f t="shared" si="55"/>
        <v>1.0003446597987744</v>
      </c>
      <c r="AL43" s="98">
        <f t="shared" si="56"/>
        <v>2.6251127057691764E-2</v>
      </c>
      <c r="AM43" s="98" t="str">
        <f t="shared" si="40"/>
        <v>1+0.0525143175877177i</v>
      </c>
      <c r="AN43" s="98">
        <f t="shared" si="57"/>
        <v>1.0013779274338452</v>
      </c>
      <c r="AO43" s="98">
        <f t="shared" si="58"/>
        <v>5.2466123458524132E-2</v>
      </c>
      <c r="AP43" s="168" t="str">
        <f t="shared" si="59"/>
        <v>-0.0105419201522026+0.402041067883642i</v>
      </c>
      <c r="AQ43" s="98">
        <f t="shared" si="60"/>
        <v>-7.9116067159113523</v>
      </c>
      <c r="AR43" s="169">
        <f t="shared" si="61"/>
        <v>91.502008653718335</v>
      </c>
      <c r="AS43" s="168" t="str">
        <f t="shared" si="62"/>
        <v>-0.00117491400190656+8.32814203065101i</v>
      </c>
      <c r="AT43" s="190">
        <f t="shared" si="63"/>
        <v>18.410962549536677</v>
      </c>
      <c r="AU43" s="169">
        <f t="shared" si="64"/>
        <v>90.0080831490272</v>
      </c>
      <c r="AV43" s="225"/>
      <c r="AX43">
        <f t="shared" si="65"/>
        <v>0</v>
      </c>
      <c r="AY43">
        <f t="shared" si="66"/>
        <v>0</v>
      </c>
    </row>
    <row r="44" spans="1:51" x14ac:dyDescent="0.3">
      <c r="B44" s="211"/>
      <c r="N44" s="170">
        <v>26</v>
      </c>
      <c r="O44" s="199">
        <f t="shared" si="41"/>
        <v>18.197008586099841</v>
      </c>
      <c r="P44" s="189" t="str">
        <f t="shared" si="32"/>
        <v>20.7142857142857</v>
      </c>
      <c r="Q44" s="160" t="str">
        <f t="shared" si="33"/>
        <v>1+0.0261337547389264i</v>
      </c>
      <c r="R44" s="160">
        <f t="shared" si="42"/>
        <v>1.0003414282817413</v>
      </c>
      <c r="S44" s="160">
        <f t="shared" si="43"/>
        <v>2.6127807624951295E-2</v>
      </c>
      <c r="T44" s="160" t="str">
        <f t="shared" si="34"/>
        <v>1+2.28670353965606E-06i</v>
      </c>
      <c r="U44" s="160">
        <f t="shared" si="44"/>
        <v>1.0000000000026144</v>
      </c>
      <c r="V44" s="160">
        <f t="shared" si="45"/>
        <v>2.2867035396520742E-6</v>
      </c>
      <c r="W44" s="98" t="str">
        <f t="shared" si="35"/>
        <v>1-0.000600259679159714i</v>
      </c>
      <c r="X44" s="160">
        <f t="shared" si="46"/>
        <v>1.0000001801558249</v>
      </c>
      <c r="Y44" s="160">
        <f t="shared" si="47"/>
        <v>-6.0025960706620472E-4</v>
      </c>
      <c r="Z44" s="98" t="str">
        <f t="shared" si="36"/>
        <v>0.999999972383301-0.0000447896635364393i</v>
      </c>
      <c r="AA44" s="160">
        <f t="shared" si="48"/>
        <v>0.99999997338635793</v>
      </c>
      <c r="AB44" s="160">
        <f t="shared" si="49"/>
        <v>-4.4789664743430935E-5</v>
      </c>
      <c r="AC44" s="171" t="str">
        <f t="shared" si="50"/>
        <v>20.6998499251787-0.55242359852265i</v>
      </c>
      <c r="AD44" s="190">
        <f t="shared" si="51"/>
        <v>26.322435938195309</v>
      </c>
      <c r="AE44" s="169">
        <f t="shared" si="52"/>
        <v>-1.5287081697190916</v>
      </c>
      <c r="AF44" s="98" t="str">
        <f t="shared" si="37"/>
        <v>-0.0000897803247373448</v>
      </c>
      <c r="AG44" s="98" t="str">
        <f t="shared" si="38"/>
        <v>0.000228670353965607i</v>
      </c>
      <c r="AH44" s="98">
        <f t="shared" si="53"/>
        <v>2.2867035396560701E-4</v>
      </c>
      <c r="AI44" s="98">
        <f t="shared" si="54"/>
        <v>1.5707963267948966</v>
      </c>
      <c r="AJ44" s="98" t="str">
        <f t="shared" si="39"/>
        <v>1+0.0268687665909587i</v>
      </c>
      <c r="AK44" s="98">
        <f t="shared" si="55"/>
        <v>1.0003609001845881</v>
      </c>
      <c r="AL44" s="98">
        <f t="shared" si="56"/>
        <v>2.6862303595137513E-2</v>
      </c>
      <c r="AM44" s="98" t="str">
        <f t="shared" si="40"/>
        <v>1+0.0537375331819175i</v>
      </c>
      <c r="AN44" s="98">
        <f t="shared" si="57"/>
        <v>1.0014428203709276</v>
      </c>
      <c r="AO44" s="98">
        <f t="shared" si="58"/>
        <v>5.3685896259566664E-2</v>
      </c>
      <c r="AP44" s="168" t="str">
        <f t="shared" si="59"/>
        <v>-0.0105415778688112+0.39290223496962i</v>
      </c>
      <c r="AQ44" s="98">
        <f t="shared" si="60"/>
        <v>-8.1111848693156006</v>
      </c>
      <c r="AR44" s="169">
        <f t="shared" si="61"/>
        <v>91.536878651049861</v>
      </c>
      <c r="AS44" s="168" t="str">
        <f t="shared" si="62"/>
        <v>-0.00116061334946771+8.13884071551883i</v>
      </c>
      <c r="AT44" s="190">
        <f t="shared" si="63"/>
        <v>18.211251068879712</v>
      </c>
      <c r="AU44" s="169">
        <f t="shared" si="64"/>
        <v>90.008170481330765</v>
      </c>
      <c r="AV44" s="225"/>
      <c r="AX44">
        <f t="shared" si="65"/>
        <v>0</v>
      </c>
      <c r="AY44">
        <f t="shared" si="66"/>
        <v>0</v>
      </c>
    </row>
    <row r="45" spans="1:51" x14ac:dyDescent="0.3">
      <c r="A45" s="98" t="s">
        <v>247</v>
      </c>
      <c r="B45" s="211">
        <f>(Isl*(Rsl_int+R_sl)*Fsw)</f>
        <v>8757.81</v>
      </c>
      <c r="C45" s="98" t="s">
        <v>180</v>
      </c>
      <c r="E45" s="98" t="s">
        <v>248</v>
      </c>
      <c r="N45" s="170">
        <v>27</v>
      </c>
      <c r="O45" s="199">
        <f t="shared" si="41"/>
        <v>18.62087136662868</v>
      </c>
      <c r="P45" s="189" t="str">
        <f t="shared" si="32"/>
        <v>20.7142857142857</v>
      </c>
      <c r="Q45" s="160" t="str">
        <f t="shared" si="33"/>
        <v>1+0.0267424880863273i</v>
      </c>
      <c r="R45" s="160">
        <f t="shared" si="42"/>
        <v>1.0003575164255265</v>
      </c>
      <c r="S45" s="160">
        <f t="shared" si="43"/>
        <v>2.6736115761888113E-2</v>
      </c>
      <c r="T45" s="160" t="str">
        <f t="shared" si="34"/>
        <v>1+2.33996770755364E-06i</v>
      </c>
      <c r="U45" s="160">
        <f t="shared" si="44"/>
        <v>1.0000000000027378</v>
      </c>
      <c r="V45" s="160">
        <f t="shared" si="45"/>
        <v>2.3399677075493694E-6</v>
      </c>
      <c r="W45" s="98" t="str">
        <f t="shared" si="35"/>
        <v>1-0.000614241523232829i</v>
      </c>
      <c r="X45" s="160">
        <f t="shared" si="46"/>
        <v>1.0000001886463066</v>
      </c>
      <c r="Y45" s="160">
        <f t="shared" si="47"/>
        <v>-6.142414459832427E-4</v>
      </c>
      <c r="Z45" s="98" t="str">
        <f t="shared" si="36"/>
        <v>0.999999971081766-0.0000458329488234511i</v>
      </c>
      <c r="AA45" s="160">
        <f t="shared" si="48"/>
        <v>0.99999997213209557</v>
      </c>
      <c r="AB45" s="160">
        <f t="shared" si="49"/>
        <v>-4.5832950116765941E-5</v>
      </c>
      <c r="AC45" s="171" t="str">
        <f t="shared" si="50"/>
        <v>20.6991700736009-0.565273016228881i</v>
      </c>
      <c r="AD45" s="190">
        <f t="shared" si="51"/>
        <v>26.32229633181489</v>
      </c>
      <c r="AE45" s="169">
        <f t="shared" si="52"/>
        <v>-1.5642999313080794</v>
      </c>
      <c r="AF45" s="98" t="str">
        <f t="shared" si="37"/>
        <v>-0.0000897803247373448</v>
      </c>
      <c r="AG45" s="98" t="str">
        <f t="shared" si="38"/>
        <v>0.000233996770755365i</v>
      </c>
      <c r="AH45" s="98">
        <f t="shared" si="53"/>
        <v>2.3399677075536501E-4</v>
      </c>
      <c r="AI45" s="98">
        <f t="shared" si="54"/>
        <v>1.5707963267948966</v>
      </c>
      <c r="AJ45" s="98" t="str">
        <f t="shared" si="39"/>
        <v>1+0.0274946205637553i</v>
      </c>
      <c r="AK45" s="98">
        <f t="shared" si="55"/>
        <v>1.0003779056736233</v>
      </c>
      <c r="AL45" s="98">
        <f t="shared" si="56"/>
        <v>2.7487695480247688E-2</v>
      </c>
      <c r="AM45" s="98" t="str">
        <f t="shared" si="40"/>
        <v>1+0.0549892411275107i</v>
      </c>
      <c r="AN45" s="98">
        <f t="shared" si="57"/>
        <v>1.0015107671112575</v>
      </c>
      <c r="AO45" s="98">
        <f t="shared" si="58"/>
        <v>5.4933915675180162E-2</v>
      </c>
      <c r="AP45" s="168" t="str">
        <f t="shared" si="59"/>
        <v>-0.0105412194779228+0.383971723154825i</v>
      </c>
      <c r="AQ45" s="98">
        <f t="shared" si="60"/>
        <v>-8.3107432149708131</v>
      </c>
      <c r="AR45" s="169">
        <f t="shared" si="61"/>
        <v>91.572552580756351</v>
      </c>
      <c r="AS45" s="168" t="str">
        <f t="shared" si="62"/>
        <v>-0.00114564066234971+7.95385466796434i</v>
      </c>
      <c r="AT45" s="190">
        <f t="shared" si="63"/>
        <v>18.01155311684408</v>
      </c>
      <c r="AU45" s="169">
        <f t="shared" si="64"/>
        <v>90.008252649448281</v>
      </c>
      <c r="AV45" s="225"/>
      <c r="AX45">
        <f t="shared" si="65"/>
        <v>0</v>
      </c>
      <c r="AY45">
        <f t="shared" si="66"/>
        <v>0</v>
      </c>
    </row>
    <row r="46" spans="1:51" x14ac:dyDescent="0.3">
      <c r="A46" s="98" t="s">
        <v>250</v>
      </c>
      <c r="B46" s="211">
        <f>(R_cs*VIN_var*Acs)/Lm</f>
        <v>13333.333333333336</v>
      </c>
      <c r="C46" s="98" t="s">
        <v>180</v>
      </c>
      <c r="E46" s="98" t="s">
        <v>249</v>
      </c>
      <c r="N46" s="170">
        <v>28</v>
      </c>
      <c r="O46" s="199">
        <f t="shared" si="41"/>
        <v>19.054607179632477</v>
      </c>
      <c r="P46" s="189" t="str">
        <f t="shared" si="32"/>
        <v>20.7142857142857</v>
      </c>
      <c r="Q46" s="160" t="str">
        <f t="shared" si="33"/>
        <v>1+0.0273654006548903i</v>
      </c>
      <c r="R46" s="160">
        <f t="shared" si="42"/>
        <v>1.0003743625028596</v>
      </c>
      <c r="S46" s="160">
        <f t="shared" si="43"/>
        <v>2.7358572724231301E-2</v>
      </c>
      <c r="T46" s="160" t="str">
        <f t="shared" si="34"/>
        <v>1+0.0000023944725573029i</v>
      </c>
      <c r="U46" s="160">
        <f t="shared" si="44"/>
        <v>1.0000000000028666</v>
      </c>
      <c r="V46" s="160">
        <f t="shared" si="45"/>
        <v>2.3944725572983237E-6</v>
      </c>
      <c r="W46" s="98" t="str">
        <f t="shared" si="35"/>
        <v>1-0.00062854904629201i</v>
      </c>
      <c r="X46" s="160">
        <f t="shared" si="46"/>
        <v>1.0000001975369324</v>
      </c>
      <c r="Y46" s="160">
        <f t="shared" si="47"/>
        <v>-6.285489635175878E-4</v>
      </c>
      <c r="Z46" s="98" t="str">
        <f t="shared" si="36"/>
        <v>0.999999969718892-0.0000469005353465999i</v>
      </c>
      <c r="AA46" s="160">
        <f t="shared" si="48"/>
        <v>0.99999997081872227</v>
      </c>
      <c r="AB46" s="160">
        <f t="shared" si="49"/>
        <v>-4.6900536732411691E-5</v>
      </c>
      <c r="AC46" s="171" t="str">
        <f t="shared" si="50"/>
        <v>20.6984582284781-0.578420436319204i</v>
      </c>
      <c r="AD46" s="190">
        <f t="shared" si="51"/>
        <v>26.322150150804053</v>
      </c>
      <c r="AE46" s="169">
        <f t="shared" si="52"/>
        <v>-1.6007195574437085</v>
      </c>
      <c r="AF46" s="98" t="str">
        <f t="shared" si="37"/>
        <v>-0.0000897803247373448</v>
      </c>
      <c r="AG46" s="98" t="str">
        <f t="shared" si="38"/>
        <v>0.000239447255730291i</v>
      </c>
      <c r="AH46" s="98">
        <f t="shared" si="53"/>
        <v>2.39447255730291E-4</v>
      </c>
      <c r="AI46" s="98">
        <f t="shared" si="54"/>
        <v>1.5707963267948966</v>
      </c>
      <c r="AJ46" s="98" t="str">
        <f t="shared" si="39"/>
        <v>1+0.0281350525483091i</v>
      </c>
      <c r="AK46" s="98">
        <f t="shared" si="55"/>
        <v>1.0003957122968372</v>
      </c>
      <c r="AL46" s="98">
        <f t="shared" si="56"/>
        <v>2.8127632346156207E-2</v>
      </c>
      <c r="AM46" s="98" t="str">
        <f t="shared" si="40"/>
        <v>1+0.0562701050966183i</v>
      </c>
      <c r="AN46" s="98">
        <f t="shared" si="57"/>
        <v>1.0015819111423609</v>
      </c>
      <c r="AO46" s="98">
        <f t="shared" si="58"/>
        <v>5.6210827862119721E-2</v>
      </c>
      <c r="AP46" s="168" t="str">
        <f t="shared" si="59"/>
        <v>-0.01054084422271+0.375244797301809i</v>
      </c>
      <c r="AQ46" s="98">
        <f t="shared" si="60"/>
        <v>-8.5102808264125134</v>
      </c>
      <c r="AR46" s="169">
        <f t="shared" si="61"/>
        <v>91.609048578305419</v>
      </c>
      <c r="AS46" s="168" t="str">
        <f t="shared" si="62"/>
        <v>-0.00112996445483401+7.7730858021197i</v>
      </c>
      <c r="AT46" s="190">
        <f t="shared" si="63"/>
        <v>17.811869324391544</v>
      </c>
      <c r="AU46" s="169">
        <f t="shared" si="64"/>
        <v>90.008329020861709</v>
      </c>
      <c r="AV46" s="225"/>
      <c r="AX46">
        <f t="shared" si="65"/>
        <v>0</v>
      </c>
      <c r="AY46">
        <f t="shared" si="66"/>
        <v>0</v>
      </c>
    </row>
    <row r="47" spans="1:51" x14ac:dyDescent="0.3">
      <c r="B47" s="211"/>
      <c r="N47" s="170">
        <v>29</v>
      </c>
      <c r="O47" s="199">
        <f t="shared" si="41"/>
        <v>19.498445997580465</v>
      </c>
      <c r="P47" s="189" t="str">
        <f t="shared" si="32"/>
        <v>20.7142857142857</v>
      </c>
      <c r="Q47" s="160" t="str">
        <f t="shared" si="33"/>
        <v>1+0.0280028227211045i</v>
      </c>
      <c r="R47" s="160">
        <f t="shared" si="42"/>
        <v>1.0003920022073096</v>
      </c>
      <c r="S47" s="160">
        <f t="shared" si="43"/>
        <v>2.7995506616415922E-2</v>
      </c>
      <c r="T47" s="160" t="str">
        <f t="shared" si="34"/>
        <v>1+2.45024698809664E-06i</v>
      </c>
      <c r="U47" s="160">
        <f t="shared" si="44"/>
        <v>1.0000000000030018</v>
      </c>
      <c r="V47" s="160">
        <f t="shared" si="45"/>
        <v>2.4502469880917367E-6</v>
      </c>
      <c r="W47" s="98" t="str">
        <f t="shared" si="35"/>
        <v>1-0.000643189834375366i</v>
      </c>
      <c r="X47" s="160">
        <f t="shared" si="46"/>
        <v>1.0000002068465601</v>
      </c>
      <c r="Y47" s="160">
        <f t="shared" si="47"/>
        <v>-6.4318974568097558E-4</v>
      </c>
      <c r="Z47" s="98" t="str">
        <f t="shared" si="36"/>
        <v>0.999999968291787-0.0000479929891543916i</v>
      </c>
      <c r="AA47" s="160">
        <f t="shared" si="48"/>
        <v>0.99999996944345038</v>
      </c>
      <c r="AB47" s="160">
        <f t="shared" si="49"/>
        <v>-4.799299063931572E-5</v>
      </c>
      <c r="AC47" s="171" t="str">
        <f t="shared" si="50"/>
        <v>20.6977128865183-0.591872707413413i</v>
      </c>
      <c r="AD47" s="190">
        <f t="shared" si="51"/>
        <v>26.321997085774385</v>
      </c>
      <c r="AE47" s="169">
        <f t="shared" si="52"/>
        <v>-1.6379862476837925</v>
      </c>
      <c r="AF47" s="98" t="str">
        <f t="shared" si="37"/>
        <v>-0.0000897803247373448</v>
      </c>
      <c r="AG47" s="98" t="str">
        <f t="shared" si="38"/>
        <v>0.000245024698809664i</v>
      </c>
      <c r="AH47" s="98">
        <f t="shared" si="53"/>
        <v>2.4502469880966399E-4</v>
      </c>
      <c r="AI47" s="98">
        <f t="shared" si="54"/>
        <v>1.5707963267948966</v>
      </c>
      <c r="AJ47" s="98" t="str">
        <f t="shared" si="39"/>
        <v>1+0.0287904021101355i</v>
      </c>
      <c r="AK47" s="98">
        <f t="shared" si="55"/>
        <v>1.0004143577806464</v>
      </c>
      <c r="AL47" s="98">
        <f t="shared" si="56"/>
        <v>2.8782451398128409E-2</v>
      </c>
      <c r="AM47" s="98" t="str">
        <f t="shared" si="40"/>
        <v>1+0.0575808042202712i</v>
      </c>
      <c r="AN47" s="98">
        <f t="shared" si="57"/>
        <v>1.00165640267242</v>
      </c>
      <c r="AO47" s="98">
        <f t="shared" si="58"/>
        <v>5.751729319060505E-2</v>
      </c>
      <c r="AP47" s="168" t="str">
        <f t="shared" si="59"/>
        <v>-0.0105404513108986+0.366716830212685i</v>
      </c>
      <c r="AQ47" s="98">
        <f t="shared" si="60"/>
        <v>-8.7097967341896254</v>
      </c>
      <c r="AR47" s="169">
        <f t="shared" si="61"/>
        <v>91.646385159685039</v>
      </c>
      <c r="AS47" s="168" t="str">
        <f t="shared" si="62"/>
        <v>-0.0011135517752579+7.59643826785097i</v>
      </c>
      <c r="AT47" s="190">
        <f t="shared" si="63"/>
        <v>17.612200351584754</v>
      </c>
      <c r="AU47" s="169">
        <f t="shared" si="64"/>
        <v>90.00839891200124</v>
      </c>
      <c r="AV47" s="225"/>
      <c r="AX47">
        <f t="shared" si="65"/>
        <v>0</v>
      </c>
      <c r="AY47">
        <f t="shared" si="66"/>
        <v>0</v>
      </c>
    </row>
    <row r="48" spans="1:51" x14ac:dyDescent="0.3">
      <c r="A48" s="98" t="s">
        <v>245</v>
      </c>
      <c r="B48" s="211">
        <f>2*PI()*Fsw</f>
        <v>1376017.5822723294</v>
      </c>
      <c r="C48" s="98" t="s">
        <v>251</v>
      </c>
      <c r="N48" s="170">
        <v>30</v>
      </c>
      <c r="O48" s="199">
        <f t="shared" si="41"/>
        <v>19.952623149688804</v>
      </c>
      <c r="P48" s="189" t="str">
        <f t="shared" si="32"/>
        <v>20.7142857142857</v>
      </c>
      <c r="Q48" s="160" t="str">
        <f t="shared" si="33"/>
        <v>1+0.0286550922545865i</v>
      </c>
      <c r="R48" s="160">
        <f t="shared" si="42"/>
        <v>1.0004104729120538</v>
      </c>
      <c r="S48" s="160">
        <f t="shared" si="43"/>
        <v>2.8647253080883752E-2</v>
      </c>
      <c r="T48" s="160" t="str">
        <f t="shared" si="34"/>
        <v>1+2.50732057227632E-06i</v>
      </c>
      <c r="U48" s="160">
        <f t="shared" si="44"/>
        <v>1.0000000000031433</v>
      </c>
      <c r="V48" s="160">
        <f t="shared" si="45"/>
        <v>2.507320572271066E-6</v>
      </c>
      <c r="W48" s="98" t="str">
        <f t="shared" si="35"/>
        <v>1-0.000658171650222532i</v>
      </c>
      <c r="X48" s="160">
        <f t="shared" si="46"/>
        <v>1.0000002165949371</v>
      </c>
      <c r="Y48" s="160">
        <f t="shared" si="47"/>
        <v>-6.5817155518478165E-4</v>
      </c>
      <c r="Z48" s="98" t="str">
        <f t="shared" si="36"/>
        <v>0.999999966797425-0.0000491108894802953i</v>
      </c>
      <c r="AA48" s="160">
        <f t="shared" si="48"/>
        <v>0.99999996800336477</v>
      </c>
      <c r="AB48" s="160">
        <f t="shared" si="49"/>
        <v>-4.9110891071420164E-5</v>
      </c>
      <c r="AC48" s="171" t="str">
        <f t="shared" si="50"/>
        <v>20.6969324740159-0.605636831041947i</v>
      </c>
      <c r="AD48" s="190">
        <f t="shared" si="51"/>
        <v>26.321836812800914</v>
      </c>
      <c r="AE48" s="169">
        <f t="shared" si="52"/>
        <v>-1.6761196428122427</v>
      </c>
      <c r="AF48" s="98" t="str">
        <f t="shared" si="37"/>
        <v>-0.0000897803247373448</v>
      </c>
      <c r="AG48" s="98" t="str">
        <f t="shared" si="38"/>
        <v>0.000250732057227632i</v>
      </c>
      <c r="AH48" s="98">
        <f t="shared" si="53"/>
        <v>2.5073205722763201E-4</v>
      </c>
      <c r="AI48" s="98">
        <f t="shared" si="54"/>
        <v>1.5707963267948966</v>
      </c>
      <c r="AJ48" s="98" t="str">
        <f t="shared" si="39"/>
        <v>1+0.0294610167242468i</v>
      </c>
      <c r="AK48" s="98">
        <f t="shared" si="55"/>
        <v>1.0004338816265801</v>
      </c>
      <c r="AL48" s="98">
        <f t="shared" si="56"/>
        <v>2.945249758237924E-2</v>
      </c>
      <c r="AM48" s="98" t="str">
        <f t="shared" si="40"/>
        <v>1+0.0589220334484937i</v>
      </c>
      <c r="AN48" s="98">
        <f t="shared" si="57"/>
        <v>1.0017343989430061</v>
      </c>
      <c r="AO48" s="98">
        <f t="shared" si="58"/>
        <v>5.8853986516209655E-2</v>
      </c>
      <c r="AP48" s="168" t="str">
        <f t="shared" si="59"/>
        <v>-0.0105400399131177+0.358383300175407i</v>
      </c>
      <c r="AQ48" s="98">
        <f t="shared" si="60"/>
        <v>-8.9092899239034367</v>
      </c>
      <c r="AR48" s="169">
        <f t="shared" si="61"/>
        <v>91.684581227309067</v>
      </c>
      <c r="AS48" s="168" t="str">
        <f t="shared" si="62"/>
        <v>-0.00109636813864111+7.4238183999174i</v>
      </c>
      <c r="AT48" s="190">
        <f t="shared" si="63"/>
        <v>17.412546888897474</v>
      </c>
      <c r="AU48" s="169">
        <f t="shared" si="64"/>
        <v>90.008461584496828</v>
      </c>
      <c r="AV48" s="225"/>
      <c r="AX48">
        <f t="shared" si="65"/>
        <v>0</v>
      </c>
      <c r="AY48">
        <f t="shared" si="66"/>
        <v>0</v>
      </c>
    </row>
    <row r="49" spans="1:51" x14ac:dyDescent="0.3">
      <c r="A49" s="98" t="s">
        <v>246</v>
      </c>
      <c r="B49" s="211">
        <f>1/(PI()*(((VIN_var/VOUT)*(1+(B45/B46)))-0.5))</f>
        <v>-3.7102919221194006</v>
      </c>
      <c r="N49" s="170">
        <v>31</v>
      </c>
      <c r="O49" s="199">
        <f t="shared" si="41"/>
        <v>20.4173794466953</v>
      </c>
      <c r="P49" s="189" t="str">
        <f t="shared" si="32"/>
        <v>20.7142857142857</v>
      </c>
      <c r="Q49" s="160" t="str">
        <f t="shared" si="33"/>
        <v>1+0.0293225550972768i</v>
      </c>
      <c r="R49" s="160">
        <f t="shared" si="42"/>
        <v>1.000429813748787</v>
      </c>
      <c r="S49" s="160">
        <f t="shared" si="43"/>
        <v>2.9314155466212719E-2</v>
      </c>
      <c r="T49" s="160" t="str">
        <f t="shared" si="34"/>
        <v>1+2.56572357101172E-06i</v>
      </c>
      <c r="U49" s="160">
        <f t="shared" si="44"/>
        <v>1.0000000000032916</v>
      </c>
      <c r="V49" s="160">
        <f t="shared" si="45"/>
        <v>2.5657235710060901E-6</v>
      </c>
      <c r="W49" s="98" t="str">
        <f t="shared" si="35"/>
        <v>1-0.000673502437390575i</v>
      </c>
      <c r="X49" s="160">
        <f t="shared" si="46"/>
        <v>1.0000002268027408</v>
      </c>
      <c r="Y49" s="160">
        <f t="shared" si="47"/>
        <v>-6.7350233555579201E-4</v>
      </c>
      <c r="Z49" s="98" t="str">
        <f t="shared" si="36"/>
        <v>0.999999965232636-0.0000502548290498606i</v>
      </c>
      <c r="AA49" s="160">
        <f t="shared" si="48"/>
        <v>0.9999999664954099</v>
      </c>
      <c r="AB49" s="160">
        <f t="shared" si="49"/>
        <v>-5.0254830754781594E-5</v>
      </c>
      <c r="AC49" s="171" t="str">
        <f t="shared" si="50"/>
        <v>20.6961153435761-0.619719964736949i</v>
      </c>
      <c r="AD49" s="190">
        <f t="shared" si="51"/>
        <v>26.321668992741756</v>
      </c>
      <c r="AE49" s="169">
        <f t="shared" si="52"/>
        <v>-1.7151398346894853</v>
      </c>
      <c r="AF49" s="98" t="str">
        <f t="shared" si="37"/>
        <v>-0.0000897803247373448</v>
      </c>
      <c r="AG49" s="98" t="str">
        <f t="shared" si="38"/>
        <v>0.000256572357101173i</v>
      </c>
      <c r="AH49" s="98">
        <f t="shared" si="53"/>
        <v>2.5657235710117301E-4</v>
      </c>
      <c r="AI49" s="98">
        <f t="shared" si="54"/>
        <v>1.5707963267948966</v>
      </c>
      <c r="AJ49" s="98" t="str">
        <f t="shared" si="39"/>
        <v>1+0.0301472519593877i</v>
      </c>
      <c r="AK49" s="98">
        <f t="shared" si="55"/>
        <v>1.00045432519466</v>
      </c>
      <c r="AL49" s="98">
        <f t="shared" si="56"/>
        <v>3.0138123758285566E-2</v>
      </c>
      <c r="AM49" s="98" t="str">
        <f t="shared" si="40"/>
        <v>1+0.0602945039187756i</v>
      </c>
      <c r="AN49" s="98">
        <f t="shared" si="57"/>
        <v>1.0018160645561696</v>
      </c>
      <c r="AO49" s="98">
        <f t="shared" si="58"/>
        <v>6.0221597453937549E-2</v>
      </c>
      <c r="AP49" s="168" t="str">
        <f t="shared" si="59"/>
        <v>-0.0105396091611752+0.350239788565966i</v>
      </c>
      <c r="AQ49" s="98">
        <f t="shared" si="60"/>
        <v>-9.1087593341601139</v>
      </c>
      <c r="AR49" s="169">
        <f t="shared" si="61"/>
        <v>91.723656075853697</v>
      </c>
      <c r="AS49" s="168" t="str">
        <f t="shared" si="62"/>
        <v>-0.00107837745631637+7.25513466828864i</v>
      </c>
      <c r="AT49" s="190">
        <f t="shared" si="63"/>
        <v>17.212909658581637</v>
      </c>
      <c r="AU49" s="169">
        <f t="shared" si="64"/>
        <v>90.008516241164202</v>
      </c>
      <c r="AV49" s="225"/>
      <c r="AX49">
        <f t="shared" si="65"/>
        <v>0</v>
      </c>
      <c r="AY49">
        <f t="shared" si="66"/>
        <v>0</v>
      </c>
    </row>
    <row r="50" spans="1:51" x14ac:dyDescent="0.3">
      <c r="A50" s="98" t="s">
        <v>544</v>
      </c>
      <c r="B50" s="209">
        <f>2*Fsw*((1-1/(B20/B17))/Dc_VIN_nom)^2</f>
        <v>438000</v>
      </c>
      <c r="C50" s="98" t="s">
        <v>251</v>
      </c>
      <c r="E50" s="98" t="s">
        <v>545</v>
      </c>
      <c r="N50" s="170">
        <v>32</v>
      </c>
      <c r="O50" s="199">
        <f t="shared" si="41"/>
        <v>20.8929613085404</v>
      </c>
      <c r="P50" s="189" t="str">
        <f t="shared" si="32"/>
        <v>20.7142857142857</v>
      </c>
      <c r="Q50" s="160" t="str">
        <f t="shared" si="33"/>
        <v>1+0.0300055651468098i</v>
      </c>
      <c r="R50" s="160">
        <f t="shared" si="42"/>
        <v>1.000450065690327</v>
      </c>
      <c r="S50" s="160">
        <f t="shared" si="43"/>
        <v>2.9996564998631771E-2</v>
      </c>
      <c r="T50" s="160" t="str">
        <f t="shared" si="34"/>
        <v>1+2.62548695034586E-06i</v>
      </c>
      <c r="U50" s="160">
        <f t="shared" si="44"/>
        <v>1.0000000000034466</v>
      </c>
      <c r="V50" s="160">
        <f t="shared" si="45"/>
        <v>2.6254869503398275E-6</v>
      </c>
      <c r="W50" s="98" t="str">
        <f t="shared" si="35"/>
        <v>1-0.000689190324465786i</v>
      </c>
      <c r="X50" s="160">
        <f t="shared" si="46"/>
        <v>1.0000002374916235</v>
      </c>
      <c r="Y50" s="160">
        <f t="shared" si="47"/>
        <v>-6.8919021534785143E-4</v>
      </c>
      <c r="Z50" s="98" t="str">
        <f t="shared" si="36"/>
        <v>0.999999963594101-0.0000514254143949899i</v>
      </c>
      <c r="AA50" s="160">
        <f t="shared" si="48"/>
        <v>0.99999996491638776</v>
      </c>
      <c r="AB50" s="160">
        <f t="shared" si="49"/>
        <v>-5.1425416221845641E-5</v>
      </c>
      <c r="AC50" s="171" t="str">
        <f t="shared" si="50"/>
        <v>20.6952597706879-0.634129425161924i</v>
      </c>
      <c r="AD50" s="190">
        <f t="shared" si="51"/>
        <v>26.321493270525686</v>
      </c>
      <c r="AE50" s="169">
        <f t="shared" si="52"/>
        <v>-1.7550673763019606</v>
      </c>
      <c r="AF50" s="98" t="str">
        <f t="shared" si="37"/>
        <v>-0.0000897803247373448</v>
      </c>
      <c r="AG50" s="98" t="str">
        <f t="shared" si="38"/>
        <v>0.000262548695034585i</v>
      </c>
      <c r="AH50" s="98">
        <f t="shared" si="53"/>
        <v>2.6254869503458499E-4</v>
      </c>
      <c r="AI50" s="98">
        <f t="shared" si="54"/>
        <v>1.5707963267948966</v>
      </c>
      <c r="AJ50" s="98" t="str">
        <f t="shared" si="39"/>
        <v>1+0.0308494716665639i</v>
      </c>
      <c r="AK50" s="98">
        <f t="shared" si="55"/>
        <v>1.0004757317906847</v>
      </c>
      <c r="AL50" s="98">
        <f t="shared" si="56"/>
        <v>3.0839690874035514E-2</v>
      </c>
      <c r="AM50" s="98" t="str">
        <f t="shared" si="40"/>
        <v>1+0.0616989433331279i</v>
      </c>
      <c r="AN50" s="98">
        <f t="shared" si="57"/>
        <v>1.0019015718165256</v>
      </c>
      <c r="AO50" s="98">
        <f t="shared" si="58"/>
        <v>6.1620830654251703E-2</v>
      </c>
      <c r="AP50" s="168" t="str">
        <f t="shared" si="59"/>
        <v>-0.0105391581462536+0.342281977505214i</v>
      </c>
      <c r="AQ50" s="98">
        <f t="shared" si="60"/>
        <v>-9.3082038544336463</v>
      </c>
      <c r="AR50" s="169">
        <f t="shared" si="61"/>
        <v>91.763629398008618</v>
      </c>
      <c r="AS50" s="168" t="str">
        <f t="shared" si="62"/>
        <v>-0.00105954196241181+7.09029762959213i</v>
      </c>
      <c r="AT50" s="190">
        <f t="shared" si="63"/>
        <v>17.013289416092043</v>
      </c>
      <c r="AU50" s="169">
        <f t="shared" si="64"/>
        <v>90.008562021706666</v>
      </c>
      <c r="AV50" s="225"/>
      <c r="AX50">
        <f t="shared" si="65"/>
        <v>0</v>
      </c>
      <c r="AY50">
        <f t="shared" si="66"/>
        <v>0</v>
      </c>
    </row>
    <row r="51" spans="1:51" x14ac:dyDescent="0.3">
      <c r="N51" s="170">
        <v>33</v>
      </c>
      <c r="O51" s="199">
        <f t="shared" si="41"/>
        <v>21.379620895022335</v>
      </c>
      <c r="P51" s="189" t="str">
        <f t="shared" si="32"/>
        <v>20.7142857142857</v>
      </c>
      <c r="Q51" s="160" t="str">
        <f t="shared" si="33"/>
        <v>1+0.0307044845441541i</v>
      </c>
      <c r="R51" s="160">
        <f t="shared" si="42"/>
        <v>1.0004712716370832</v>
      </c>
      <c r="S51" s="160">
        <f t="shared" si="43"/>
        <v>3.0694840956961879E-2</v>
      </c>
      <c r="T51" s="160" t="str">
        <f t="shared" si="34"/>
        <v>1+2.68664239761348E-06i</v>
      </c>
      <c r="U51" s="160">
        <f t="shared" si="44"/>
        <v>1.0000000000036091</v>
      </c>
      <c r="V51" s="160">
        <f t="shared" si="45"/>
        <v>2.6866423976070158E-6</v>
      </c>
      <c r="W51" s="98" t="str">
        <f t="shared" si="35"/>
        <v>1-0.000705243629373537i</v>
      </c>
      <c r="X51" s="160">
        <f t="shared" si="46"/>
        <v>1.0000002486842574</v>
      </c>
      <c r="Y51" s="160">
        <f t="shared" si="47"/>
        <v>-7.0524351245156516E-4</v>
      </c>
      <c r="Z51" s="98" t="str">
        <f t="shared" si="36"/>
        <v>0.999999961878344-0.0000526232661755268i</v>
      </c>
      <c r="AA51" s="160">
        <f t="shared" si="48"/>
        <v>0.99999996326294815</v>
      </c>
      <c r="AB51" s="160">
        <f t="shared" si="49"/>
        <v>-5.262326813303799E-5</v>
      </c>
      <c r="AC51" s="171" t="str">
        <f t="shared" si="50"/>
        <v>20.6943639501387-0.648872691278466i</v>
      </c>
      <c r="AD51" s="190">
        <f t="shared" si="51"/>
        <v>26.321309274406044</v>
      </c>
      <c r="AE51" s="169">
        <f t="shared" si="52"/>
        <v>-1.7959232920130139</v>
      </c>
      <c r="AF51" s="98" t="str">
        <f t="shared" si="37"/>
        <v>-0.0000897803247373448</v>
      </c>
      <c r="AG51" s="98" t="str">
        <f t="shared" si="38"/>
        <v>0.000268664239761348i</v>
      </c>
      <c r="AH51" s="98">
        <f t="shared" si="53"/>
        <v>2.6866423976134798E-4</v>
      </c>
      <c r="AI51" s="98">
        <f t="shared" si="54"/>
        <v>1.5707963267948966</v>
      </c>
      <c r="AJ51" s="98" t="str">
        <f t="shared" si="39"/>
        <v>1+0.0315680481719584i</v>
      </c>
      <c r="AK51" s="98">
        <f t="shared" si="55"/>
        <v>1.0004981467575975</v>
      </c>
      <c r="AL51" s="98">
        <f t="shared" si="56"/>
        <v>3.1557568145748657E-2</v>
      </c>
      <c r="AM51" s="98" t="str">
        <f t="shared" si="40"/>
        <v>1+0.0631360963439169i</v>
      </c>
      <c r="AN51" s="98">
        <f t="shared" si="57"/>
        <v>1.0019911010890008</v>
      </c>
      <c r="AO51" s="98">
        <f t="shared" si="58"/>
        <v>6.3052406080789283E-2</v>
      </c>
      <c r="AP51" s="168" t="str">
        <f t="shared" si="59"/>
        <v>-0.0105386859170233+0.334505647569077i</v>
      </c>
      <c r="AQ51" s="98">
        <f t="shared" si="60"/>
        <v>-9.5076223228355232</v>
      </c>
      <c r="AR51" s="169">
        <f t="shared" si="61"/>
        <v>91.804521290126345</v>
      </c>
      <c r="AS51" s="168" t="str">
        <f t="shared" si="62"/>
        <v>-0.00103982213708834+6.92921987966483i</v>
      </c>
      <c r="AT51" s="190">
        <f t="shared" si="63"/>
        <v>16.813686951570524</v>
      </c>
      <c r="AU51" s="169">
        <f t="shared" si="64"/>
        <v>90.008597998113316</v>
      </c>
      <c r="AV51" s="225"/>
      <c r="AX51">
        <f t="shared" si="65"/>
        <v>0</v>
      </c>
      <c r="AY51">
        <f t="shared" si="66"/>
        <v>0</v>
      </c>
    </row>
    <row r="52" spans="1:51" x14ac:dyDescent="0.3">
      <c r="N52" s="170">
        <v>34</v>
      </c>
      <c r="O52" s="199">
        <f t="shared" si="41"/>
        <v>21.877616239495538</v>
      </c>
      <c r="P52" s="189" t="str">
        <f t="shared" si="32"/>
        <v>20.7142857142857</v>
      </c>
      <c r="Q52" s="160" t="str">
        <f t="shared" si="33"/>
        <v>1+0.0314196838656256i</v>
      </c>
      <c r="R52" s="160">
        <f t="shared" si="42"/>
        <v>1.0004934765075761</v>
      </c>
      <c r="S52" s="160">
        <f t="shared" si="43"/>
        <v>3.1409350851025718E-2</v>
      </c>
      <c r="T52" s="160" t="str">
        <f t="shared" si="34"/>
        <v>1+2.74922233824224E-06i</v>
      </c>
      <c r="U52" s="160">
        <f t="shared" si="44"/>
        <v>1.0000000000037792</v>
      </c>
      <c r="V52" s="160">
        <f t="shared" si="45"/>
        <v>2.7492223382353136E-6</v>
      </c>
      <c r="W52" s="98" t="str">
        <f t="shared" si="35"/>
        <v>1-0.000721670863788586i</v>
      </c>
      <c r="X52" s="160">
        <f t="shared" si="46"/>
        <v>1.0000002604043838</v>
      </c>
      <c r="Y52" s="160">
        <f t="shared" si="47"/>
        <v>-7.2167073850443772E-4</v>
      </c>
      <c r="Z52" s="98" t="str">
        <f t="shared" si="36"/>
        <v>0.999999960081725-0.0000538490195083415i</v>
      </c>
      <c r="AA52" s="160">
        <f t="shared" si="48"/>
        <v>0.99999996153158333</v>
      </c>
      <c r="AB52" s="160">
        <f t="shared" si="49"/>
        <v>-5.3849021605852584E-5</v>
      </c>
      <c r="AC52" s="171" t="str">
        <f t="shared" si="50"/>
        <v>20.6934259922681-0.663957407548688i</v>
      </c>
      <c r="AD52" s="190">
        <f t="shared" si="51"/>
        <v>26.32111661518136</v>
      </c>
      <c r="AE52" s="169">
        <f t="shared" si="52"/>
        <v>-1.8377290880179651</v>
      </c>
      <c r="AF52" s="98" t="str">
        <f t="shared" si="37"/>
        <v>-0.0000897803247373448</v>
      </c>
      <c r="AG52" s="98" t="str">
        <f t="shared" si="38"/>
        <v>0.000274922233824224i</v>
      </c>
      <c r="AH52" s="98">
        <f t="shared" si="53"/>
        <v>2.7492223382422402E-4</v>
      </c>
      <c r="AI52" s="98">
        <f t="shared" si="54"/>
        <v>1.5707963267948966</v>
      </c>
      <c r="AJ52" s="98" t="str">
        <f t="shared" si="39"/>
        <v>1+0.0323033624743463i</v>
      </c>
      <c r="AK52" s="98">
        <f t="shared" si="55"/>
        <v>1.0005216175711293</v>
      </c>
      <c r="AL52" s="98">
        <f t="shared" si="56"/>
        <v>3.2292133240112798E-2</v>
      </c>
      <c r="AM52" s="98" t="str">
        <f t="shared" si="40"/>
        <v>1+0.0646067249486928i</v>
      </c>
      <c r="AN52" s="98">
        <f t="shared" si="57"/>
        <v>1.0020848411729399</v>
      </c>
      <c r="AO52" s="98">
        <f t="shared" si="58"/>
        <v>6.4517059289488657E-2</v>
      </c>
      <c r="AP52" s="168" t="str">
        <f t="shared" si="59"/>
        <v>-0.01053819147767+0.326906675550956i</v>
      </c>
      <c r="AQ52" s="98">
        <f t="shared" si="60"/>
        <v>-9.7070135237870563</v>
      </c>
      <c r="AR52" s="169">
        <f t="shared" si="61"/>
        <v>91.846352257750411</v>
      </c>
      <c r="AS52" s="168" t="str">
        <f t="shared" si="62"/>
        <v>-0.00101917662634174+6.77181600718587i</v>
      </c>
      <c r="AT52" s="190">
        <f t="shared" si="63"/>
        <v>16.614103091394298</v>
      </c>
      <c r="AU52" s="169">
        <f t="shared" si="64"/>
        <v>90.008623169732431</v>
      </c>
      <c r="AV52" s="225"/>
      <c r="AX52">
        <f t="shared" si="65"/>
        <v>0</v>
      </c>
      <c r="AY52">
        <f t="shared" si="66"/>
        <v>0</v>
      </c>
    </row>
    <row r="53" spans="1:51" ht="15.6" x14ac:dyDescent="0.3">
      <c r="A53" s="212" t="s">
        <v>261</v>
      </c>
      <c r="N53" s="170">
        <v>35</v>
      </c>
      <c r="O53" s="199">
        <f t="shared" si="41"/>
        <v>22.387211385683404</v>
      </c>
      <c r="P53" s="189" t="str">
        <f t="shared" si="32"/>
        <v>20.7142857142857</v>
      </c>
      <c r="Q53" s="160" t="str">
        <f t="shared" si="33"/>
        <v>1+0.0321515423193714i</v>
      </c>
      <c r="R53" s="160">
        <f t="shared" si="42"/>
        <v>1.0005167273331887</v>
      </c>
      <c r="S53" s="160">
        <f t="shared" si="43"/>
        <v>3.214047060355997E-2</v>
      </c>
      <c r="T53" s="160" t="str">
        <f t="shared" si="34"/>
        <v>1+0.000002813259952945i</v>
      </c>
      <c r="U53" s="160">
        <f t="shared" si="44"/>
        <v>1.0000000000039573</v>
      </c>
      <c r="V53" s="160">
        <f t="shared" si="45"/>
        <v>2.8132599529375785E-6</v>
      </c>
      <c r="W53" s="98" t="str">
        <f t="shared" si="35"/>
        <v>1-0.00073848073764806i</v>
      </c>
      <c r="X53" s="160">
        <f t="shared" si="46"/>
        <v>1.0000002726768629</v>
      </c>
      <c r="Y53" s="160">
        <f t="shared" si="47"/>
        <v>-7.3848060340367839E-4</v>
      </c>
      <c r="Z53" s="98" t="str">
        <f t="shared" si="36"/>
        <v>0.999999958200435-0.0000551033243040756i</v>
      </c>
      <c r="AA53" s="160">
        <f t="shared" si="48"/>
        <v>0.9999999597186231</v>
      </c>
      <c r="AB53" s="160">
        <f t="shared" si="49"/>
        <v>-5.5103326551599208E-5</v>
      </c>
      <c r="AC53" s="171" t="str">
        <f t="shared" si="50"/>
        <v>20.6924439190462-0.679391387171051i</v>
      </c>
      <c r="AD53" s="190">
        <f t="shared" si="51"/>
        <v>26.320914885378034</v>
      </c>
      <c r="AE53" s="169">
        <f t="shared" si="52"/>
        <v>-1.8805067630050583</v>
      </c>
      <c r="AF53" s="98" t="str">
        <f t="shared" si="37"/>
        <v>-0.0000897803247373448</v>
      </c>
      <c r="AG53" s="98" t="str">
        <f t="shared" si="38"/>
        <v>0.000281325995294499i</v>
      </c>
      <c r="AH53" s="98">
        <f t="shared" si="53"/>
        <v>2.8132599529449902E-4</v>
      </c>
      <c r="AI53" s="98">
        <f t="shared" si="54"/>
        <v>1.5707963267948966</v>
      </c>
      <c r="AJ53" s="98" t="str">
        <f t="shared" si="39"/>
        <v>1+0.0330558044471038i</v>
      </c>
      <c r="AK53" s="98">
        <f t="shared" si="55"/>
        <v>1.0005461939399127</v>
      </c>
      <c r="AL53" s="98">
        <f t="shared" si="56"/>
        <v>3.3043772460563392E-2</v>
      </c>
      <c r="AM53" s="98" t="str">
        <f t="shared" si="40"/>
        <v>1+0.0661116088942077i</v>
      </c>
      <c r="AN53" s="98">
        <f t="shared" si="57"/>
        <v>1.0021829896932899</v>
      </c>
      <c r="AO53" s="98">
        <f t="shared" si="58"/>
        <v>6.6015541708798836E-2</v>
      </c>
      <c r="AP53" s="168" t="str">
        <f t="shared" si="59"/>
        <v>-0.0105376737858316+0.319481032275098i</v>
      </c>
      <c r="AQ53" s="98">
        <f t="shared" si="60"/>
        <v>-9.9063761855912791</v>
      </c>
      <c r="AR53" s="169">
        <f t="shared" si="61"/>
        <v>91.88914322100311</v>
      </c>
      <c r="AS53" s="168" t="str">
        <f t="shared" si="62"/>
        <v>-0.000997562158305543+6.61800254836237i</v>
      </c>
      <c r="AT53" s="190">
        <f t="shared" si="63"/>
        <v>16.414538699786757</v>
      </c>
      <c r="AU53" s="169">
        <f t="shared" si="64"/>
        <v>90.008636457998051</v>
      </c>
      <c r="AV53" s="225"/>
      <c r="AX53">
        <f t="shared" si="65"/>
        <v>0</v>
      </c>
      <c r="AY53">
        <f t="shared" si="66"/>
        <v>0</v>
      </c>
    </row>
    <row r="54" spans="1:51" x14ac:dyDescent="0.3">
      <c r="A54" s="98" t="s">
        <v>226</v>
      </c>
      <c r="N54" s="170">
        <v>36</v>
      </c>
      <c r="O54" s="199">
        <f t="shared" si="41"/>
        <v>22.908676527677727</v>
      </c>
      <c r="P54" s="189" t="str">
        <f t="shared" si="32"/>
        <v>20.7142857142857</v>
      </c>
      <c r="Q54" s="160" t="str">
        <f t="shared" si="33"/>
        <v>1+0.0329004479464309i</v>
      </c>
      <c r="R54" s="160">
        <f t="shared" si="42"/>
        <v>1.000541073357349</v>
      </c>
      <c r="S54" s="160">
        <f t="shared" si="43"/>
        <v>3.2888584735667907E-2</v>
      </c>
      <c r="T54" s="160" t="str">
        <f t="shared" si="34"/>
        <v>1+0.0000028787891953127i</v>
      </c>
      <c r="U54" s="160">
        <f t="shared" si="44"/>
        <v>1.0000000000041438</v>
      </c>
      <c r="V54" s="160">
        <f t="shared" si="45"/>
        <v>2.8787891953047474E-6</v>
      </c>
      <c r="W54" s="98" t="str">
        <f t="shared" si="35"/>
        <v>1-0.000755682163769582i</v>
      </c>
      <c r="X54" s="160">
        <f t="shared" si="46"/>
        <v>1.0000002855277255</v>
      </c>
      <c r="Y54" s="160">
        <f t="shared" si="47"/>
        <v>-7.5568201992413779E-4</v>
      </c>
      <c r="Z54" s="98" t="str">
        <f t="shared" si="36"/>
        <v>0.999999956230482-0.0000563868456117343i</v>
      </c>
      <c r="AA54" s="160">
        <f t="shared" si="48"/>
        <v>0.99999995782022022</v>
      </c>
      <c r="AB54" s="160">
        <f t="shared" si="49"/>
        <v>-5.6386848019999239E-5</v>
      </c>
      <c r="AC54" s="171" t="str">
        <f t="shared" si="50"/>
        <v>20.6914156599772-0.695182615348006i</v>
      </c>
      <c r="AD54" s="190">
        <f t="shared" si="51"/>
        <v>26.320703658396919</v>
      </c>
      <c r="AE54" s="169">
        <f t="shared" si="52"/>
        <v>-1.9242788190251414</v>
      </c>
      <c r="AF54" s="98" t="str">
        <f t="shared" si="37"/>
        <v>-0.0000897803247373448</v>
      </c>
      <c r="AG54" s="98" t="str">
        <f t="shared" si="38"/>
        <v>0.000287878919531269i</v>
      </c>
      <c r="AH54" s="98">
        <f t="shared" si="53"/>
        <v>2.8787891953126898E-4</v>
      </c>
      <c r="AI54" s="98">
        <f t="shared" si="54"/>
        <v>1.5707963267948966</v>
      </c>
      <c r="AJ54" s="98" t="str">
        <f t="shared" si="39"/>
        <v>1+0.0338257730449242i</v>
      </c>
      <c r="AK54" s="98">
        <f t="shared" si="55"/>
        <v>1.000571927910276</v>
      </c>
      <c r="AL54" s="98">
        <f t="shared" si="56"/>
        <v>3.3812880937043883E-2</v>
      </c>
      <c r="AM54" s="98" t="str">
        <f t="shared" si="40"/>
        <v>1+0.0676515460898486i</v>
      </c>
      <c r="AN54" s="98">
        <f t="shared" si="57"/>
        <v>1.0022857535096201</v>
      </c>
      <c r="AO54" s="98">
        <f t="shared" si="58"/>
        <v>6.754862092063732E-2</v>
      </c>
      <c r="AP54" s="168" t="str">
        <f t="shared" si="59"/>
        <v>-0.0105371317504415+0.312224780459806i</v>
      </c>
      <c r="AQ54" s="98">
        <f t="shared" si="60"/>
        <v>-10.105708977899774</v>
      </c>
      <c r="AR54" s="169">
        <f t="shared" si="61"/>
        <v>91.932915519810635</v>
      </c>
      <c r="AS54" s="168" t="str">
        <f t="shared" si="62"/>
        <v>-0.000974933455823307+6.46769794264751i</v>
      </c>
      <c r="AT54" s="190">
        <f t="shared" si="63"/>
        <v>16.214994680497146</v>
      </c>
      <c r="AU54" s="169">
        <f t="shared" si="64"/>
        <v>90.008636700785502</v>
      </c>
      <c r="AV54" s="225"/>
      <c r="AX54">
        <f t="shared" si="65"/>
        <v>0</v>
      </c>
      <c r="AY54">
        <f t="shared" si="66"/>
        <v>0</v>
      </c>
    </row>
    <row r="55" spans="1:51" x14ac:dyDescent="0.3">
      <c r="A55" s="98" t="s">
        <v>224</v>
      </c>
      <c r="B55" s="187">
        <f>RFBT</f>
        <v>100000</v>
      </c>
      <c r="C55" s="206" t="s">
        <v>36</v>
      </c>
      <c r="E55" s="98" t="s">
        <v>227</v>
      </c>
      <c r="N55" s="170">
        <v>37</v>
      </c>
      <c r="O55" s="199">
        <f t="shared" si="41"/>
        <v>23.442288153199236</v>
      </c>
      <c r="P55" s="189" t="str">
        <f t="shared" si="32"/>
        <v>20.7142857142857</v>
      </c>
      <c r="Q55" s="160" t="str">
        <f t="shared" si="33"/>
        <v>1+0.0336667978264805i</v>
      </c>
      <c r="R55" s="160">
        <f t="shared" si="42"/>
        <v>1.0005665661393495</v>
      </c>
      <c r="S55" s="160">
        <f t="shared" si="43"/>
        <v>3.365408655584512E-2</v>
      </c>
      <c r="T55" s="160" t="str">
        <f t="shared" si="34"/>
        <v>1+2.94584480981704E-06i</v>
      </c>
      <c r="U55" s="160">
        <f t="shared" si="44"/>
        <v>1.000000000004339</v>
      </c>
      <c r="V55" s="160">
        <f t="shared" si="45"/>
        <v>2.9458448098085188E-6</v>
      </c>
      <c r="W55" s="98" t="str">
        <f t="shared" si="35"/>
        <v>1-0.000773284262576971i</v>
      </c>
      <c r="X55" s="160">
        <f t="shared" si="46"/>
        <v>1.0000002989842307</v>
      </c>
      <c r="Y55" s="160">
        <f t="shared" si="47"/>
        <v>-7.7328410844380304E-4</v>
      </c>
      <c r="Z55" s="98" t="str">
        <f t="shared" si="36"/>
        <v>0.999999954167688-0.0000577002639713045i</v>
      </c>
      <c r="AA55" s="160">
        <f t="shared" si="48"/>
        <v>0.99999995583234835</v>
      </c>
      <c r="AB55" s="160">
        <f t="shared" si="49"/>
        <v>-5.7700266551806885E-5</v>
      </c>
      <c r="AC55" s="171" t="str">
        <f t="shared" si="50"/>
        <v>20.6903390478125-0.711339252582583i</v>
      </c>
      <c r="AD55" s="190">
        <f t="shared" si="51"/>
        <v>26.320482487618733</v>
      </c>
      <c r="AE55" s="169">
        <f t="shared" si="52"/>
        <v>-1.9690682725713511</v>
      </c>
      <c r="AF55" s="98" t="str">
        <f t="shared" si="37"/>
        <v>-0.0000897803247373448</v>
      </c>
      <c r="AG55" s="98" t="str">
        <f t="shared" si="38"/>
        <v>0.000294584480981703i</v>
      </c>
      <c r="AH55" s="98">
        <f t="shared" si="53"/>
        <v>2.94584480981703E-4</v>
      </c>
      <c r="AI55" s="98">
        <f t="shared" si="54"/>
        <v>1.5707963267948966</v>
      </c>
      <c r="AJ55" s="98" t="str">
        <f t="shared" si="39"/>
        <v>1+0.0346136765153502i</v>
      </c>
      <c r="AK55" s="98">
        <f t="shared" si="55"/>
        <v>1.0005988739759351</v>
      </c>
      <c r="AL55" s="98">
        <f t="shared" si="56"/>
        <v>3.4599862819376409E-2</v>
      </c>
      <c r="AM55" s="98" t="str">
        <f t="shared" si="40"/>
        <v>1+0.0692273530307006i</v>
      </c>
      <c r="AN55" s="98">
        <f t="shared" si="57"/>
        <v>1.0023933491437567</v>
      </c>
      <c r="AO55" s="98">
        <f t="shared" si="58"/>
        <v>6.9117080941714454E-2</v>
      </c>
      <c r="AP55" s="168" t="str">
        <f t="shared" si="59"/>
        <v>-0.0105365642294733+0.305134072629325i</v>
      </c>
      <c r="AQ55" s="98">
        <f t="shared" si="60"/>
        <v>-10.305010509071082</v>
      </c>
      <c r="AR55" s="169">
        <f t="shared" si="61"/>
        <v>91.977690918942443</v>
      </c>
      <c r="AS55" s="168" t="str">
        <f t="shared" si="62"/>
        <v>-0.000951243145232178+6.32082248946436i</v>
      </c>
      <c r="AT55" s="190">
        <f t="shared" si="63"/>
        <v>16.015471978547652</v>
      </c>
      <c r="AU55" s="169">
        <f t="shared" si="64"/>
        <v>90.00862264637108</v>
      </c>
      <c r="AV55" s="225"/>
      <c r="AX55">
        <f t="shared" si="65"/>
        <v>0</v>
      </c>
      <c r="AY55">
        <f t="shared" si="66"/>
        <v>0</v>
      </c>
    </row>
    <row r="56" spans="1:51" x14ac:dyDescent="0.3">
      <c r="A56" s="98" t="s">
        <v>225</v>
      </c>
      <c r="B56" s="187">
        <f>RFBB</f>
        <v>4700</v>
      </c>
      <c r="C56" s="206" t="s">
        <v>36</v>
      </c>
      <c r="E56" s="98" t="s">
        <v>228</v>
      </c>
      <c r="N56" s="170">
        <v>38</v>
      </c>
      <c r="O56" s="199">
        <f t="shared" si="41"/>
        <v>23.988329190194907</v>
      </c>
      <c r="P56" s="189" t="str">
        <f t="shared" si="32"/>
        <v>20.7142857142857</v>
      </c>
      <c r="Q56" s="160" t="str">
        <f t="shared" si="33"/>
        <v>1+0.0344509982883703i</v>
      </c>
      <c r="R56" s="160">
        <f t="shared" si="42"/>
        <v>1.0005932596630187</v>
      </c>
      <c r="S56" s="160">
        <f t="shared" si="43"/>
        <v>3.4437378352608079E-2</v>
      </c>
      <c r="T56" s="160" t="str">
        <f t="shared" si="34"/>
        <v>1+0.0000030144623502324i</v>
      </c>
      <c r="U56" s="160">
        <f t="shared" si="44"/>
        <v>1.0000000000045435</v>
      </c>
      <c r="V56" s="160">
        <f t="shared" si="45"/>
        <v>3.0144623502232695E-6</v>
      </c>
      <c r="W56" s="98" t="str">
        <f t="shared" si="35"/>
        <v>1-0.000791296366936003i</v>
      </c>
      <c r="X56" s="160">
        <f t="shared" si="46"/>
        <v>1.0000003130749211</v>
      </c>
      <c r="Y56" s="160">
        <f t="shared" si="47"/>
        <v>-7.9129620177934078E-4</v>
      </c>
      <c r="Z56" s="98" t="str">
        <f t="shared" si="36"/>
        <v>0.999999952007678-0.0000590442757745855i</v>
      </c>
      <c r="AA56" s="160">
        <f t="shared" si="48"/>
        <v>0.99999995375079131</v>
      </c>
      <c r="AB56" s="160">
        <f t="shared" si="49"/>
        <v>-5.9044278539643613E-5</v>
      </c>
      <c r="AC56" s="171" t="str">
        <f t="shared" si="50"/>
        <v>20.6892118140714-0.727869638001788i</v>
      </c>
      <c r="AD56" s="190">
        <f t="shared" si="51"/>
        <v>26.320250905469123</v>
      </c>
      <c r="AE56" s="169">
        <f t="shared" si="52"/>
        <v>-2.0148986658714367</v>
      </c>
      <c r="AF56" s="98" t="str">
        <f t="shared" si="37"/>
        <v>-0.0000897803247373448</v>
      </c>
      <c r="AG56" s="98" t="str">
        <f t="shared" si="38"/>
        <v>0.00030144623502324i</v>
      </c>
      <c r="AH56" s="98">
        <f t="shared" si="53"/>
        <v>3.0144623502323999E-4</v>
      </c>
      <c r="AI56" s="98">
        <f t="shared" si="54"/>
        <v>1.5707963267948966</v>
      </c>
      <c r="AJ56" s="98" t="str">
        <f t="shared" si="39"/>
        <v>1+0.0354199326152307i</v>
      </c>
      <c r="AK56" s="98">
        <f t="shared" si="55"/>
        <v>1.000627089192806</v>
      </c>
      <c r="AL56" s="98">
        <f t="shared" si="56"/>
        <v>3.5405131474265675E-2</v>
      </c>
      <c r="AM56" s="98" t="str">
        <f t="shared" si="40"/>
        <v>1+0.0708398652304616i</v>
      </c>
      <c r="AN56" s="98">
        <f t="shared" si="57"/>
        <v>1.0025060032268485</v>
      </c>
      <c r="AO56" s="98">
        <f t="shared" si="58"/>
        <v>7.0721722504808335E-2</v>
      </c>
      <c r="AP56" s="168" t="str">
        <f t="shared" si="59"/>
        <v>-0.0105359700275841+0.298205149073323i</v>
      </c>
      <c r="AQ56" s="98">
        <f t="shared" si="60"/>
        <v>-10.504279323415835</v>
      </c>
      <c r="AR56" s="169">
        <f t="shared" si="61"/>
        <v>92.023491612839663</v>
      </c>
      <c r="AS56" s="168" t="str">
        <f t="shared" si="62"/>
        <v>-0.000926441661126265+6.17729830591469i</v>
      </c>
      <c r="AT56" s="190">
        <f t="shared" si="63"/>
        <v>15.815971582053285</v>
      </c>
      <c r="AU56" s="169">
        <f t="shared" si="64"/>
        <v>90.008592946968221</v>
      </c>
      <c r="AV56" s="225"/>
      <c r="AX56">
        <f t="shared" si="65"/>
        <v>0</v>
      </c>
      <c r="AY56">
        <f t="shared" si="66"/>
        <v>0</v>
      </c>
    </row>
    <row r="57" spans="1:51" x14ac:dyDescent="0.3">
      <c r="A57" s="98" t="s">
        <v>214</v>
      </c>
      <c r="B57" s="187">
        <f>RCOMP</f>
        <v>470</v>
      </c>
      <c r="C57" s="206" t="s">
        <v>36</v>
      </c>
      <c r="E57" s="98" t="s">
        <v>221</v>
      </c>
      <c r="N57" s="170">
        <v>39</v>
      </c>
      <c r="O57" s="199">
        <f t="shared" si="41"/>
        <v>24.547089156850316</v>
      </c>
      <c r="P57" s="189" t="str">
        <f t="shared" si="32"/>
        <v>20.7142857142857</v>
      </c>
      <c r="Q57" s="160" t="str">
        <f t="shared" si="33"/>
        <v>1+0.0352534651255655i</v>
      </c>
      <c r="R57" s="160">
        <f t="shared" si="42"/>
        <v>1.0006212104504679</v>
      </c>
      <c r="S57" s="160">
        <f t="shared" si="43"/>
        <v>3.5238871590754089E-2</v>
      </c>
      <c r="T57" s="160" t="str">
        <f t="shared" si="34"/>
        <v>1+3.08467819848698E-06i</v>
      </c>
      <c r="U57" s="160">
        <f t="shared" si="44"/>
        <v>1.0000000000047575</v>
      </c>
      <c r="V57" s="160">
        <f t="shared" si="45"/>
        <v>3.0846781984771965E-6</v>
      </c>
      <c r="W57" s="98" t="str">
        <f t="shared" si="35"/>
        <v>1-0.00080972802710283i</v>
      </c>
      <c r="X57" s="160">
        <f t="shared" si="46"/>
        <v>1.0000003278296852</v>
      </c>
      <c r="Y57" s="160">
        <f t="shared" si="47"/>
        <v>-8.0972785013428111E-4</v>
      </c>
      <c r="Z57" s="98" t="str">
        <f t="shared" si="36"/>
        <v>0.99999994974587-0.0000604195936344255i</v>
      </c>
      <c r="AA57" s="160">
        <f t="shared" si="48"/>
        <v>0.99999995157113364</v>
      </c>
      <c r="AB57" s="160">
        <f t="shared" si="49"/>
        <v>-6.0419596597238631E-5</v>
      </c>
      <c r="AC57" s="171" t="str">
        <f t="shared" si="50"/>
        <v>20.6880315843567-0.744782292703518i</v>
      </c>
      <c r="AD57" s="190">
        <f t="shared" si="51"/>
        <v>26.320008422439841</v>
      </c>
      <c r="AE57" s="169">
        <f t="shared" si="52"/>
        <v>-2.0617940783937296</v>
      </c>
      <c r="AF57" s="98" t="str">
        <f t="shared" si="37"/>
        <v>-0.0000897803247373448</v>
      </c>
      <c r="AG57" s="98" t="str">
        <f t="shared" si="38"/>
        <v>0.000308467819848699i</v>
      </c>
      <c r="AH57" s="98">
        <f t="shared" si="53"/>
        <v>3.0846781984869901E-4</v>
      </c>
      <c r="AI57" s="98">
        <f t="shared" si="54"/>
        <v>1.5707963267948966</v>
      </c>
      <c r="AJ57" s="98" t="str">
        <f t="shared" si="39"/>
        <v>1+0.036244968832222i</v>
      </c>
      <c r="AK57" s="98">
        <f t="shared" si="55"/>
        <v>1.0006566332991795</v>
      </c>
      <c r="AL57" s="98">
        <f t="shared" si="56"/>
        <v>3.6229109685964517E-2</v>
      </c>
      <c r="AM57" s="98" t="str">
        <f t="shared" si="40"/>
        <v>1+0.0724899376644442i</v>
      </c>
      <c r="AN57" s="98">
        <f t="shared" si="57"/>
        <v>1.0026239529667118</v>
      </c>
      <c r="AO57" s="98">
        <f t="shared" si="58"/>
        <v>7.2363363339546447E-2</v>
      </c>
      <c r="AP57" s="168" t="str">
        <f t="shared" si="59"/>
        <v>-0.0105353478936498+0.291434335852859i</v>
      </c>
      <c r="AQ57" s="98">
        <f t="shared" si="60"/>
        <v>-10.703513898325024</v>
      </c>
      <c r="AR57" s="169">
        <f t="shared" si="61"/>
        <v>92.070340230205417</v>
      </c>
      <c r="AS57" s="168" t="str">
        <f t="shared" si="62"/>
        <v>-0.000900477146993484+6.03704928544863i</v>
      </c>
      <c r="AT57" s="190">
        <f t="shared" si="63"/>
        <v>15.616494524114819</v>
      </c>
      <c r="AU57" s="169">
        <f t="shared" si="64"/>
        <v>90.008546151811686</v>
      </c>
      <c r="AV57" s="225"/>
      <c r="AX57">
        <f t="shared" si="65"/>
        <v>0</v>
      </c>
      <c r="AY57">
        <f t="shared" si="66"/>
        <v>0</v>
      </c>
    </row>
    <row r="58" spans="1:51" x14ac:dyDescent="0.3">
      <c r="A58" s="98" t="s">
        <v>219</v>
      </c>
      <c r="B58" s="187">
        <f>CCOMP</f>
        <v>1.0000000000000002E-6</v>
      </c>
      <c r="C58" s="206" t="s">
        <v>193</v>
      </c>
      <c r="E58" s="98" t="s">
        <v>222</v>
      </c>
      <c r="N58" s="170">
        <v>40</v>
      </c>
      <c r="O58" s="199">
        <f t="shared" si="41"/>
        <v>25.118864315095799</v>
      </c>
      <c r="P58" s="189" t="str">
        <f t="shared" si="32"/>
        <v>20.7142857142857</v>
      </c>
      <c r="Q58" s="160" t="str">
        <f t="shared" si="33"/>
        <v>1+0.0360746238166053i</v>
      </c>
      <c r="R58" s="160">
        <f t="shared" si="42"/>
        <v>1.000650477681148</v>
      </c>
      <c r="S58" s="160">
        <f t="shared" si="43"/>
        <v>3.6058987111275163E-2</v>
      </c>
      <c r="T58" s="160" t="str">
        <f t="shared" si="34"/>
        <v>1+3.15652958395296E-06i</v>
      </c>
      <c r="U58" s="160">
        <f t="shared" si="44"/>
        <v>1.0000000000049818</v>
      </c>
      <c r="V58" s="160">
        <f t="shared" si="45"/>
        <v>3.1565295839424762E-6</v>
      </c>
      <c r="W58" s="98" t="str">
        <f t="shared" si="35"/>
        <v>1-0.00082858901578765i</v>
      </c>
      <c r="X58" s="160">
        <f t="shared" si="46"/>
        <v>1.0000003432798197</v>
      </c>
      <c r="Y58" s="160">
        <f t="shared" si="47"/>
        <v>-8.2858882616243697E-4</v>
      </c>
      <c r="Z58" s="98" t="str">
        <f t="shared" si="36"/>
        <v>0.999999947377465-0.0000618269467625587i</v>
      </c>
      <c r="AA58" s="160">
        <f t="shared" si="48"/>
        <v>0.99999994928875069</v>
      </c>
      <c r="AB58" s="160">
        <f t="shared" si="49"/>
        <v>-6.182694993727023E-5</v>
      </c>
      <c r="AC58" s="171" t="str">
        <f t="shared" si="50"/>
        <v>20.6867958734594-0.762085923124099i</v>
      </c>
      <c r="AD58" s="190">
        <f t="shared" si="51"/>
        <v>26.319754526065203</v>
      </c>
      <c r="AE58" s="169">
        <f t="shared" si="52"/>
        <v>-2.1097791385688685</v>
      </c>
      <c r="AF58" s="98" t="str">
        <f t="shared" si="37"/>
        <v>-0.0000897803247373448</v>
      </c>
      <c r="AG58" s="98" t="str">
        <f t="shared" si="38"/>
        <v>0.000315652958395295i</v>
      </c>
      <c r="AH58" s="98">
        <f t="shared" si="53"/>
        <v>3.1565295839529502E-4</v>
      </c>
      <c r="AI58" s="98">
        <f t="shared" si="54"/>
        <v>1.5707963267948966</v>
      </c>
      <c r="AJ58" s="98" t="str">
        <f t="shared" si="39"/>
        <v>1+0.0370892226114473i</v>
      </c>
      <c r="AK58" s="98">
        <f t="shared" si="55"/>
        <v>1.0006875688415049</v>
      </c>
      <c r="AL58" s="98">
        <f t="shared" si="56"/>
        <v>3.7072229860616993E-2</v>
      </c>
      <c r="AM58" s="98" t="str">
        <f t="shared" si="40"/>
        <v>1+0.0741784452228948i</v>
      </c>
      <c r="AN58" s="98">
        <f t="shared" si="57"/>
        <v>1.0027474466363333</v>
      </c>
      <c r="AO58" s="98">
        <f t="shared" si="58"/>
        <v>7.4042838452198736E-2</v>
      </c>
      <c r="AP58" s="168" t="str">
        <f t="shared" si="59"/>
        <v>-0.0105346965181895+0.284818042851788i</v>
      </c>
      <c r="AQ58" s="98">
        <f t="shared" si="60"/>
        <v>-10.902712641276759</v>
      </c>
      <c r="AR58" s="169">
        <f t="shared" si="61"/>
        <v>92.118259838327717</v>
      </c>
      <c r="AS58" s="168" t="str">
        <f t="shared" si="62"/>
        <v>-0.00087329535152561+5.90000105747405i</v>
      </c>
      <c r="AT58" s="190">
        <f t="shared" si="63"/>
        <v>15.417041884788452</v>
      </c>
      <c r="AU58" s="169">
        <f t="shared" si="64"/>
        <v>90.008480699758849</v>
      </c>
      <c r="AV58" s="225"/>
      <c r="AX58">
        <f t="shared" si="65"/>
        <v>0</v>
      </c>
      <c r="AY58">
        <f t="shared" si="66"/>
        <v>0</v>
      </c>
    </row>
    <row r="59" spans="1:51" x14ac:dyDescent="0.3">
      <c r="A59" s="98" t="s">
        <v>220</v>
      </c>
      <c r="B59" s="187">
        <f>CHF</f>
        <v>9.9999999999999995E-7</v>
      </c>
      <c r="C59" s="206" t="s">
        <v>193</v>
      </c>
      <c r="E59" s="98" t="s">
        <v>223</v>
      </c>
      <c r="N59" s="170">
        <v>41</v>
      </c>
      <c r="O59" s="199">
        <f t="shared" si="41"/>
        <v>25.703957827688647</v>
      </c>
      <c r="P59" s="189" t="str">
        <f t="shared" si="32"/>
        <v>20.7142857142857</v>
      </c>
      <c r="Q59" s="160" t="str">
        <f t="shared" si="33"/>
        <v>1+0.0369149097506965i</v>
      </c>
      <c r="R59" s="160">
        <f t="shared" si="42"/>
        <v>1.000681123316465</v>
      </c>
      <c r="S59" s="160">
        <f t="shared" si="43"/>
        <v>3.6898155334946482E-2</v>
      </c>
      <c r="T59" s="160" t="str">
        <f t="shared" si="34"/>
        <v>1+3.23005460318594E-06i</v>
      </c>
      <c r="U59" s="160">
        <f t="shared" si="44"/>
        <v>1.0000000000052167</v>
      </c>
      <c r="V59" s="160">
        <f t="shared" si="45"/>
        <v>3.2300546031747064E-6</v>
      </c>
      <c r="W59" s="98" t="str">
        <f t="shared" si="35"/>
        <v>1-0.000847889333336307i</v>
      </c>
      <c r="X59" s="160">
        <f t="shared" si="46"/>
        <v>1.0000003594580962</v>
      </c>
      <c r="Y59" s="160">
        <f t="shared" si="47"/>
        <v>-8.4788913014923449E-4</v>
      </c>
      <c r="Z59" s="98" t="str">
        <f t="shared" si="36"/>
        <v>0.999999944897442-0.0000632670813562414i</v>
      </c>
      <c r="AA59" s="160">
        <f t="shared" si="48"/>
        <v>0.99999994689880389</v>
      </c>
      <c r="AB59" s="160">
        <f t="shared" si="49"/>
        <v>-6.326708475800605E-5</v>
      </c>
      <c r="AC59" s="171" t="str">
        <f t="shared" si="50"/>
        <v>20.6855020802395-0.779789424422562i</v>
      </c>
      <c r="AD59" s="190">
        <f t="shared" si="51"/>
        <v>26.319488679850377</v>
      </c>
      <c r="AE59" s="169">
        <f t="shared" si="52"/>
        <v>-2.1588790357280359</v>
      </c>
      <c r="AF59" s="98" t="str">
        <f t="shared" si="37"/>
        <v>-0.0000897803247373448</v>
      </c>
      <c r="AG59" s="98" t="str">
        <f t="shared" si="38"/>
        <v>0.000323005460318594i</v>
      </c>
      <c r="AH59" s="98">
        <f t="shared" si="53"/>
        <v>3.2300546031859402E-4</v>
      </c>
      <c r="AI59" s="98">
        <f t="shared" si="54"/>
        <v>1.5707963267948966</v>
      </c>
      <c r="AJ59" s="98" t="str">
        <f t="shared" si="39"/>
        <v>1+0.0379531415874348i</v>
      </c>
      <c r="AK59" s="98">
        <f t="shared" si="55"/>
        <v>1.0007199613060369</v>
      </c>
      <c r="AL59" s="98">
        <f t="shared" si="56"/>
        <v>3.7934934234294886E-2</v>
      </c>
      <c r="AM59" s="98" t="str">
        <f t="shared" si="40"/>
        <v>1+0.0759062831748698i</v>
      </c>
      <c r="AN59" s="98">
        <f t="shared" si="57"/>
        <v>1.0028767440844479</v>
      </c>
      <c r="AO59" s="98">
        <f t="shared" si="58"/>
        <v>7.5761000403949549E-2</v>
      </c>
      <c r="AP59" s="168" t="str">
        <f t="shared" si="59"/>
        <v>-0.0105340145306732+0.278352761872561i</v>
      </c>
      <c r="AQ59" s="98">
        <f t="shared" si="60"/>
        <v>-11.101873886717389</v>
      </c>
      <c r="AR59" s="169">
        <f t="shared" si="61"/>
        <v>92.167273947103794</v>
      </c>
      <c r="AS59" s="168" t="str">
        <f t="shared" si="62"/>
        <v>-0.000844839520478757+5.766080947883i</v>
      </c>
      <c r="AT59" s="190">
        <f t="shared" si="63"/>
        <v>15.217614793132981</v>
      </c>
      <c r="AU59" s="169">
        <f t="shared" si="64"/>
        <v>90.00839491137576</v>
      </c>
      <c r="AV59" s="225"/>
      <c r="AX59">
        <f t="shared" si="65"/>
        <v>0</v>
      </c>
      <c r="AY59">
        <f t="shared" si="66"/>
        <v>0</v>
      </c>
    </row>
    <row r="60" spans="1:51" x14ac:dyDescent="0.3">
      <c r="N60" s="170">
        <v>42</v>
      </c>
      <c r="O60" s="199">
        <f t="shared" si="41"/>
        <v>26.302679918953825</v>
      </c>
      <c r="P60" s="189" t="str">
        <f t="shared" si="32"/>
        <v>20.7142857142857</v>
      </c>
      <c r="Q60" s="160" t="str">
        <f t="shared" si="33"/>
        <v>1+0.0377747684585641i</v>
      </c>
      <c r="R60" s="160">
        <f t="shared" si="42"/>
        <v>1.0007132122302065</v>
      </c>
      <c r="S60" s="160">
        <f t="shared" si="43"/>
        <v>3.7756816469608524E-2</v>
      </c>
      <c r="T60" s="160" t="str">
        <f t="shared" si="34"/>
        <v>1+3.30529224012436E-06i</v>
      </c>
      <c r="U60" s="160">
        <f t="shared" si="44"/>
        <v>1.0000000000054625</v>
      </c>
      <c r="V60" s="160">
        <f t="shared" si="45"/>
        <v>3.3052922401123231E-6</v>
      </c>
      <c r="W60" s="98" t="str">
        <f t="shared" si="35"/>
        <v>1-0.000867639213032642i</v>
      </c>
      <c r="X60" s="160">
        <f t="shared" si="46"/>
        <v>1.0000003763988312</v>
      </c>
      <c r="Y60" s="160">
        <f t="shared" si="47"/>
        <v>-8.6763899531377563E-4</v>
      </c>
      <c r="Z60" s="98" t="str">
        <f t="shared" si="36"/>
        <v>0.999999942300538-0.0000647407609938981i</v>
      </c>
      <c r="AA60" s="160">
        <f t="shared" si="48"/>
        <v>0.99999994439622109</v>
      </c>
      <c r="AB60" s="160">
        <f t="shared" si="49"/>
        <v>-6.4740764638954632E-5</v>
      </c>
      <c r="AC60" s="171" t="str">
        <f t="shared" si="50"/>
        <v>20.6841474822788-0.797901883878164i</v>
      </c>
      <c r="AD60" s="190">
        <f t="shared" si="51"/>
        <v>26.31921032215141</v>
      </c>
      <c r="AE60" s="169">
        <f t="shared" si="52"/>
        <v>-2.2091195322593866</v>
      </c>
      <c r="AF60" s="98" t="str">
        <f t="shared" si="37"/>
        <v>-0.0000897803247373448</v>
      </c>
      <c r="AG60" s="98" t="str">
        <f t="shared" si="38"/>
        <v>0.000330529224012437i</v>
      </c>
      <c r="AH60" s="98">
        <f t="shared" si="53"/>
        <v>3.30529224012437E-4</v>
      </c>
      <c r="AI60" s="98">
        <f t="shared" si="54"/>
        <v>1.5707963267948966</v>
      </c>
      <c r="AJ60" s="98" t="str">
        <f t="shared" si="39"/>
        <v>1+0.0388371838214612i</v>
      </c>
      <c r="AK60" s="98">
        <f t="shared" si="55"/>
        <v>1.0007538792566242</v>
      </c>
      <c r="AL60" s="98">
        <f t="shared" si="56"/>
        <v>3.8817675084741973E-2</v>
      </c>
      <c r="AM60" s="98" t="str">
        <f t="shared" si="40"/>
        <v>1+0.0776743676429226i</v>
      </c>
      <c r="AN60" s="98">
        <f t="shared" si="57"/>
        <v>1.0030121172691424</v>
      </c>
      <c r="AO60" s="98">
        <f t="shared" si="58"/>
        <v>7.7518719587077609E-2</v>
      </c>
      <c r="AP60" s="168" t="str">
        <f t="shared" si="59"/>
        <v>-0.0105333004967094+0.272035064775433i</v>
      </c>
      <c r="AQ60" s="98">
        <f t="shared" si="60"/>
        <v>-11.300995892811551</v>
      </c>
      <c r="AR60" s="169">
        <f t="shared" si="61"/>
        <v>92.217406512731799</v>
      </c>
      <c r="AS60" s="168" t="str">
        <f t="shared" si="62"/>
        <v>-0.000815050283861418+5.6352179404761i</v>
      </c>
      <c r="AT60" s="190">
        <f t="shared" si="63"/>
        <v>15.018214429339853</v>
      </c>
      <c r="AU60" s="169">
        <f t="shared" si="64"/>
        <v>90.00828698047242</v>
      </c>
      <c r="AV60" s="225"/>
      <c r="AX60">
        <f t="shared" si="65"/>
        <v>0</v>
      </c>
      <c r="AY60">
        <f t="shared" si="66"/>
        <v>0</v>
      </c>
    </row>
    <row r="61" spans="1:51" x14ac:dyDescent="0.3">
      <c r="A61" s="98" t="s">
        <v>264</v>
      </c>
      <c r="B61" s="211">
        <f>-(RFBB*gm_ea)/(RFBB+RFBT)</f>
        <v>-8.97803247373448E-5</v>
      </c>
      <c r="C61" s="98" t="s">
        <v>180</v>
      </c>
      <c r="N61" s="170">
        <v>43</v>
      </c>
      <c r="O61" s="199">
        <f t="shared" si="41"/>
        <v>26.915348039269158</v>
      </c>
      <c r="P61" s="189" t="str">
        <f t="shared" si="32"/>
        <v>20.7142857142857</v>
      </c>
      <c r="Q61" s="160" t="str">
        <f t="shared" si="33"/>
        <v>1+0.0386546558486768i</v>
      </c>
      <c r="R61" s="160">
        <f t="shared" si="42"/>
        <v>1.0007468123450505</v>
      </c>
      <c r="S61" s="160">
        <f t="shared" si="43"/>
        <v>3.8635420721150247E-2</v>
      </c>
      <c r="T61" s="160" t="str">
        <f t="shared" si="34"/>
        <v>1+3.38228238675922E-06i</v>
      </c>
      <c r="U61" s="160">
        <f t="shared" si="44"/>
        <v>1.0000000000057199</v>
      </c>
      <c r="V61" s="160">
        <f t="shared" si="45"/>
        <v>3.3822823867463221E-6</v>
      </c>
      <c r="W61" s="98" t="str">
        <f t="shared" si="35"/>
        <v>1-0.000887849126524293i</v>
      </c>
      <c r="X61" s="160">
        <f t="shared" si="46"/>
        <v>1.000000394137958</v>
      </c>
      <c r="Y61" s="160">
        <f t="shared" si="47"/>
        <v>-8.8784889323432949E-4</v>
      </c>
      <c r="Z61" s="98" t="str">
        <f t="shared" si="36"/>
        <v>0.999999939581246-0.0000662487670399792i</v>
      </c>
      <c r="AA61" s="160">
        <f t="shared" si="48"/>
        <v>0.99999994177569562</v>
      </c>
      <c r="AB61" s="160">
        <f t="shared" si="49"/>
        <v>-6.6248770945727674E-5</v>
      </c>
      <c r="AC61" s="171" t="str">
        <f t="shared" si="50"/>
        <v>20.6827292302889-0.816432584296382i</v>
      </c>
      <c r="AD61" s="190">
        <f t="shared" si="51"/>
        <v>26.318918865002168</v>
      </c>
      <c r="AE61" s="169">
        <f t="shared" si="52"/>
        <v>-2.2605269759828803</v>
      </c>
      <c r="AF61" s="98" t="str">
        <f t="shared" si="37"/>
        <v>-0.0000897803247373448</v>
      </c>
      <c r="AG61" s="98" t="str">
        <f t="shared" si="38"/>
        <v>0.000338228238675922i</v>
      </c>
      <c r="AH61" s="98">
        <f t="shared" si="53"/>
        <v>3.38228238675922E-4</v>
      </c>
      <c r="AI61" s="98">
        <f t="shared" si="54"/>
        <v>1.5707963267948966</v>
      </c>
      <c r="AJ61" s="98" t="str">
        <f t="shared" si="39"/>
        <v>1+0.0397418180444208i</v>
      </c>
      <c r="AK61" s="98">
        <f t="shared" si="55"/>
        <v>1.0007893944789163</v>
      </c>
      <c r="AL61" s="98">
        <f t="shared" si="56"/>
        <v>3.9720914946826627E-2</v>
      </c>
      <c r="AM61" s="98" t="str">
        <f t="shared" si="40"/>
        <v>1+0.0794836360888419i</v>
      </c>
      <c r="AN61" s="98">
        <f t="shared" si="57"/>
        <v>1.0031538508154687</v>
      </c>
      <c r="AO61" s="98">
        <f t="shared" si="58"/>
        <v>7.931688449840664E-2</v>
      </c>
      <c r="AP61" s="168" t="str">
        <f t="shared" si="59"/>
        <v>-0.0105325529151046+0.265861601660039i</v>
      </c>
      <c r="AQ61" s="98">
        <f t="shared" si="60"/>
        <v>-11.500076838058193</v>
      </c>
      <c r="AR61" s="169">
        <f t="shared" si="61"/>
        <v>92.26868194103406</v>
      </c>
      <c r="AS61" s="168" t="str">
        <f t="shared" si="62"/>
        <v>-0.000783865538317524+5.50734263926123i</v>
      </c>
      <c r="AT61" s="190">
        <f t="shared" si="63"/>
        <v>14.81884202694398</v>
      </c>
      <c r="AU61" s="169">
        <f t="shared" si="64"/>
        <v>90.008154965051176</v>
      </c>
      <c r="AV61" s="225"/>
      <c r="AX61">
        <f t="shared" si="65"/>
        <v>0</v>
      </c>
      <c r="AY61">
        <f t="shared" si="66"/>
        <v>0</v>
      </c>
    </row>
    <row r="62" spans="1:51" x14ac:dyDescent="0.3">
      <c r="A62" s="98" t="s">
        <v>263</v>
      </c>
      <c r="B62" s="211">
        <f>1/(RCOMP*CCOMP)</f>
        <v>2127.6595744680849</v>
      </c>
      <c r="E62" s="98" t="s">
        <v>278</v>
      </c>
      <c r="N62" s="170">
        <v>44</v>
      </c>
      <c r="O62" s="199">
        <f t="shared" si="41"/>
        <v>27.542287033381665</v>
      </c>
      <c r="P62" s="189" t="str">
        <f t="shared" si="32"/>
        <v>20.7142857142857</v>
      </c>
      <c r="Q62" s="160" t="str">
        <f t="shared" si="33"/>
        <v>1+0.0395550384489753i</v>
      </c>
      <c r="R62" s="160">
        <f t="shared" si="42"/>
        <v>1.0007819947754355</v>
      </c>
      <c r="S62" s="160">
        <f t="shared" si="43"/>
        <v>3.9534428508202775E-2</v>
      </c>
      <c r="T62" s="160" t="str">
        <f t="shared" si="34"/>
        <v>1+3.46106586428534E-06i</v>
      </c>
      <c r="U62" s="160">
        <f t="shared" si="44"/>
        <v>1.0000000000059894</v>
      </c>
      <c r="V62" s="160">
        <f t="shared" si="45"/>
        <v>3.4610658642715198E-6</v>
      </c>
      <c r="W62" s="98" t="str">
        <f t="shared" si="35"/>
        <v>1-0.000908529789374899i</v>
      </c>
      <c r="X62" s="160">
        <f t="shared" si="46"/>
        <v>1.0000004127131039</v>
      </c>
      <c r="Y62" s="160">
        <f t="shared" si="47"/>
        <v>-9.0852953940020499E-4</v>
      </c>
      <c r="Z62" s="98" t="str">
        <f t="shared" si="36"/>
        <v>0.999999936733798-0.0000677918990592511i</v>
      </c>
      <c r="AA62" s="160">
        <f t="shared" si="48"/>
        <v>0.99999993903166884</v>
      </c>
      <c r="AB62" s="160">
        <f t="shared" si="49"/>
        <v>-6.7791903244335977E-5</v>
      </c>
      <c r="AC62" s="171" t="str">
        <f t="shared" si="50"/>
        <v>20.6812443422724-0.835391007419175i</v>
      </c>
      <c r="AD62" s="190">
        <f t="shared" si="51"/>
        <v>26.318613692889127</v>
      </c>
      <c r="AE62" s="169">
        <f t="shared" si="52"/>
        <v>-2.3131283127446087</v>
      </c>
      <c r="AF62" s="98" t="str">
        <f t="shared" si="37"/>
        <v>-0.0000897803247373448</v>
      </c>
      <c r="AG62" s="98" t="str">
        <f t="shared" si="38"/>
        <v>0.000346106586428533i</v>
      </c>
      <c r="AH62" s="98">
        <f t="shared" si="53"/>
        <v>3.4610658642853301E-4</v>
      </c>
      <c r="AI62" s="98">
        <f t="shared" si="54"/>
        <v>1.5707963267948966</v>
      </c>
      <c r="AJ62" s="98" t="str">
        <f t="shared" si="39"/>
        <v>1+0.0406675239053527i</v>
      </c>
      <c r="AK62" s="98">
        <f t="shared" si="55"/>
        <v>1.0008265821312863</v>
      </c>
      <c r="AL62" s="98">
        <f t="shared" si="56"/>
        <v>4.0645126831706686E-2</v>
      </c>
      <c r="AM62" s="98" t="str">
        <f t="shared" si="40"/>
        <v>1+0.0813350478107057i</v>
      </c>
      <c r="AN62" s="98">
        <f t="shared" si="57"/>
        <v>1.0033022425980966</v>
      </c>
      <c r="AO62" s="98">
        <f t="shared" si="58"/>
        <v>8.1156402009355269E-2</v>
      </c>
      <c r="AP62" s="168" t="str">
        <f t="shared" si="59"/>
        <v>-0.0105317702147916+0.25982909908842i</v>
      </c>
      <c r="AQ62" s="98">
        <f t="shared" si="60"/>
        <v>-11.699114817766345</v>
      </c>
      <c r="AR62" s="169">
        <f t="shared" si="61"/>
        <v>92.321125090372362</v>
      </c>
      <c r="AS62" s="168" t="str">
        <f t="shared" si="62"/>
        <v>-0.00075122032447994+5.38238723160976i</v>
      </c>
      <c r="AT62" s="190">
        <f t="shared" si="63"/>
        <v>14.619498875122774</v>
      </c>
      <c r="AU62" s="169">
        <f t="shared" si="64"/>
        <v>90.007996777627753</v>
      </c>
      <c r="AV62" s="225"/>
      <c r="AX62">
        <f t="shared" si="65"/>
        <v>0</v>
      </c>
      <c r="AY62">
        <f t="shared" si="66"/>
        <v>0</v>
      </c>
    </row>
    <row r="63" spans="1:51" x14ac:dyDescent="0.3">
      <c r="A63" s="98" t="s">
        <v>268</v>
      </c>
      <c r="B63" s="211">
        <f>(CCOMP+CHF)</f>
        <v>2.0000000000000003E-6</v>
      </c>
      <c r="E63" s="98" t="s">
        <v>279</v>
      </c>
      <c r="N63" s="170">
        <v>45</v>
      </c>
      <c r="O63" s="199">
        <f t="shared" si="41"/>
        <v>28.183829312644548</v>
      </c>
      <c r="P63" s="189" t="str">
        <f t="shared" si="32"/>
        <v>20.7142857142857</v>
      </c>
      <c r="Q63" s="160" t="str">
        <f t="shared" si="33"/>
        <v>1+0.0404763936542322i</v>
      </c>
      <c r="R63" s="160">
        <f t="shared" si="42"/>
        <v>1.0008188339770852</v>
      </c>
      <c r="S63" s="160">
        <f t="shared" si="43"/>
        <v>4.0454310680545953E-2</v>
      </c>
      <c r="T63" s="160" t="str">
        <f t="shared" si="34"/>
        <v>1+3.54168444474532E-06i</v>
      </c>
      <c r="U63" s="160">
        <f t="shared" si="44"/>
        <v>1.0000000000062719</v>
      </c>
      <c r="V63" s="160">
        <f t="shared" si="45"/>
        <v>3.5416844447305119E-6</v>
      </c>
      <c r="W63" s="98" t="str">
        <f t="shared" si="35"/>
        <v>1-0.000929692166745644i</v>
      </c>
      <c r="X63" s="160">
        <f t="shared" si="46"/>
        <v>1.0000004321636691</v>
      </c>
      <c r="Y63" s="160">
        <f t="shared" si="47"/>
        <v>-9.2969189889293975E-4</v>
      </c>
      <c r="Z63" s="98" t="str">
        <f t="shared" si="36"/>
        <v>0.999999933752154-0.0000693709752407359i</v>
      </c>
      <c r="AA63" s="160">
        <f t="shared" si="48"/>
        <v>0.99999993615832028</v>
      </c>
      <c r="AB63" s="160">
        <f t="shared" si="49"/>
        <v>-6.9370979725135148E-5</v>
      </c>
      <c r="AC63" s="171" t="str">
        <f t="shared" si="50"/>
        <v>20.6796896974163-0.854786837333783i</v>
      </c>
      <c r="AD63" s="190">
        <f t="shared" si="51"/>
        <v>26.318294161467328</v>
      </c>
      <c r="AE63" s="169">
        <f t="shared" si="52"/>
        <v>-2.3669510992303673</v>
      </c>
      <c r="AF63" s="98" t="str">
        <f t="shared" si="37"/>
        <v>-0.0000897803247373448</v>
      </c>
      <c r="AG63" s="98" t="str">
        <f t="shared" si="38"/>
        <v>0.000354168444474531i</v>
      </c>
      <c r="AH63" s="98">
        <f t="shared" si="53"/>
        <v>3.5416844447453099E-4</v>
      </c>
      <c r="AI63" s="98">
        <f t="shared" si="54"/>
        <v>1.5707963267948966</v>
      </c>
      <c r="AJ63" s="98" t="str">
        <f t="shared" si="39"/>
        <v>1+0.0416147922257575i</v>
      </c>
      <c r="AK63" s="98">
        <f t="shared" si="55"/>
        <v>1.0008655209027799</v>
      </c>
      <c r="AL63" s="98">
        <f t="shared" si="56"/>
        <v>4.1590794449700791E-2</v>
      </c>
      <c r="AM63" s="98" t="str">
        <f t="shared" si="40"/>
        <v>1+0.0832295844515152i</v>
      </c>
      <c r="AN63" s="98">
        <f t="shared" si="57"/>
        <v>1.0034576043500651</v>
      </c>
      <c r="AO63" s="98">
        <f t="shared" si="58"/>
        <v>8.3038197631853564E-2</v>
      </c>
      <c r="AP63" s="168" t="str">
        <f t="shared" si="59"/>
        <v>-0.0105309507516212+0.253934358348526i</v>
      </c>
      <c r="AQ63" s="98">
        <f t="shared" si="60"/>
        <v>-11.898107840386762</v>
      </c>
      <c r="AR63" s="169">
        <f t="shared" si="61"/>
        <v>92.374761274114448</v>
      </c>
      <c r="AS63" s="168" t="str">
        <f t="shared" si="62"/>
        <v>-0.000717046699179325+5.26028545224713i</v>
      </c>
      <c r="AT63" s="190">
        <f t="shared" si="63"/>
        <v>14.420186321080568</v>
      </c>
      <c r="AU63" s="169">
        <f t="shared" si="64"/>
        <v>90.007810174884085</v>
      </c>
      <c r="AV63" s="225"/>
      <c r="AX63">
        <f t="shared" si="65"/>
        <v>0</v>
      </c>
      <c r="AY63">
        <f t="shared" si="66"/>
        <v>0</v>
      </c>
    </row>
    <row r="64" spans="1:51" x14ac:dyDescent="0.3">
      <c r="A64" s="98" t="s">
        <v>269</v>
      </c>
      <c r="B64" s="211">
        <f>(CCOMP+CHF)/(RCOMP*CHF*CCOMP)</f>
        <v>4255.3191489361707</v>
      </c>
      <c r="E64" s="98" t="s">
        <v>280</v>
      </c>
      <c r="N64" s="170">
        <v>46</v>
      </c>
      <c r="O64" s="199">
        <f t="shared" si="41"/>
        <v>28.840315031266066</v>
      </c>
      <c r="P64" s="189" t="str">
        <f t="shared" si="32"/>
        <v>20.7142857142857</v>
      </c>
      <c r="Q64" s="160" t="str">
        <f t="shared" si="33"/>
        <v>1+0.041419209979173i</v>
      </c>
      <c r="R64" s="160">
        <f t="shared" si="42"/>
        <v>1.0008574079034929</v>
      </c>
      <c r="S64" s="160">
        <f t="shared" si="43"/>
        <v>4.139554874122181E-2</v>
      </c>
      <c r="T64" s="160" t="str">
        <f t="shared" si="34"/>
        <v>1+3.62418087317764E-06i</v>
      </c>
      <c r="U64" s="160">
        <f t="shared" si="44"/>
        <v>1.0000000000065672</v>
      </c>
      <c r="V64" s="160">
        <f t="shared" si="45"/>
        <v>3.6241808731617726E-6</v>
      </c>
      <c r="W64" s="98" t="str">
        <f t="shared" si="35"/>
        <v>1-0.000951347479209128i</v>
      </c>
      <c r="X64" s="160">
        <f t="shared" si="46"/>
        <v>1.0000004525309107</v>
      </c>
      <c r="Y64" s="160">
        <f t="shared" si="47"/>
        <v>-9.5134719219979141E-4</v>
      </c>
      <c r="Z64" s="98" t="str">
        <f t="shared" si="36"/>
        <v>0.999999930629989-0.0000709868328315267i</v>
      </c>
      <c r="AA64" s="160">
        <f t="shared" si="48"/>
        <v>0.99999993314955427</v>
      </c>
      <c r="AB64" s="160">
        <f t="shared" si="49"/>
        <v>-7.0986837636647084E-5</v>
      </c>
      <c r="AC64" s="171" t="str">
        <f t="shared" si="50"/>
        <v>20.6780620297181-0.874629963875089i</v>
      </c>
      <c r="AD64" s="190">
        <f t="shared" si="51"/>
        <v>26.317959596219946</v>
      </c>
      <c r="AE64" s="169">
        <f t="shared" si="52"/>
        <v>-2.4220235159989882</v>
      </c>
      <c r="AF64" s="98" t="str">
        <f t="shared" si="37"/>
        <v>-0.0000897803247373448</v>
      </c>
      <c r="AG64" s="98" t="str">
        <f t="shared" si="38"/>
        <v>0.000362418087317763i</v>
      </c>
      <c r="AH64" s="98">
        <f t="shared" si="53"/>
        <v>3.6241808731776298E-4</v>
      </c>
      <c r="AI64" s="98">
        <f t="shared" si="54"/>
        <v>1.5707963267948966</v>
      </c>
      <c r="AJ64" s="98" t="str">
        <f t="shared" si="39"/>
        <v>1+0.0425841252598373i</v>
      </c>
      <c r="AK64" s="98">
        <f t="shared" si="55"/>
        <v>1.0009062931784103</v>
      </c>
      <c r="AL64" s="98">
        <f t="shared" si="56"/>
        <v>4.2558412436852953E-2</v>
      </c>
      <c r="AM64" s="98" t="str">
        <f t="shared" si="40"/>
        <v>1+0.0851682505196747i</v>
      </c>
      <c r="AN64" s="98">
        <f t="shared" si="57"/>
        <v>1.0036202622987351</v>
      </c>
      <c r="AO64" s="98">
        <f t="shared" si="58"/>
        <v>8.4963215779331122E-2</v>
      </c>
      <c r="AP64" s="168" t="str">
        <f t="shared" si="59"/>
        <v>-0.0105300928050095+0.24817425375728i</v>
      </c>
      <c r="AQ64" s="98">
        <f t="shared" si="60"/>
        <v>-12.09705382369436</v>
      </c>
      <c r="AR64" s="169">
        <f t="shared" si="61"/>
        <v>92.429616262606231</v>
      </c>
      <c r="AS64" s="168" t="str">
        <f t="shared" si="62"/>
        <v>-0.000681273602217702+5.14097254806168i</v>
      </c>
      <c r="AT64" s="190">
        <f t="shared" si="63"/>
        <v>14.220905772525585</v>
      </c>
      <c r="AU64" s="169">
        <f t="shared" si="64"/>
        <v>90.007592746607244</v>
      </c>
      <c r="AV64" s="225"/>
      <c r="AX64">
        <f t="shared" si="65"/>
        <v>0</v>
      </c>
      <c r="AY64">
        <f t="shared" si="66"/>
        <v>0</v>
      </c>
    </row>
    <row r="65" spans="1:51" x14ac:dyDescent="0.3">
      <c r="N65" s="170">
        <v>47</v>
      </c>
      <c r="O65" s="199">
        <f t="shared" si="41"/>
        <v>29.512092266663863</v>
      </c>
      <c r="P65" s="189" t="str">
        <f t="shared" si="32"/>
        <v>20.7142857142857</v>
      </c>
      <c r="Q65" s="160" t="str">
        <f t="shared" si="33"/>
        <v>1+0.0423839873174928i</v>
      </c>
      <c r="R65" s="160">
        <f t="shared" si="42"/>
        <v>1.000897798169688</v>
      </c>
      <c r="S65" s="160">
        <f t="shared" si="43"/>
        <v>4.2358635072344546E-2</v>
      </c>
      <c r="T65" s="160" t="str">
        <f t="shared" si="34"/>
        <v>1+3.70859889028062E-06i</v>
      </c>
      <c r="U65" s="160">
        <f t="shared" si="44"/>
        <v>1.0000000000068767</v>
      </c>
      <c r="V65" s="160">
        <f t="shared" si="45"/>
        <v>3.7085988902636174E-6</v>
      </c>
      <c r="W65" s="98" t="str">
        <f t="shared" si="35"/>
        <v>1-0.00097350720869866i</v>
      </c>
      <c r="X65" s="160">
        <f t="shared" si="46"/>
        <v>1.0000004738580304</v>
      </c>
      <c r="Y65" s="160">
        <f t="shared" si="47"/>
        <v>-9.73506901162623E-4</v>
      </c>
      <c r="Z65" s="98" t="str">
        <f t="shared" si="36"/>
        <v>0.999999927360681-0.0000726403285807066i</v>
      </c>
      <c r="AA65" s="160">
        <f t="shared" si="48"/>
        <v>0.99999992999898968</v>
      </c>
      <c r="AB65" s="160">
        <f t="shared" si="49"/>
        <v>-7.2640333729485882E-5</v>
      </c>
      <c r="AC65" s="171" t="str">
        <f t="shared" si="50"/>
        <v>20.6763579213214-0.894930486014647i</v>
      </c>
      <c r="AD65" s="190">
        <f t="shared" si="51"/>
        <v>26.317609291053735</v>
      </c>
      <c r="AE65" s="169">
        <f t="shared" si="52"/>
        <v>-2.4783743807341949</v>
      </c>
      <c r="AF65" s="98" t="str">
        <f t="shared" si="37"/>
        <v>-0.0000897803247373448</v>
      </c>
      <c r="AG65" s="98" t="str">
        <f t="shared" si="38"/>
        <v>0.000370859889028061i</v>
      </c>
      <c r="AH65" s="98">
        <f t="shared" si="53"/>
        <v>3.7085988902806099E-4</v>
      </c>
      <c r="AI65" s="98">
        <f t="shared" si="54"/>
        <v>1.5707963267948966</v>
      </c>
      <c r="AJ65" s="98" t="str">
        <f t="shared" si="39"/>
        <v>1+0.0435760369607973i</v>
      </c>
      <c r="AK65" s="98">
        <f t="shared" si="55"/>
        <v>1.000948985212138</v>
      </c>
      <c r="AL65" s="98">
        <f t="shared" si="56"/>
        <v>4.3548486585171596E-2</v>
      </c>
      <c r="AM65" s="98" t="str">
        <f t="shared" si="40"/>
        <v>1+0.0871520739215948i</v>
      </c>
      <c r="AN65" s="98">
        <f t="shared" si="57"/>
        <v>1.0037905578300859</v>
      </c>
      <c r="AO65" s="98">
        <f t="shared" si="58"/>
        <v>8.693242002192389E-2</v>
      </c>
      <c r="AP65" s="168" t="str">
        <f t="shared" si="59"/>
        <v>-0.0105291945744367+0.242545731002291i</v>
      </c>
      <c r="AQ65" s="98">
        <f t="shared" si="60"/>
        <v>-12.295950590816922</v>
      </c>
      <c r="AR65" s="169">
        <f t="shared" si="61"/>
        <v>92.48571628460239</v>
      </c>
      <c r="AS65" s="168" t="str">
        <f t="shared" si="62"/>
        <v>-0.000643826717630497+5.02438524370975i</v>
      </c>
      <c r="AT65" s="190">
        <f t="shared" si="63"/>
        <v>14.021658700236806</v>
      </c>
      <c r="AU65" s="169">
        <f t="shared" si="64"/>
        <v>90.007341903868195</v>
      </c>
      <c r="AV65" s="225"/>
      <c r="AX65">
        <f t="shared" si="65"/>
        <v>0</v>
      </c>
      <c r="AY65">
        <f t="shared" si="66"/>
        <v>0</v>
      </c>
    </row>
    <row r="66" spans="1:51" x14ac:dyDescent="0.3">
      <c r="N66" s="170">
        <v>48</v>
      </c>
      <c r="O66" s="199">
        <f t="shared" si="41"/>
        <v>30.199517204020164</v>
      </c>
      <c r="P66" s="189" t="str">
        <f t="shared" si="32"/>
        <v>20.7142857142857</v>
      </c>
      <c r="Q66" s="160" t="str">
        <f t="shared" si="33"/>
        <v>1+0.0433712372069067i</v>
      </c>
      <c r="R66" s="160">
        <f t="shared" si="42"/>
        <v>1.0009400902236147</v>
      </c>
      <c r="S66" s="160">
        <f t="shared" si="43"/>
        <v>4.3344073164589998E-2</v>
      </c>
      <c r="T66" s="160" t="str">
        <f t="shared" si="34"/>
        <v>1+3.79498325560434E-06i</v>
      </c>
      <c r="U66" s="160">
        <f t="shared" si="44"/>
        <v>1.0000000000072009</v>
      </c>
      <c r="V66" s="160">
        <f t="shared" si="45"/>
        <v>3.7949832555861214E-6</v>
      </c>
      <c r="W66" s="98" t="str">
        <f t="shared" si="35"/>
        <v>1-0.000996183104596137i</v>
      </c>
      <c r="X66" s="160">
        <f t="shared" si="46"/>
        <v>1.0000004961902658</v>
      </c>
      <c r="Y66" s="160">
        <f t="shared" si="47"/>
        <v>-9.9618277506534499E-4</v>
      </c>
      <c r="Z66" s="98" t="str">
        <f t="shared" si="36"/>
        <v>0.999999923937296-0.0000743323391936084i</v>
      </c>
      <c r="AA66" s="160">
        <f t="shared" si="48"/>
        <v>0.99999992669994453</v>
      </c>
      <c r="AB66" s="160">
        <f t="shared" si="49"/>
        <v>-7.4332344710624769E-5</v>
      </c>
      <c r="AC66" s="171" t="str">
        <f t="shared" si="50"/>
        <v>20.674573795561-0.915698715230482i</v>
      </c>
      <c r="AD66" s="190">
        <f t="shared" si="51"/>
        <v>26.317242506832734</v>
      </c>
      <c r="AE66" s="169">
        <f t="shared" si="52"/>
        <v>-2.5360331617150398</v>
      </c>
      <c r="AF66" s="98" t="str">
        <f t="shared" si="37"/>
        <v>-0.0000897803247373448</v>
      </c>
      <c r="AG66" s="98" t="str">
        <f t="shared" si="38"/>
        <v>0.000379498325560433i</v>
      </c>
      <c r="AH66" s="98">
        <f t="shared" si="53"/>
        <v>3.7949832556043297E-4</v>
      </c>
      <c r="AI66" s="98">
        <f t="shared" si="54"/>
        <v>1.5707963267948966</v>
      </c>
      <c r="AJ66" s="98" t="str">
        <f t="shared" si="39"/>
        <v>1+0.044591053253351i</v>
      </c>
      <c r="AK66" s="98">
        <f t="shared" si="55"/>
        <v>1.0009936873078886</v>
      </c>
      <c r="AL66" s="98">
        <f t="shared" si="56"/>
        <v>4.4561534076516779E-2</v>
      </c>
      <c r="AM66" s="98" t="str">
        <f t="shared" si="40"/>
        <v>1+0.0891821065067022i</v>
      </c>
      <c r="AN66" s="98">
        <f t="shared" si="57"/>
        <v>1.0039688481825384</v>
      </c>
      <c r="AO66" s="98">
        <f t="shared" si="58"/>
        <v>8.894679333498072E-2</v>
      </c>
      <c r="AP66" s="168" t="str">
        <f t="shared" si="59"/>
        <v>-0.0105282541757902+0.237045805521349i</v>
      </c>
      <c r="AQ66" s="98">
        <f t="shared" si="60"/>
        <v>-12.49479586610466</v>
      </c>
      <c r="AR66" s="169">
        <f t="shared" si="61"/>
        <v>92.543088028103938</v>
      </c>
      <c r="AS66" s="168" t="str">
        <f t="shared" si="62"/>
        <v>-0.000604628329123752+4.91046170800172i</v>
      </c>
      <c r="AT66" s="190">
        <f t="shared" si="63"/>
        <v>13.822446640728071</v>
      </c>
      <c r="AU66" s="169">
        <f t="shared" si="64"/>
        <v>90.007054866388899</v>
      </c>
      <c r="AV66" s="225"/>
      <c r="AX66">
        <f t="shared" si="65"/>
        <v>0</v>
      </c>
      <c r="AY66">
        <f t="shared" si="66"/>
        <v>0</v>
      </c>
    </row>
    <row r="67" spans="1:51" x14ac:dyDescent="0.3">
      <c r="N67" s="170">
        <v>49</v>
      </c>
      <c r="O67" s="199">
        <f t="shared" si="41"/>
        <v>30.902954325135919</v>
      </c>
      <c r="P67" s="189" t="str">
        <f t="shared" si="32"/>
        <v>20.7142857142857</v>
      </c>
      <c r="Q67" s="160" t="str">
        <f t="shared" si="33"/>
        <v>1+0.0443814831003739i</v>
      </c>
      <c r="R67" s="160">
        <f t="shared" si="42"/>
        <v>1.0009843735254755</v>
      </c>
      <c r="S67" s="160">
        <f t="shared" si="43"/>
        <v>4.4352377850338895E-2</v>
      </c>
      <c r="T67" s="160" t="str">
        <f t="shared" si="34"/>
        <v>1+3.88337977128272E-06i</v>
      </c>
      <c r="U67" s="160">
        <f t="shared" si="44"/>
        <v>1.0000000000075402</v>
      </c>
      <c r="V67" s="160">
        <f t="shared" si="45"/>
        <v>3.8833797712631981E-6</v>
      </c>
      <c r="W67" s="98" t="str">
        <f t="shared" si="35"/>
        <v>1-0.00101938718996171i</v>
      </c>
      <c r="X67" s="160">
        <f t="shared" si="46"/>
        <v>1.0000005195749866</v>
      </c>
      <c r="Y67" s="160">
        <f t="shared" si="47"/>
        <v>-1.0193868368631148E-3</v>
      </c>
      <c r="Z67" s="98" t="str">
        <f t="shared" si="36"/>
        <v>0.999999920352571-0.0000760637617966555i</v>
      </c>
      <c r="AA67" s="160">
        <f t="shared" si="48"/>
        <v>0.9999999232454192</v>
      </c>
      <c r="AB67" s="160">
        <f t="shared" si="49"/>
        <v>-7.6063767708245086E-5</v>
      </c>
      <c r="AC67" s="171" t="str">
        <f t="shared" si="50"/>
        <v>20.6727059096934-0.936945178849534i</v>
      </c>
      <c r="AD67" s="190">
        <f t="shared" si="51"/>
        <v>26.31685846984244</v>
      </c>
      <c r="AE67" s="169">
        <f t="shared" si="52"/>
        <v>-2.5950299915026931</v>
      </c>
      <c r="AF67" s="98" t="str">
        <f t="shared" si="37"/>
        <v>-0.0000897803247373448</v>
      </c>
      <c r="AG67" s="98" t="str">
        <f t="shared" si="38"/>
        <v>0.000388337977128272i</v>
      </c>
      <c r="AH67" s="98">
        <f t="shared" si="53"/>
        <v>3.88337977128272E-4</v>
      </c>
      <c r="AI67" s="98">
        <f t="shared" si="54"/>
        <v>1.5707963267948966</v>
      </c>
      <c r="AJ67" s="98" t="str">
        <f t="shared" si="39"/>
        <v>1+0.045629712312572i</v>
      </c>
      <c r="AK67" s="98">
        <f t="shared" si="55"/>
        <v>1.0010404940089728</v>
      </c>
      <c r="AL67" s="98">
        <f t="shared" si="56"/>
        <v>4.5598083720098825E-2</v>
      </c>
      <c r="AM67" s="98" t="str">
        <f t="shared" si="40"/>
        <v>1+0.0912594246251441i</v>
      </c>
      <c r="AN67" s="98">
        <f t="shared" si="57"/>
        <v>1.0041555071715298</v>
      </c>
      <c r="AO67" s="98">
        <f t="shared" si="58"/>
        <v>9.1007338339878535E-2</v>
      </c>
      <c r="AP67" s="168" t="str">
        <f t="shared" si="59"/>
        <v>-0.010527269637546+0.231671560918815i</v>
      </c>
      <c r="AQ67" s="98">
        <f t="shared" si="60"/>
        <v>-12.69358727083654</v>
      </c>
      <c r="AR67" s="169">
        <f t="shared" si="61"/>
        <v>92.601758640548297</v>
      </c>
      <c r="AS67" s="168" t="str">
        <f t="shared" si="62"/>
        <v>-0.000563597169603247+4.79914152104763i</v>
      </c>
      <c r="AT67" s="190">
        <f t="shared" si="63"/>
        <v>13.623271199005906</v>
      </c>
      <c r="AU67" s="169">
        <f t="shared" si="64"/>
        <v>90.006728649045598</v>
      </c>
      <c r="AV67" s="225"/>
      <c r="AX67">
        <f t="shared" si="65"/>
        <v>0</v>
      </c>
      <c r="AY67">
        <f t="shared" si="66"/>
        <v>0</v>
      </c>
    </row>
    <row r="68" spans="1:51" x14ac:dyDescent="0.3">
      <c r="A68" s="214" t="str">
        <f>"Crossover Frequency = "&amp;B68</f>
        <v>Crossover Frequency = 0.2 kHz</v>
      </c>
      <c r="B68" t="str">
        <f>ROUND(D68,1)&amp;" kHz"</f>
        <v>0.2 kHz</v>
      </c>
      <c r="C68" s="215"/>
      <c r="D68" s="216">
        <f>AY12</f>
        <v>0.1513561248436209</v>
      </c>
      <c r="N68" s="170">
        <v>50</v>
      </c>
      <c r="O68" s="199">
        <f t="shared" si="41"/>
        <v>31.622776601683803</v>
      </c>
      <c r="P68" s="189" t="str">
        <f t="shared" si="32"/>
        <v>20.7142857142857</v>
      </c>
      <c r="Q68" s="160" t="str">
        <f t="shared" si="33"/>
        <v>1+0.0454152606436393i</v>
      </c>
      <c r="R68" s="160">
        <f t="shared" si="42"/>
        <v>1.0010307417354023</v>
      </c>
      <c r="S68" s="160">
        <f t="shared" si="43"/>
        <v>4.5384075540440084E-2</v>
      </c>
      <c r="T68" s="160" t="str">
        <f t="shared" si="34"/>
        <v>1+3.97383530631844E-06i</v>
      </c>
      <c r="U68" s="160">
        <f t="shared" si="44"/>
        <v>1.0000000000078957</v>
      </c>
      <c r="V68" s="160">
        <f t="shared" si="45"/>
        <v>3.9738353062975228E-6</v>
      </c>
      <c r="W68" s="98" t="str">
        <f t="shared" si="35"/>
        <v>1-0.00104313176790859i</v>
      </c>
      <c r="X68" s="160">
        <f t="shared" si="46"/>
        <v>1.0000005440617945</v>
      </c>
      <c r="Y68" s="160">
        <f t="shared" si="47"/>
        <v>-1.0431313895566399E-3</v>
      </c>
      <c r="Z68" s="98" t="str">
        <f t="shared" si="36"/>
        <v>0.999999916598903-0.00007783551441303i</v>
      </c>
      <c r="AA68" s="160">
        <f t="shared" si="48"/>
        <v>0.99999991962808676</v>
      </c>
      <c r="AB68" s="160">
        <f t="shared" si="49"/>
        <v>-7.7835520747412411E-5</v>
      </c>
      <c r="AC68" s="171" t="str">
        <f t="shared" si="50"/>
        <v>20.670750347309-0.958680623355537i</v>
      </c>
      <c r="AD68" s="190">
        <f t="shared" si="51"/>
        <v>26.316456370185179</v>
      </c>
      <c r="AE68" s="169">
        <f t="shared" si="52"/>
        <v>-2.6553956808427759</v>
      </c>
      <c r="AF68" s="98" t="str">
        <f t="shared" si="37"/>
        <v>-0.0000897803247373448</v>
      </c>
      <c r="AG68" s="98" t="str">
        <f t="shared" si="38"/>
        <v>0.000397383530631844i</v>
      </c>
      <c r="AH68" s="98">
        <f t="shared" si="53"/>
        <v>3.9738353063184398E-4</v>
      </c>
      <c r="AI68" s="98">
        <f t="shared" si="54"/>
        <v>1.5707963267948966</v>
      </c>
      <c r="AJ68" s="98" t="str">
        <f t="shared" si="39"/>
        <v>1+0.0466925648492417i</v>
      </c>
      <c r="AK68" s="98">
        <f t="shared" si="55"/>
        <v>1.0010895042962946</v>
      </c>
      <c r="AL68" s="98">
        <f t="shared" si="56"/>
        <v>4.6658676193545245E-2</v>
      </c>
      <c r="AM68" s="98" t="str">
        <f t="shared" si="40"/>
        <v>1+0.0933851296984836i</v>
      </c>
      <c r="AN68" s="98">
        <f t="shared" si="57"/>
        <v>1.0043509259461072</v>
      </c>
      <c r="AO68" s="98">
        <f t="shared" si="58"/>
        <v>9.3115077536081906E-2</v>
      </c>
      <c r="AP68" s="168" t="str">
        <f t="shared" si="59"/>
        <v>-0.0105262388967824+0.226420147418084i</v>
      </c>
      <c r="AQ68" s="98">
        <f t="shared" si="60"/>
        <v>-12.892322318757724</v>
      </c>
      <c r="AR68" s="169">
        <f t="shared" si="61"/>
        <v>92.661755728293258</v>
      </c>
      <c r="AS68" s="168" t="str">
        <f t="shared" si="62"/>
        <v>-0.000520648264500934+4.69036564214727i</v>
      </c>
      <c r="AT68" s="190">
        <f t="shared" si="63"/>
        <v>13.424134051427451</v>
      </c>
      <c r="AU68" s="169">
        <f t="shared" si="64"/>
        <v>90.006360047450485</v>
      </c>
      <c r="AV68" s="225"/>
      <c r="AX68">
        <f t="shared" si="65"/>
        <v>0</v>
      </c>
      <c r="AY68">
        <f t="shared" si="66"/>
        <v>0</v>
      </c>
    </row>
    <row r="69" spans="1:51" x14ac:dyDescent="0.3">
      <c r="A69" s="214" t="str">
        <f>"Phase Margin = "&amp;B69</f>
        <v>Phase Margin = 89°</v>
      </c>
      <c r="B69" s="217" t="str">
        <f>ROUND(D69,0)&amp;"°"</f>
        <v>89°</v>
      </c>
      <c r="C69" s="218"/>
      <c r="D69" s="23">
        <f>AY14</f>
        <v>88.958166475795935</v>
      </c>
      <c r="N69" s="170">
        <v>51</v>
      </c>
      <c r="O69" s="199">
        <f t="shared" si="41"/>
        <v>32.359365692962832</v>
      </c>
      <c r="P69" s="189" t="str">
        <f t="shared" si="32"/>
        <v>20.7142857142857</v>
      </c>
      <c r="Q69" s="160" t="str">
        <f t="shared" si="33"/>
        <v>1+0.04647311795924i</v>
      </c>
      <c r="R69" s="160">
        <f t="shared" si="42"/>
        <v>1.0010792929098342</v>
      </c>
      <c r="S69" s="160">
        <f t="shared" si="43"/>
        <v>4.6439704464551514E-2</v>
      </c>
      <c r="T69" s="160" t="str">
        <f t="shared" si="34"/>
        <v>1+0.0000040663978214335i</v>
      </c>
      <c r="U69" s="160">
        <f t="shared" si="44"/>
        <v>1.0000000000082678</v>
      </c>
      <c r="V69" s="160">
        <f t="shared" si="45"/>
        <v>4.0663978214110865E-6</v>
      </c>
      <c r="W69" s="98" t="str">
        <f t="shared" si="35"/>
        <v>1-0.00106742942812629i</v>
      </c>
      <c r="X69" s="160">
        <f t="shared" si="46"/>
        <v>1.0000005697026297</v>
      </c>
      <c r="Y69" s="160">
        <f t="shared" si="47"/>
        <v>-1.0674290227148835E-3</v>
      </c>
      <c r="Z69" s="98" t="str">
        <f t="shared" si="36"/>
        <v>0.999999912668331-0.0000796485364494212i</v>
      </c>
      <c r="AA69" s="160">
        <f t="shared" si="48"/>
        <v>0.99999991584027592</v>
      </c>
      <c r="AB69" s="160">
        <f t="shared" si="49"/>
        <v>-7.9648543236834213E-5</v>
      </c>
      <c r="AC69" s="171" t="str">
        <f t="shared" si="50"/>
        <v>20.6687030104088-0.980916017653268i</v>
      </c>
      <c r="AD69" s="190">
        <f t="shared" si="51"/>
        <v>26.316035360101925</v>
      </c>
      <c r="AE69" s="169">
        <f t="shared" si="52"/>
        <v>-2.7171617327801574</v>
      </c>
      <c r="AF69" s="98" t="str">
        <f t="shared" si="37"/>
        <v>-0.0000897803247373448</v>
      </c>
      <c r="AG69" s="98" t="str">
        <f t="shared" si="38"/>
        <v>0.000406639782143351i</v>
      </c>
      <c r="AH69" s="98">
        <f t="shared" si="53"/>
        <v>4.0663978214335099E-4</v>
      </c>
      <c r="AI69" s="98">
        <f t="shared" si="54"/>
        <v>1.5707963267948966</v>
      </c>
      <c r="AJ69" s="98" t="str">
        <f t="shared" si="39"/>
        <v>1+0.0477801744018436i</v>
      </c>
      <c r="AK69" s="98">
        <f t="shared" si="55"/>
        <v>1.0011408217957505</v>
      </c>
      <c r="AL69" s="98">
        <f t="shared" si="56"/>
        <v>4.7743864287480911E-2</v>
      </c>
      <c r="AM69" s="98" t="str">
        <f t="shared" si="40"/>
        <v>1+0.0955603488036875i</v>
      </c>
      <c r="AN69" s="98">
        <f t="shared" si="57"/>
        <v>1.0045555137788467</v>
      </c>
      <c r="AO69" s="98">
        <f t="shared" si="58"/>
        <v>9.527105352330216E-2</v>
      </c>
      <c r="AP69" s="168" t="str">
        <f t="shared" si="59"/>
        <v>-0.0105251597950165+0.221288780349273i</v>
      </c>
      <c r="AQ69" s="98">
        <f t="shared" si="60"/>
        <v>-13.090998411444154</v>
      </c>
      <c r="AR69" s="169">
        <f t="shared" si="61"/>
        <v>92.723107355332147</v>
      </c>
      <c r="AS69" s="168" t="str">
        <f t="shared" si="62"/>
        <v>-0.000475692768733604+4.584076378406i</v>
      </c>
      <c r="AT69" s="190">
        <f t="shared" si="63"/>
        <v>13.225036948657765</v>
      </c>
      <c r="AU69" s="169">
        <f t="shared" si="64"/>
        <v>90.005945622551991</v>
      </c>
      <c r="AV69" s="225"/>
      <c r="AX69">
        <f t="shared" si="65"/>
        <v>0</v>
      </c>
      <c r="AY69">
        <f t="shared" si="66"/>
        <v>0</v>
      </c>
    </row>
    <row r="70" spans="1:51" x14ac:dyDescent="0.3">
      <c r="N70" s="170">
        <v>52</v>
      </c>
      <c r="O70" s="199">
        <f t="shared" si="41"/>
        <v>33.113112148259127</v>
      </c>
      <c r="P70" s="189" t="str">
        <f t="shared" si="32"/>
        <v>20.7142857142857</v>
      </c>
      <c r="Q70" s="160" t="str">
        <f t="shared" si="33"/>
        <v>1+0.0475556159371273i</v>
      </c>
      <c r="R70" s="160">
        <f t="shared" si="42"/>
        <v>1.0011301297070025</v>
      </c>
      <c r="S70" s="160">
        <f t="shared" si="43"/>
        <v>4.7519814915006599E-2</v>
      </c>
      <c r="T70" s="160" t="str">
        <f t="shared" si="34"/>
        <v>1+4.16111639449864E-06i</v>
      </c>
      <c r="U70" s="160">
        <f t="shared" si="44"/>
        <v>1.0000000000086575</v>
      </c>
      <c r="V70" s="160">
        <f t="shared" si="45"/>
        <v>4.1611163944746229E-6</v>
      </c>
      <c r="W70" s="98" t="str">
        <f t="shared" si="35"/>
        <v>1-0.00109229305355589i</v>
      </c>
      <c r="X70" s="160">
        <f t="shared" si="46"/>
        <v>1.0000005965518795</v>
      </c>
      <c r="Y70" s="160">
        <f t="shared" si="47"/>
        <v>-1.0922926191497555E-3</v>
      </c>
      <c r="Z70" s="98" t="str">
        <f t="shared" si="36"/>
        <v>0.999999908552516-0.0000815037891941112i</v>
      </c>
      <c r="AA70" s="160">
        <f t="shared" si="48"/>
        <v>0.9999999118739501</v>
      </c>
      <c r="AB70" s="160">
        <f t="shared" si="49"/>
        <v>-8.1503796466955318E-5</v>
      </c>
      <c r="AC70" s="171" t="str">
        <f t="shared" si="50"/>
        <v>20.6665596111313-1.00366255628i</v>
      </c>
      <c r="AD70" s="190">
        <f t="shared" si="51"/>
        <v>26.315594552217128</v>
      </c>
      <c r="AE70" s="169">
        <f t="shared" si="52"/>
        <v>-2.7803603569839805</v>
      </c>
      <c r="AF70" s="98" t="str">
        <f t="shared" si="37"/>
        <v>-0.0000897803247373448</v>
      </c>
      <c r="AG70" s="98" t="str">
        <f t="shared" si="38"/>
        <v>0.000416111639449863i</v>
      </c>
      <c r="AH70" s="98">
        <f t="shared" si="53"/>
        <v>4.16111639449863E-4</v>
      </c>
      <c r="AI70" s="98">
        <f t="shared" si="54"/>
        <v>1.5707963267948966</v>
      </c>
      <c r="AJ70" s="98" t="str">
        <f t="shared" si="39"/>
        <v>1+0.048893117635359i</v>
      </c>
      <c r="AK70" s="98">
        <f t="shared" si="55"/>
        <v>1.0011945549952341</v>
      </c>
      <c r="AL70" s="98">
        <f t="shared" si="56"/>
        <v>4.885421315355621E-2</v>
      </c>
      <c r="AM70" s="98" t="str">
        <f t="shared" si="40"/>
        <v>1+0.0977862352707183i</v>
      </c>
      <c r="AN70" s="98">
        <f t="shared" si="57"/>
        <v>1.0047696988904573</v>
      </c>
      <c r="AO70" s="98">
        <f t="shared" si="58"/>
        <v>9.7476329212531534E-2</v>
      </c>
      <c r="AP70" s="168" t="str">
        <f t="shared" si="59"/>
        <v>-0.0105240300738615+0.216274738671347i</v>
      </c>
      <c r="AQ70" s="98">
        <f t="shared" si="60"/>
        <v>-13.289612833488679</v>
      </c>
      <c r="AR70" s="169">
        <f t="shared" si="61"/>
        <v>92.785842041174547</v>
      </c>
      <c r="AS70" s="168" t="str">
        <f t="shared" si="62"/>
        <v>-0.000428637797124182+4.48021735405954i</v>
      </c>
      <c r="AT70" s="190">
        <f t="shared" si="63"/>
        <v>13.02598171872846</v>
      </c>
      <c r="AU70" s="169">
        <f t="shared" si="64"/>
        <v>90.00548168419057</v>
      </c>
      <c r="AV70" s="225"/>
      <c r="AX70">
        <f t="shared" si="65"/>
        <v>0</v>
      </c>
      <c r="AY70">
        <f t="shared" si="66"/>
        <v>0</v>
      </c>
    </row>
    <row r="71" spans="1:51" x14ac:dyDescent="0.3">
      <c r="N71" s="170">
        <v>53</v>
      </c>
      <c r="O71" s="199">
        <f t="shared" si="41"/>
        <v>33.884415613920268</v>
      </c>
      <c r="P71" s="189" t="str">
        <f t="shared" si="32"/>
        <v>20.7142857142857</v>
      </c>
      <c r="Q71" s="160" t="str">
        <f t="shared" si="33"/>
        <v>1+0.0486633285320571i</v>
      </c>
      <c r="R71" s="160">
        <f t="shared" si="42"/>
        <v>1.0011833596019357</v>
      </c>
      <c r="S71" s="160">
        <f t="shared" si="43"/>
        <v>4.862496949414178E-2</v>
      </c>
      <c r="T71" s="160" t="str">
        <f t="shared" si="34"/>
        <v>1+0.000004258041246555i</v>
      </c>
      <c r="U71" s="160">
        <f t="shared" si="44"/>
        <v>1.0000000000090654</v>
      </c>
      <c r="V71" s="160">
        <f t="shared" si="45"/>
        <v>4.2580412465292665E-6</v>
      </c>
      <c r="W71" s="98" t="str">
        <f t="shared" si="35"/>
        <v>1-0.00111773582722068i</v>
      </c>
      <c r="X71" s="160">
        <f t="shared" si="46"/>
        <v>1.0000006246664945</v>
      </c>
      <c r="Y71" s="160">
        <f t="shared" si="47"/>
        <v>-1.1177353617461362E-3</v>
      </c>
      <c r="Z71" s="98" t="str">
        <f t="shared" si="36"/>
        <v>0.999999904242729-0.0000834022563266615i</v>
      </c>
      <c r="AA71" s="160">
        <f t="shared" si="48"/>
        <v>0.99999990772069747</v>
      </c>
      <c r="AB71" s="160">
        <f t="shared" si="49"/>
        <v>-8.3402264119654409E-5</v>
      </c>
      <c r="AC71" s="171" t="str">
        <f t="shared" si="50"/>
        <v>20.6643156631189-1.02693166255403i</v>
      </c>
      <c r="AD71" s="190">
        <f t="shared" si="51"/>
        <v>26.315133017704511</v>
      </c>
      <c r="AE71" s="169">
        <f t="shared" si="52"/>
        <v>-2.845024484278988</v>
      </c>
      <c r="AF71" s="98" t="str">
        <f t="shared" si="37"/>
        <v>-0.0000897803247373448</v>
      </c>
      <c r="AG71" s="98" t="str">
        <f t="shared" si="38"/>
        <v>0.000425804124655501i</v>
      </c>
      <c r="AH71" s="98">
        <f t="shared" si="53"/>
        <v>4.2580412465550099E-4</v>
      </c>
      <c r="AI71" s="98">
        <f t="shared" si="54"/>
        <v>1.5707963267948966</v>
      </c>
      <c r="AJ71" s="98" t="str">
        <f t="shared" si="39"/>
        <v>1+0.0500319846470213i</v>
      </c>
      <c r="AK71" s="98">
        <f t="shared" si="55"/>
        <v>1.0012508174716861</v>
      </c>
      <c r="AL71" s="98">
        <f t="shared" si="56"/>
        <v>4.9990300555845212E-2</v>
      </c>
      <c r="AM71" s="98" t="str">
        <f t="shared" si="40"/>
        <v>1+0.100063969294043i</v>
      </c>
      <c r="AN71" s="98">
        <f t="shared" si="57"/>
        <v>1.0049939293104606</v>
      </c>
      <c r="AO71" s="98">
        <f t="shared" si="58"/>
        <v>9.973198802463186E-2</v>
      </c>
      <c r="AP71" s="168" t="str">
        <f t="shared" si="59"/>
        <v>-0.0105228473704909+0.211375363527875i</v>
      </c>
      <c r="AQ71" s="98">
        <f t="shared" si="60"/>
        <v>-13.48816274750477</v>
      </c>
      <c r="AR71" s="169">
        <f t="shared" si="61"/>
        <v>92.849988757820228</v>
      </c>
      <c r="AS71" s="168" t="str">
        <f t="shared" si="62"/>
        <v>-0.000379386248001518+4.3787334804915i</v>
      </c>
      <c r="AT71" s="190">
        <f t="shared" si="63"/>
        <v>12.826970270199745</v>
      </c>
      <c r="AU71" s="169">
        <f t="shared" si="64"/>
        <v>90.004964273541248</v>
      </c>
      <c r="AV71" s="225"/>
      <c r="AX71">
        <f t="shared" si="65"/>
        <v>0</v>
      </c>
      <c r="AY71">
        <f t="shared" si="66"/>
        <v>0</v>
      </c>
    </row>
    <row r="72" spans="1:51" x14ac:dyDescent="0.3">
      <c r="N72" s="170">
        <v>54</v>
      </c>
      <c r="O72" s="199">
        <f t="shared" si="41"/>
        <v>34.67368504525318</v>
      </c>
      <c r="P72" s="189" t="str">
        <f t="shared" si="32"/>
        <v>20.7142857142857</v>
      </c>
      <c r="Q72" s="160" t="str">
        <f t="shared" si="33"/>
        <v>1+0.0497968430679102i</v>
      </c>
      <c r="R72" s="160">
        <f t="shared" si="42"/>
        <v>1.0012390951114174</v>
      </c>
      <c r="S72" s="160">
        <f t="shared" si="43"/>
        <v>4.9755743365014808E-2</v>
      </c>
      <c r="T72" s="160" t="str">
        <f t="shared" si="34"/>
        <v>1+4.35722376844214E-06i</v>
      </c>
      <c r="U72" s="160">
        <f t="shared" si="44"/>
        <v>1.0000000000094929</v>
      </c>
      <c r="V72" s="160">
        <f t="shared" si="45"/>
        <v>4.3572237684145661E-6</v>
      </c>
      <c r="W72" s="98" t="str">
        <f t="shared" si="35"/>
        <v>1-0.00114377123921606i</v>
      </c>
      <c r="X72" s="160">
        <f t="shared" si="46"/>
        <v>1.0000006541061099</v>
      </c>
      <c r="Y72" s="160">
        <f t="shared" si="47"/>
        <v>-1.1437707404511176E-3</v>
      </c>
      <c r="Z72" s="98" t="str">
        <f t="shared" si="36"/>
        <v>0.999999899729828-0.0000853449444394759i</v>
      </c>
      <c r="AA72" s="160">
        <f t="shared" si="48"/>
        <v>0.99999990337170797</v>
      </c>
      <c r="AB72" s="160">
        <f t="shared" si="49"/>
        <v>-8.5344952789818276E-5</v>
      </c>
      <c r="AC72" s="171" t="str">
        <f t="shared" si="50"/>
        <v>20.6619664725054-1.05073499164945i</v>
      </c>
      <c r="AD72" s="190">
        <f t="shared" si="51"/>
        <v>26.314649784368701</v>
      </c>
      <c r="AE72" s="169">
        <f t="shared" si="52"/>
        <v>-2.9111877813798852</v>
      </c>
      <c r="AF72" s="98" t="str">
        <f t="shared" si="37"/>
        <v>-0.0000897803247373448</v>
      </c>
      <c r="AG72" s="98" t="str">
        <f t="shared" si="38"/>
        <v>0.000435722376844215i</v>
      </c>
      <c r="AH72" s="98">
        <f t="shared" si="53"/>
        <v>4.35722376844215E-4</v>
      </c>
      <c r="AI72" s="98">
        <f t="shared" si="54"/>
        <v>1.5707963267948966</v>
      </c>
      <c r="AJ72" s="98" t="str">
        <f t="shared" si="39"/>
        <v>1+0.0511973792791952i</v>
      </c>
      <c r="AK72" s="98">
        <f t="shared" si="55"/>
        <v>1.0013097281286434</v>
      </c>
      <c r="AL72" s="98">
        <f t="shared" si="56"/>
        <v>5.1152717125528498E-2</v>
      </c>
      <c r="AM72" s="98" t="str">
        <f t="shared" si="40"/>
        <v>1+0.102394758558391i</v>
      </c>
      <c r="AN72" s="98">
        <f t="shared" si="57"/>
        <v>1.0052286737753908</v>
      </c>
      <c r="AO72" s="98">
        <f t="shared" si="58"/>
        <v>0.10203913407507732</v>
      </c>
      <c r="AP72" s="168" t="str">
        <f t="shared" si="59"/>
        <v>-0.0105216092129088+0.206588056835661i</v>
      </c>
      <c r="AQ72" s="98">
        <f t="shared" si="60"/>
        <v>-13.686645188942579</v>
      </c>
      <c r="AR72" s="169">
        <f t="shared" si="61"/>
        <v>92.915576925752106</v>
      </c>
      <c r="AS72" s="168" t="str">
        <f t="shared" si="62"/>
        <v>-0.000327836619831212+4.27957092692693i</v>
      </c>
      <c r="AT72" s="190">
        <f t="shared" si="63"/>
        <v>12.628004595426116</v>
      </c>
      <c r="AU72" s="169">
        <f t="shared" si="64"/>
        <v>90.004389144372212</v>
      </c>
      <c r="AV72" s="225"/>
      <c r="AX72">
        <f t="shared" si="65"/>
        <v>0</v>
      </c>
      <c r="AY72">
        <f t="shared" si="66"/>
        <v>0</v>
      </c>
    </row>
    <row r="73" spans="1:51" x14ac:dyDescent="0.3">
      <c r="N73" s="170">
        <v>55</v>
      </c>
      <c r="O73" s="199">
        <f t="shared" si="41"/>
        <v>35.481338923357555</v>
      </c>
      <c r="P73" s="189" t="str">
        <f t="shared" si="32"/>
        <v>20.7142857142857</v>
      </c>
      <c r="Q73" s="160" t="str">
        <f t="shared" si="33"/>
        <v>1+0.0509567605490969i</v>
      </c>
      <c r="R73" s="160">
        <f t="shared" si="42"/>
        <v>1.0012974540293498</v>
      </c>
      <c r="S73" s="160">
        <f t="shared" si="43"/>
        <v>5.0912724505419941E-2</v>
      </c>
      <c r="T73" s="160" t="str">
        <f t="shared" si="34"/>
        <v>1+4.45871654804598E-06i</v>
      </c>
      <c r="U73" s="160">
        <f t="shared" si="44"/>
        <v>1.00000000000994</v>
      </c>
      <c r="V73" s="160">
        <f t="shared" si="45"/>
        <v>4.4587165480164329E-6</v>
      </c>
      <c r="W73" s="98" t="str">
        <f t="shared" si="35"/>
        <v>1-0.00117041309386207i</v>
      </c>
      <c r="X73" s="160">
        <f t="shared" si="46"/>
        <v>1.0000006849331706</v>
      </c>
      <c r="Y73" s="160">
        <f t="shared" si="47"/>
        <v>-1.1704125594258253E-3</v>
      </c>
      <c r="Z73" s="98" t="str">
        <f t="shared" si="36"/>
        <v>0.99999989500424-0.000087332883571506i</v>
      </c>
      <c r="AA73" s="160">
        <f t="shared" si="48"/>
        <v>0.99999989881775664</v>
      </c>
      <c r="AB73" s="160">
        <f t="shared" si="49"/>
        <v>-8.7332892519059117E-5</v>
      </c>
      <c r="AC73" s="171" t="str">
        <f t="shared" si="50"/>
        <v>20.6595071285121-1.07508443358501i</v>
      </c>
      <c r="AD73" s="190">
        <f t="shared" si="51"/>
        <v>26.314143834640156</v>
      </c>
      <c r="AE73" s="169">
        <f t="shared" si="52"/>
        <v>-2.9788846658227661</v>
      </c>
      <c r="AF73" s="98" t="str">
        <f t="shared" si="37"/>
        <v>-0.0000897803247373448</v>
      </c>
      <c r="AG73" s="98" t="str">
        <f t="shared" si="38"/>
        <v>0.000445871654804599i</v>
      </c>
      <c r="AH73" s="98">
        <f t="shared" si="53"/>
        <v>4.4587165480459903E-4</v>
      </c>
      <c r="AI73" s="98">
        <f t="shared" si="54"/>
        <v>1.5707963267948966</v>
      </c>
      <c r="AJ73" s="98" t="str">
        <f t="shared" si="39"/>
        <v>1+0.0523899194395403i</v>
      </c>
      <c r="AK73" s="98">
        <f t="shared" si="55"/>
        <v>1.0013714114447654</v>
      </c>
      <c r="AL73" s="98">
        <f t="shared" si="56"/>
        <v>5.2342066618751286E-2</v>
      </c>
      <c r="AM73" s="98" t="str">
        <f t="shared" si="40"/>
        <v>1+0.104779838879081i</v>
      </c>
      <c r="AN73" s="98">
        <f t="shared" si="57"/>
        <v>1.005474422666</v>
      </c>
      <c r="AO73" s="98">
        <f t="shared" si="58"/>
        <v>0.10439889234333188</v>
      </c>
      <c r="AP73" s="168" t="str">
        <f t="shared" si="59"/>
        <v>-0.0105203130150132+0.201910279905476i</v>
      </c>
      <c r="AQ73" s="98">
        <f t="shared" si="60"/>
        <v>-13.885057060713606</v>
      </c>
      <c r="AR73" s="169">
        <f t="shared" si="61"/>
        <v>92.982636408866512</v>
      </c>
      <c r="AS73" s="168" t="str">
        <f t="shared" si="62"/>
        <v>-0.000273882820674337+4.18267709178594i</v>
      </c>
      <c r="AT73" s="190">
        <f t="shared" si="63"/>
        <v>12.429086773926555</v>
      </c>
      <c r="AU73" s="169">
        <f t="shared" si="64"/>
        <v>90.003751743043736</v>
      </c>
      <c r="AV73" s="225"/>
      <c r="AX73">
        <f t="shared" si="65"/>
        <v>0</v>
      </c>
      <c r="AY73">
        <f t="shared" si="66"/>
        <v>0</v>
      </c>
    </row>
    <row r="74" spans="1:51" x14ac:dyDescent="0.3">
      <c r="N74" s="170">
        <v>56</v>
      </c>
      <c r="O74" s="199">
        <f t="shared" si="41"/>
        <v>36.307805477010156</v>
      </c>
      <c r="P74" s="189" t="str">
        <f t="shared" si="32"/>
        <v>20.7142857142857</v>
      </c>
      <c r="Q74" s="160" t="str">
        <f t="shared" si="33"/>
        <v>1+0.0521436959792194i</v>
      </c>
      <c r="R74" s="160">
        <f t="shared" si="42"/>
        <v>1.0013585596729941</v>
      </c>
      <c r="S74" s="160">
        <f t="shared" si="43"/>
        <v>5.2096513965108351E-2</v>
      </c>
      <c r="T74" s="160" t="str">
        <f t="shared" si="34"/>
        <v>1+0.0000045625733981817i</v>
      </c>
      <c r="U74" s="160">
        <f t="shared" si="44"/>
        <v>1.0000000000104086</v>
      </c>
      <c r="V74" s="160">
        <f t="shared" si="45"/>
        <v>4.5625733981500405E-6</v>
      </c>
      <c r="W74" s="98" t="str">
        <f t="shared" si="35"/>
        <v>1-0.00119767551702269i</v>
      </c>
      <c r="X74" s="160">
        <f t="shared" si="46"/>
        <v>1.0000007172130649</v>
      </c>
      <c r="Y74" s="160">
        <f t="shared" si="47"/>
        <v>-1.1976749443639585E-3</v>
      </c>
      <c r="Z74" s="98" t="str">
        <f t="shared" si="36"/>
        <v>0.999999890055942-0.0000893671277543934i</v>
      </c>
      <c r="AA74" s="160">
        <f t="shared" si="48"/>
        <v>0.99999989404918421</v>
      </c>
      <c r="AB74" s="160">
        <f t="shared" si="49"/>
        <v>-8.9367137341869377E-5</v>
      </c>
      <c r="AC74" s="171" t="str">
        <f t="shared" si="50"/>
        <v>20.6569324936377-1.09999211611483i</v>
      </c>
      <c r="AD74" s="190">
        <f t="shared" si="51"/>
        <v>26.313614103479829</v>
      </c>
      <c r="AE74" s="169">
        <f t="shared" si="52"/>
        <v>-3.0481503210893965</v>
      </c>
      <c r="AF74" s="98" t="str">
        <f t="shared" si="37"/>
        <v>-0.0000897803247373448</v>
      </c>
      <c r="AG74" s="98" t="str">
        <f t="shared" si="38"/>
        <v>0.00045625733981817i</v>
      </c>
      <c r="AH74" s="98">
        <f t="shared" si="53"/>
        <v>4.5625733981816997E-4</v>
      </c>
      <c r="AI74" s="98">
        <f t="shared" si="54"/>
        <v>1.5707963267948966</v>
      </c>
      <c r="AJ74" s="98" t="str">
        <f t="shared" si="39"/>
        <v>1+0.053610237428635i</v>
      </c>
      <c r="AK74" s="98">
        <f t="shared" si="55"/>
        <v>1.0014359977338316</v>
      </c>
      <c r="AL74" s="98">
        <f t="shared" si="56"/>
        <v>5.3558966177545277E-2</v>
      </c>
      <c r="AM74" s="98" t="str">
        <f t="shared" si="40"/>
        <v>1+0.10722047485727i</v>
      </c>
      <c r="AN74" s="98">
        <f t="shared" si="57"/>
        <v>1.005731688984999</v>
      </c>
      <c r="AO74" s="98">
        <f t="shared" si="58"/>
        <v>0.10681240882526297</v>
      </c>
      <c r="AP74" s="168" t="str">
        <f t="shared" si="59"/>
        <v>-0.0105189560714475+0.197339552094162i</v>
      </c>
      <c r="AQ74" s="98">
        <f t="shared" si="60"/>
        <v>-14.083395127619367</v>
      </c>
      <c r="AR74" s="169">
        <f t="shared" si="61"/>
        <v>93.051197508256209</v>
      </c>
      <c r="AS74" s="168" t="str">
        <f t="shared" si="62"/>
        <v>-0.000217413970221431+4.08800057468216i</v>
      </c>
      <c r="AT74" s="190">
        <f t="shared" si="63"/>
        <v>12.230218975860467</v>
      </c>
      <c r="AU74" s="169">
        <f t="shared" si="64"/>
        <v>90.003047187166814</v>
      </c>
      <c r="AV74" s="225"/>
      <c r="AX74">
        <f t="shared" si="65"/>
        <v>0</v>
      </c>
      <c r="AY74">
        <f t="shared" si="66"/>
        <v>0</v>
      </c>
    </row>
    <row r="75" spans="1:51" x14ac:dyDescent="0.3">
      <c r="N75" s="170">
        <v>57</v>
      </c>
      <c r="O75" s="199">
        <f t="shared" si="41"/>
        <v>37.15352290971726</v>
      </c>
      <c r="P75" s="189" t="str">
        <f t="shared" si="32"/>
        <v>20.7142857142857</v>
      </c>
      <c r="Q75" s="160" t="str">
        <f t="shared" si="33"/>
        <v>1+0.0533582786871534i</v>
      </c>
      <c r="R75" s="160">
        <f t="shared" si="42"/>
        <v>1.0014225411405797</v>
      </c>
      <c r="S75" s="160">
        <f t="shared" si="43"/>
        <v>5.3307726126091491E-2</v>
      </c>
      <c r="T75" s="160" t="str">
        <f t="shared" si="34"/>
        <v>1+4.66884938512592E-06i</v>
      </c>
      <c r="U75" s="160">
        <f t="shared" si="44"/>
        <v>1.0000000000108991</v>
      </c>
      <c r="V75" s="160">
        <f t="shared" si="45"/>
        <v>4.6688493850919954E-6</v>
      </c>
      <c r="W75" s="98" t="str">
        <f t="shared" si="35"/>
        <v>1-0.00122557296359555i</v>
      </c>
      <c r="X75" s="160">
        <f t="shared" si="46"/>
        <v>1.0000007510142626</v>
      </c>
      <c r="Y75" s="160">
        <f t="shared" si="47"/>
        <v>-1.225572349980689E-3</v>
      </c>
      <c r="Z75" s="98" t="str">
        <f t="shared" si="36"/>
        <v>0.999999884874438-0.0000914487555713296i</v>
      </c>
      <c r="AA75" s="160">
        <f t="shared" si="48"/>
        <v>0.99999988905587589</v>
      </c>
      <c r="AB75" s="160">
        <f t="shared" si="49"/>
        <v>-9.1448765844495279E-5</v>
      </c>
      <c r="AC75" s="171" t="str">
        <f t="shared" si="50"/>
        <v>20.6542371934223-1.12547040750647i</v>
      </c>
      <c r="AD75" s="190">
        <f t="shared" si="51"/>
        <v>26.313059476187949</v>
      </c>
      <c r="AE75" s="169">
        <f t="shared" si="52"/>
        <v>-3.1190207119166451</v>
      </c>
      <c r="AF75" s="98" t="str">
        <f t="shared" si="37"/>
        <v>-0.0000897803247373448</v>
      </c>
      <c r="AG75" s="98" t="str">
        <f t="shared" si="38"/>
        <v>0.000466884938512591i</v>
      </c>
      <c r="AH75" s="98">
        <f t="shared" si="53"/>
        <v>4.6688493851259098E-4</v>
      </c>
      <c r="AI75" s="98">
        <f t="shared" si="54"/>
        <v>1.5707963267948966</v>
      </c>
      <c r="AJ75" s="98" t="str">
        <f t="shared" si="39"/>
        <v>1+0.0548589802752296i</v>
      </c>
      <c r="AK75" s="98">
        <f t="shared" si="55"/>
        <v>1.0015036234167294</v>
      </c>
      <c r="AL75" s="98">
        <f t="shared" si="56"/>
        <v>5.4804046593675895E-2</v>
      </c>
      <c r="AM75" s="98" t="str">
        <f t="shared" si="40"/>
        <v>1+0.109717960550459i</v>
      </c>
      <c r="AN75" s="98">
        <f t="shared" si="57"/>
        <v>1.0060010093769052</v>
      </c>
      <c r="AO75" s="98">
        <f t="shared" si="58"/>
        <v>0.10928085066685804</v>
      </c>
      <c r="AP75" s="168" t="str">
        <f t="shared" si="59"/>
        <v>-0.0105175355522314+0.192873449487397i</v>
      </c>
      <c r="AQ75" s="98">
        <f t="shared" si="60"/>
        <v>-14.281656010579555</v>
      </c>
      <c r="AR75" s="169">
        <f t="shared" si="61"/>
        <v>93.121290954754414</v>
      </c>
      <c r="AS75" s="168" t="str">
        <f t="shared" si="62"/>
        <v>-0.000158314194279863+3.99549114905019i</v>
      </c>
      <c r="AT75" s="190">
        <f t="shared" si="63"/>
        <v>12.031403465608403</v>
      </c>
      <c r="AU75" s="169">
        <f t="shared" si="64"/>
        <v>90.002270242837767</v>
      </c>
      <c r="AV75" s="225"/>
      <c r="AX75">
        <f t="shared" si="65"/>
        <v>0</v>
      </c>
      <c r="AY75">
        <f t="shared" si="66"/>
        <v>0</v>
      </c>
    </row>
    <row r="76" spans="1:51" x14ac:dyDescent="0.3">
      <c r="N76" s="170">
        <v>58</v>
      </c>
      <c r="O76" s="199">
        <f t="shared" si="41"/>
        <v>38.018939632056139</v>
      </c>
      <c r="P76" s="189" t="str">
        <f t="shared" si="32"/>
        <v>20.7142857142857</v>
      </c>
      <c r="Q76" s="160" t="str">
        <f t="shared" si="33"/>
        <v>1+0.0546011526607275i</v>
      </c>
      <c r="R76" s="160">
        <f t="shared" si="42"/>
        <v>1.0014895335807958</v>
      </c>
      <c r="S76" s="160">
        <f t="shared" si="43"/>
        <v>5.4546988965902994E-2</v>
      </c>
      <c r="T76" s="160" t="str">
        <f t="shared" si="34"/>
        <v>1+4.77760085781366E-06i</v>
      </c>
      <c r="U76" s="160">
        <f t="shared" si="44"/>
        <v>1.0000000000114126</v>
      </c>
      <c r="V76" s="160">
        <f t="shared" si="45"/>
        <v>4.7776008577773093E-6</v>
      </c>
      <c r="W76" s="98" t="str">
        <f t="shared" si="35"/>
        <v>1-0.00125412022517608i</v>
      </c>
      <c r="X76" s="160">
        <f t="shared" si="46"/>
        <v>1.0000007864084604</v>
      </c>
      <c r="Y76" s="160">
        <f t="shared" si="47"/>
        <v>-1.2541195676759385E-3</v>
      </c>
      <c r="Z76" s="98" t="str">
        <f t="shared" si="36"/>
        <v>0.999999879448738-0.0000935788707289371i</v>
      </c>
      <c r="AA76" s="160">
        <f t="shared" si="48"/>
        <v>0.99999988382724103</v>
      </c>
      <c r="AB76" s="160">
        <f t="shared" si="49"/>
        <v>-9.3578881736832451E-5</v>
      </c>
      <c r="AC76" s="171" t="str">
        <f t="shared" si="50"/>
        <v>20.6514156057748-1.15153191919226i</v>
      </c>
      <c r="AD76" s="190">
        <f t="shared" si="51"/>
        <v>26.312478786115289</v>
      </c>
      <c r="AE76" s="169">
        <f t="shared" si="52"/>
        <v>-3.1915325997850972</v>
      </c>
      <c r="AF76" s="98" t="str">
        <f t="shared" si="37"/>
        <v>-0.0000897803247373448</v>
      </c>
      <c r="AG76" s="98" t="str">
        <f t="shared" si="38"/>
        <v>0.000477760085781366i</v>
      </c>
      <c r="AH76" s="98">
        <f t="shared" si="53"/>
        <v>4.7776008578136599E-4</v>
      </c>
      <c r="AI76" s="98">
        <f t="shared" si="54"/>
        <v>1.5707963267948966</v>
      </c>
      <c r="AJ76" s="98" t="str">
        <f t="shared" si="39"/>
        <v>1+0.0561368100793105i</v>
      </c>
      <c r="AK76" s="98">
        <f t="shared" si="55"/>
        <v>1.0015744313059718</v>
      </c>
      <c r="AL76" s="98">
        <f t="shared" si="56"/>
        <v>5.6077952575268479E-2</v>
      </c>
      <c r="AM76" s="98" t="str">
        <f t="shared" si="40"/>
        <v>1+0.112273620158621i</v>
      </c>
      <c r="AN76" s="98">
        <f t="shared" si="57"/>
        <v>1.0062829451916206</v>
      </c>
      <c r="AO76" s="98">
        <f t="shared" si="58"/>
        <v>0.11180540627741739</v>
      </c>
      <c r="AP76" s="168" t="str">
        <f t="shared" si="59"/>
        <v>-0.0105160484971621+0.188509603612376i</v>
      </c>
      <c r="AQ76" s="98">
        <f t="shared" si="60"/>
        <v>-14.479836180657465</v>
      </c>
      <c r="AR76" s="169">
        <f t="shared" si="61"/>
        <v>93.192947900143835</v>
      </c>
      <c r="AS76" s="168" t="str">
        <f t="shared" si="62"/>
        <v>-0.0000964624114465074+3.9050997353873i</v>
      </c>
      <c r="AT76" s="190">
        <f t="shared" si="63"/>
        <v>11.832642605457826</v>
      </c>
      <c r="AU76" s="169">
        <f t="shared" si="64"/>
        <v>90.00141530035873</v>
      </c>
      <c r="AV76" s="225"/>
      <c r="AX76">
        <f t="shared" si="65"/>
        <v>0</v>
      </c>
      <c r="AY76">
        <f t="shared" si="66"/>
        <v>0</v>
      </c>
    </row>
    <row r="77" spans="1:51" x14ac:dyDescent="0.3">
      <c r="N77" s="170">
        <v>59</v>
      </c>
      <c r="O77" s="199">
        <f t="shared" si="41"/>
        <v>38.904514499428053</v>
      </c>
      <c r="P77" s="189" t="str">
        <f t="shared" si="32"/>
        <v>20.7142857142857</v>
      </c>
      <c r="Q77" s="160" t="str">
        <f t="shared" si="33"/>
        <v>1+0.0558729768881742i</v>
      </c>
      <c r="R77" s="160">
        <f t="shared" si="42"/>
        <v>1.001559678474701</v>
      </c>
      <c r="S77" s="160">
        <f t="shared" si="43"/>
        <v>5.5814944323669013E-2</v>
      </c>
      <c r="T77" s="160" t="str">
        <f t="shared" si="34"/>
        <v>1+4.88888547771524E-06i</v>
      </c>
      <c r="U77" s="160">
        <f t="shared" si="44"/>
        <v>1.0000000000119504</v>
      </c>
      <c r="V77" s="160">
        <f t="shared" si="45"/>
        <v>4.8888854776762902E-6</v>
      </c>
      <c r="W77" s="98" t="str">
        <f t="shared" si="35"/>
        <v>1-0.00128333243790025i</v>
      </c>
      <c r="X77" s="160">
        <f t="shared" si="46"/>
        <v>1.000000823470734</v>
      </c>
      <c r="Y77" s="160">
        <f t="shared" si="47"/>
        <v>-1.2833317333761864E-3</v>
      </c>
      <c r="Z77" s="98" t="str">
        <f t="shared" si="36"/>
        <v>0.999999873767332-0.000095758602642468i</v>
      </c>
      <c r="AA77" s="160">
        <f t="shared" si="48"/>
        <v>0.99999987835218751</v>
      </c>
      <c r="AB77" s="160">
        <f t="shared" si="49"/>
        <v>-9.5758614437640443E-5</v>
      </c>
      <c r="AC77" s="171" t="str">
        <f t="shared" si="50"/>
        <v>20.6484618498428-1.17818950827738i</v>
      </c>
      <c r="AD77" s="190">
        <f t="shared" si="51"/>
        <v>26.311870812270769</v>
      </c>
      <c r="AE77" s="169">
        <f t="shared" si="52"/>
        <v>-3.2657235585779025</v>
      </c>
      <c r="AF77" s="98" t="str">
        <f t="shared" si="37"/>
        <v>-0.0000897803247373448</v>
      </c>
      <c r="AG77" s="98" t="str">
        <f t="shared" si="38"/>
        <v>0.000488888547771523i</v>
      </c>
      <c r="AH77" s="98">
        <f t="shared" si="53"/>
        <v>4.8888854777152295E-4</v>
      </c>
      <c r="AI77" s="98">
        <f t="shared" si="54"/>
        <v>1.5707963267948966</v>
      </c>
      <c r="AJ77" s="98" t="str">
        <f t="shared" si="39"/>
        <v>1+0.0574444043631541i</v>
      </c>
      <c r="AK77" s="98">
        <f t="shared" si="55"/>
        <v>1.0016485709033072</v>
      </c>
      <c r="AL77" s="98">
        <f t="shared" si="56"/>
        <v>5.7381343016041093E-2</v>
      </c>
      <c r="AM77" s="98" t="str">
        <f t="shared" si="40"/>
        <v>1+0.114888808726308i</v>
      </c>
      <c r="AN77" s="98">
        <f t="shared" si="57"/>
        <v>1.0065780835933944</v>
      </c>
      <c r="AO77" s="98">
        <f t="shared" si="58"/>
        <v>0.11438728542025889</v>
      </c>
      <c r="AP77" s="168" t="str">
        <f t="shared" si="59"/>
        <v>-0.0105144918099771+0.184245700179765i</v>
      </c>
      <c r="AQ77" s="98">
        <f t="shared" si="60"/>
        <v>-14.677931952877261</v>
      </c>
      <c r="AR77" s="169">
        <f t="shared" si="61"/>
        <v>93.266199906927525</v>
      </c>
      <c r="AS77" s="168" t="str">
        <f t="shared" si="62"/>
        <v>-0.0000317321117778435+3.81677837509484i</v>
      </c>
      <c r="AT77" s="190">
        <f t="shared" si="63"/>
        <v>11.633938859393515</v>
      </c>
      <c r="AU77" s="169">
        <f t="shared" si="64"/>
        <v>90.000476348349622</v>
      </c>
      <c r="AV77" s="225"/>
      <c r="AX77">
        <f t="shared" si="65"/>
        <v>0</v>
      </c>
      <c r="AY77">
        <f t="shared" si="66"/>
        <v>0</v>
      </c>
    </row>
    <row r="78" spans="1:51" x14ac:dyDescent="0.3">
      <c r="N78" s="170">
        <v>60</v>
      </c>
      <c r="O78" s="199">
        <f t="shared" si="41"/>
        <v>39.810717055349755</v>
      </c>
      <c r="P78" s="189" t="str">
        <f t="shared" si="32"/>
        <v>20.7142857142857</v>
      </c>
      <c r="Q78" s="160" t="str">
        <f t="shared" si="33"/>
        <v>1+0.057174425707533i</v>
      </c>
      <c r="R78" s="160">
        <f t="shared" si="42"/>
        <v>1.0016331239306069</v>
      </c>
      <c r="S78" s="160">
        <f t="shared" si="43"/>
        <v>5.711224816882126E-2</v>
      </c>
      <c r="T78" s="160" t="str">
        <f t="shared" si="34"/>
        <v>1+5.00276224940914E-06i</v>
      </c>
      <c r="U78" s="160">
        <f t="shared" si="44"/>
        <v>1.0000000000125138</v>
      </c>
      <c r="V78" s="160">
        <f t="shared" si="45"/>
        <v>5.0027622493674043E-6</v>
      </c>
      <c r="W78" s="98" t="str">
        <f t="shared" si="35"/>
        <v>1-0.0013132250904699i</v>
      </c>
      <c r="X78" s="160">
        <f t="shared" si="46"/>
        <v>1.0000008622796974</v>
      </c>
      <c r="Y78" s="160">
        <f t="shared" si="47"/>
        <v>-1.3132243355587999E-3</v>
      </c>
      <c r="Z78" s="98" t="str">
        <f t="shared" si="36"/>
        <v>0.99999986781817-0.0000979891070346346i</v>
      </c>
      <c r="AA78" s="160">
        <f t="shared" si="48"/>
        <v>0.99999987261910317</v>
      </c>
      <c r="AB78" s="160">
        <f t="shared" si="49"/>
        <v>-9.798911967338962E-5</v>
      </c>
      <c r="AC78" s="171" t="str">
        <f t="shared" si="50"/>
        <v>20.6453697744088-1.20545627988739i</v>
      </c>
      <c r="AD78" s="190">
        <f t="shared" si="51"/>
        <v>26.311234276821509</v>
      </c>
      <c r="AE78" s="169">
        <f t="shared" si="52"/>
        <v>-3.3416319904003453</v>
      </c>
      <c r="AF78" s="98" t="str">
        <f t="shared" si="37"/>
        <v>-0.0000897803247373448</v>
      </c>
      <c r="AG78" s="98" t="str">
        <f t="shared" si="38"/>
        <v>0.000500276224940915i</v>
      </c>
      <c r="AH78" s="98">
        <f t="shared" si="53"/>
        <v>5.0027622494091498E-4</v>
      </c>
      <c r="AI78" s="98">
        <f t="shared" si="54"/>
        <v>1.5707963267948966</v>
      </c>
      <c r="AJ78" s="98" t="str">
        <f t="shared" si="39"/>
        <v>1+0.0587824564305574i</v>
      </c>
      <c r="AK78" s="98">
        <f t="shared" si="55"/>
        <v>1.0017261987110102</v>
      </c>
      <c r="AL78" s="98">
        <f t="shared" si="56"/>
        <v>5.8714891266956191E-2</v>
      </c>
      <c r="AM78" s="98" t="str">
        <f t="shared" si="40"/>
        <v>1+0.117564912861115i</v>
      </c>
      <c r="AN78" s="98">
        <f t="shared" si="57"/>
        <v>1.0068870387168769</v>
      </c>
      <c r="AO78" s="98">
        <f t="shared" si="58"/>
        <v>0.11702771927885602</v>
      </c>
      <c r="AP78" s="168" t="str">
        <f t="shared" si="59"/>
        <v>-0.0105128622522729+0.180079477854219i</v>
      </c>
      <c r="AQ78" s="98">
        <f t="shared" si="60"/>
        <v>-14.87593947983131</v>
      </c>
      <c r="AR78" s="169">
        <f t="shared" si="61"/>
        <v>93.341078936554098</v>
      </c>
      <c r="AS78" s="168" t="str">
        <f t="shared" si="62"/>
        <v>0.0000360088726123198+3.7304802049044i</v>
      </c>
      <c r="AT78" s="190">
        <f t="shared" si="63"/>
        <v>11.435294796990188</v>
      </c>
      <c r="AU78" s="169">
        <f t="shared" si="64"/>
        <v>89.999446946153753</v>
      </c>
      <c r="AV78" s="225"/>
      <c r="AX78">
        <f t="shared" si="65"/>
        <v>0</v>
      </c>
      <c r="AY78">
        <f t="shared" si="66"/>
        <v>0</v>
      </c>
    </row>
    <row r="79" spans="1:51" x14ac:dyDescent="0.3">
      <c r="N79" s="170">
        <v>61</v>
      </c>
      <c r="O79" s="199">
        <f t="shared" si="41"/>
        <v>40.738027780411279</v>
      </c>
      <c r="P79" s="189" t="str">
        <f t="shared" si="32"/>
        <v>20.7142857142857</v>
      </c>
      <c r="Q79" s="160" t="str">
        <f t="shared" si="33"/>
        <v>1+0.0585061891641952i</v>
      </c>
      <c r="R79" s="160">
        <f t="shared" si="42"/>
        <v>1.0017100249925208</v>
      </c>
      <c r="S79" s="160">
        <f t="shared" si="43"/>
        <v>5.8439570872272598E-2</v>
      </c>
      <c r="T79" s="160" t="str">
        <f t="shared" si="34"/>
        <v>1+5.11929155186708E-06i</v>
      </c>
      <c r="U79" s="160">
        <f t="shared" si="44"/>
        <v>1.0000000000131035</v>
      </c>
      <c r="V79" s="160">
        <f t="shared" si="45"/>
        <v>5.1192915518223595E-6</v>
      </c>
      <c r="W79" s="98" t="str">
        <f t="shared" si="35"/>
        <v>1-0.0013438140323651i</v>
      </c>
      <c r="X79" s="160">
        <f t="shared" si="46"/>
        <v>1.0000009029176691</v>
      </c>
      <c r="Y79" s="160">
        <f t="shared" si="47"/>
        <v>-1.343813223463322E-3</v>
      </c>
      <c r="Z79" s="98" t="str">
        <f t="shared" si="36"/>
        <v>0.999999861588632-0.00010027156654839i</v>
      </c>
      <c r="AA79" s="160">
        <f t="shared" si="48"/>
        <v>0.99999986661582618</v>
      </c>
      <c r="AB79" s="160">
        <f t="shared" si="49"/>
        <v>-1.0027158009106011E-4</v>
      </c>
      <c r="AC79" s="171" t="str">
        <f t="shared" si="50"/>
        <v>20.6421329457979-1.23334558933721i</v>
      </c>
      <c r="AD79" s="190">
        <f t="shared" si="51"/>
        <v>26.310567842481785</v>
      </c>
      <c r="AE79" s="169">
        <f t="shared" si="52"/>
        <v>-3.4192971415508708</v>
      </c>
      <c r="AF79" s="98" t="str">
        <f t="shared" si="37"/>
        <v>-0.0000897803247373448</v>
      </c>
      <c r="AG79" s="98" t="str">
        <f t="shared" si="38"/>
        <v>0.000511929155186708i</v>
      </c>
      <c r="AH79" s="98">
        <f t="shared" si="53"/>
        <v>5.1192915518670805E-4</v>
      </c>
      <c r="AI79" s="98">
        <f t="shared" si="54"/>
        <v>1.5707963267948966</v>
      </c>
      <c r="AJ79" s="98" t="str">
        <f t="shared" si="39"/>
        <v>1+0.0601516757344382i</v>
      </c>
      <c r="AK79" s="98">
        <f t="shared" si="55"/>
        <v>1.0018074785574627</v>
      </c>
      <c r="AL79" s="98">
        <f t="shared" si="56"/>
        <v>6.0079285410083505E-2</v>
      </c>
      <c r="AM79" s="98" t="str">
        <f t="shared" si="40"/>
        <v>1+0.120303351468877i</v>
      </c>
      <c r="AN79" s="98">
        <f t="shared" si="57"/>
        <v>1.0072104528720123</v>
      </c>
      <c r="AO79" s="98">
        <f t="shared" si="58"/>
        <v>0.1197279604961866</v>
      </c>
      <c r="AP79" s="168" t="str">
        <f t="shared" si="59"/>
        <v>-0.0105111564371649+0.176008727052799i</v>
      </c>
      <c r="AQ79" s="98">
        <f t="shared" si="60"/>
        <v>-15.073854745075126</v>
      </c>
      <c r="AR79" s="169">
        <f t="shared" si="61"/>
        <v>93.417617335980836</v>
      </c>
      <c r="AS79" s="168" t="str">
        <f t="shared" si="62"/>
        <v>0.000106898605389261+3.64615943187514i</v>
      </c>
      <c r="AT79" s="190">
        <f t="shared" si="63"/>
        <v>11.236713097406652</v>
      </c>
      <c r="AU79" s="169">
        <f t="shared" si="64"/>
        <v>89.998320194429979</v>
      </c>
      <c r="AV79" s="225"/>
      <c r="AX79">
        <f t="shared" si="65"/>
        <v>0</v>
      </c>
      <c r="AY79">
        <f t="shared" si="66"/>
        <v>0</v>
      </c>
    </row>
    <row r="80" spans="1:51" x14ac:dyDescent="0.3">
      <c r="N80" s="170">
        <v>62</v>
      </c>
      <c r="O80" s="199">
        <f t="shared" si="41"/>
        <v>41.686938347033561</v>
      </c>
      <c r="P80" s="189" t="str">
        <f t="shared" si="32"/>
        <v>20.7142857142857</v>
      </c>
      <c r="Q80" s="160" t="str">
        <f t="shared" si="33"/>
        <v>1+0.0598689733767733i</v>
      </c>
      <c r="R80" s="160">
        <f t="shared" si="42"/>
        <v>1.001790543962753</v>
      </c>
      <c r="S80" s="160">
        <f t="shared" si="43"/>
        <v>5.9797597479842944E-2</v>
      </c>
      <c r="T80" s="160" t="str">
        <f t="shared" si="34"/>
        <v>1+5.23853517046766E-06i</v>
      </c>
      <c r="U80" s="160">
        <f t="shared" si="44"/>
        <v>1.000000000013721</v>
      </c>
      <c r="V80" s="160">
        <f t="shared" si="45"/>
        <v>5.2385351704197406E-6</v>
      </c>
      <c r="W80" s="98" t="str">
        <f t="shared" si="35"/>
        <v>1-0.00137511548224776i</v>
      </c>
      <c r="X80" s="160">
        <f t="shared" si="46"/>
        <v>1.0000009454708478</v>
      </c>
      <c r="Y80" s="160">
        <f t="shared" si="47"/>
        <v>-1.3751146154939331E-3</v>
      </c>
      <c r="Z80" s="98" t="str">
        <f t="shared" si="36"/>
        <v>0.999999855065505-0.000102607191373981i</v>
      </c>
      <c r="AA80" s="160">
        <f t="shared" si="48"/>
        <v>0.99999986032962362</v>
      </c>
      <c r="AB80" s="160">
        <f t="shared" si="49"/>
        <v>-1.0260720588521356E-4</v>
      </c>
      <c r="AC80" s="171" t="str">
        <f t="shared" si="50"/>
        <v>20.6387446352736-1.26187104410082i</v>
      </c>
      <c r="AD80" s="190">
        <f t="shared" si="51"/>
        <v>26.309870109783908</v>
      </c>
      <c r="AE80" s="169">
        <f t="shared" si="52"/>
        <v>-3.4987591186307556</v>
      </c>
      <c r="AF80" s="98" t="str">
        <f t="shared" si="37"/>
        <v>-0.0000897803247373448</v>
      </c>
      <c r="AG80" s="98" t="str">
        <f t="shared" si="38"/>
        <v>0.000523853517046765i</v>
      </c>
      <c r="AH80" s="98">
        <f t="shared" si="53"/>
        <v>5.2385351704676501E-4</v>
      </c>
      <c r="AI80" s="98">
        <f t="shared" si="54"/>
        <v>1.5707963267948966</v>
      </c>
      <c r="AJ80" s="98" t="str">
        <f t="shared" si="39"/>
        <v>1+0.061552788252995i</v>
      </c>
      <c r="AK80" s="98">
        <f t="shared" si="55"/>
        <v>1.0018925819376636</v>
      </c>
      <c r="AL80" s="98">
        <f t="shared" si="56"/>
        <v>6.147522853443653E-2</v>
      </c>
      <c r="AM80" s="98" t="str">
        <f t="shared" si="40"/>
        <v>1+0.12310557650599i</v>
      </c>
      <c r="AN80" s="98">
        <f t="shared" si="57"/>
        <v>1.0075489977995473</v>
      </c>
      <c r="AO80" s="98">
        <f t="shared" si="58"/>
        <v>0.12248928318493708</v>
      </c>
      <c r="AP80" s="168" t="str">
        <f t="shared" si="59"/>
        <v>-0.0105093708226855+0.172031288770666i</v>
      </c>
      <c r="AQ80" s="98">
        <f t="shared" si="60"/>
        <v>-15.271673556306631</v>
      </c>
      <c r="AR80" s="169">
        <f t="shared" si="61"/>
        <v>93.495847822454238</v>
      </c>
      <c r="AS80" s="168" t="str">
        <f t="shared" si="62"/>
        <v>0.000181081292248753+3.56377130894765i</v>
      </c>
      <c r="AT80" s="190">
        <f t="shared" si="63"/>
        <v>11.038196553477274</v>
      </c>
      <c r="AU80" s="169">
        <f t="shared" si="64"/>
        <v>89.997088703823493</v>
      </c>
      <c r="AV80" s="225"/>
      <c r="AX80">
        <f t="shared" si="65"/>
        <v>0</v>
      </c>
      <c r="AY80">
        <f t="shared" si="66"/>
        <v>0</v>
      </c>
    </row>
    <row r="81" spans="14:51" x14ac:dyDescent="0.3">
      <c r="N81" s="170">
        <v>63</v>
      </c>
      <c r="O81" s="199">
        <f t="shared" si="41"/>
        <v>42.657951880159267</v>
      </c>
      <c r="P81" s="189" t="str">
        <f t="shared" si="32"/>
        <v>20.7142857142857</v>
      </c>
      <c r="Q81" s="160" t="str">
        <f t="shared" si="33"/>
        <v>1+0.0612635009114951i</v>
      </c>
      <c r="R81" s="160">
        <f t="shared" si="42"/>
        <v>1.0018748507393189</v>
      </c>
      <c r="S81" s="160">
        <f t="shared" si="43"/>
        <v>6.1187027987713694E-2</v>
      </c>
      <c r="T81" s="160" t="str">
        <f t="shared" si="34"/>
        <v>1+5.36055632975582E-06i</v>
      </c>
      <c r="U81" s="160">
        <f t="shared" si="44"/>
        <v>1.0000000000143676</v>
      </c>
      <c r="V81" s="160">
        <f t="shared" si="45"/>
        <v>5.3605563297044733E-6</v>
      </c>
      <c r="W81" s="98" t="str">
        <f t="shared" si="35"/>
        <v>1-0.0014071460365609i</v>
      </c>
      <c r="X81" s="160">
        <f t="shared" si="46"/>
        <v>1.0000009900294939</v>
      </c>
      <c r="Y81" s="160">
        <f t="shared" si="47"/>
        <v>-1.4071451078174913E-3</v>
      </c>
      <c r="Z81" s="98" t="str">
        <f t="shared" si="36"/>
        <v>0.999999848234953-0.000104997219890605i</v>
      </c>
      <c r="AA81" s="160">
        <f t="shared" si="48"/>
        <v>0.99999985374716194</v>
      </c>
      <c r="AB81" s="160">
        <f t="shared" si="49"/>
        <v>-1.049972354396709E-4</v>
      </c>
      <c r="AC81" s="171" t="str">
        <f t="shared" si="50"/>
        <v>20.6351978059107-1.29104650556101i</v>
      </c>
      <c r="AD81" s="190">
        <f t="shared" si="51"/>
        <v>26.309139614229089</v>
      </c>
      <c r="AE81" s="169">
        <f t="shared" si="52"/>
        <v>-3.5800589047804889</v>
      </c>
      <c r="AF81" s="98" t="str">
        <f t="shared" si="37"/>
        <v>-0.0000897803247373448</v>
      </c>
      <c r="AG81" s="98" t="str">
        <f t="shared" si="38"/>
        <v>0.000536055632975581i</v>
      </c>
      <c r="AH81" s="98">
        <f t="shared" si="53"/>
        <v>5.3605563297558104E-4</v>
      </c>
      <c r="AI81" s="98">
        <f t="shared" si="54"/>
        <v>1.5707963267948966</v>
      </c>
      <c r="AJ81" s="98" t="str">
        <f t="shared" si="39"/>
        <v>1+0.0629865368746309i</v>
      </c>
      <c r="AK81" s="98">
        <f t="shared" si="55"/>
        <v>1.0019816883693331</v>
      </c>
      <c r="AL81" s="98">
        <f t="shared" si="56"/>
        <v>6.2903439013530182E-2</v>
      </c>
      <c r="AM81" s="98" t="str">
        <f t="shared" si="40"/>
        <v>1+0.125973073749262i</v>
      </c>
      <c r="AN81" s="98">
        <f t="shared" si="57"/>
        <v>1.0079033759789859</v>
      </c>
      <c r="AO81" s="98">
        <f t="shared" si="58"/>
        <v>0.12531298290606693</v>
      </c>
      <c r="AP81" s="168" t="str">
        <f t="shared" si="59"/>
        <v>-0.0105075017049072+0.16814505343339i</v>
      </c>
      <c r="AQ81" s="98">
        <f t="shared" si="60"/>
        <v>-15.469391538329361</v>
      </c>
      <c r="AR81" s="169">
        <f t="shared" si="61"/>
        <v>93.575803466378801</v>
      </c>
      <c r="AS81" s="168" t="str">
        <f t="shared" si="62"/>
        <v>0.000258707535843533+3.48327211104172i</v>
      </c>
      <c r="AT81" s="190">
        <f t="shared" si="63"/>
        <v>10.83974807589972</v>
      </c>
      <c r="AU81" s="169">
        <f t="shared" si="64"/>
        <v>89.995744561598329</v>
      </c>
      <c r="AV81" s="225"/>
      <c r="AX81">
        <f t="shared" si="65"/>
        <v>0</v>
      </c>
      <c r="AY81">
        <f t="shared" si="66"/>
        <v>0</v>
      </c>
    </row>
    <row r="82" spans="14:51" x14ac:dyDescent="0.3">
      <c r="N82" s="170">
        <v>64</v>
      </c>
      <c r="O82" s="199">
        <f t="shared" si="41"/>
        <v>43.651583224016633</v>
      </c>
      <c r="P82" s="189" t="str">
        <f t="shared" si="32"/>
        <v>20.7142857142857</v>
      </c>
      <c r="Q82" s="160" t="str">
        <f t="shared" si="33"/>
        <v>1+0.0626905111653184i</v>
      </c>
      <c r="R82" s="160">
        <f t="shared" si="42"/>
        <v>1.0019631231687964</v>
      </c>
      <c r="S82" s="160">
        <f t="shared" si="43"/>
        <v>6.2608577619655603E-2</v>
      </c>
      <c r="T82" s="160" t="str">
        <f t="shared" si="34"/>
        <v>1+5.48541972696536E-06i</v>
      </c>
      <c r="U82" s="160">
        <f t="shared" si="44"/>
        <v>1.0000000000150449</v>
      </c>
      <c r="V82" s="160">
        <f t="shared" si="45"/>
        <v>5.4854197269103417E-6</v>
      </c>
      <c r="W82" s="98" t="str">
        <f t="shared" si="35"/>
        <v>1-0.0014399226783284i</v>
      </c>
      <c r="X82" s="160">
        <f t="shared" si="46"/>
        <v>1.0000010366881225</v>
      </c>
      <c r="Y82" s="160">
        <f t="shared" si="47"/>
        <v>-1.4399216831619635E-3</v>
      </c>
      <c r="Z82" s="98" t="str">
        <f t="shared" si="36"/>
        <v>0.999999841082486-0.000107442919323018i</v>
      </c>
      <c r="AA82" s="160">
        <f t="shared" si="48"/>
        <v>0.99999984685447729</v>
      </c>
      <c r="AB82" s="160">
        <f t="shared" si="49"/>
        <v>-1.0744293598414249E-4</v>
      </c>
      <c r="AC82" s="171" t="str">
        <f t="shared" si="50"/>
        <v>20.6314850989208-1.32088609051575i</v>
      </c>
      <c r="AD82" s="190">
        <f t="shared" si="51"/>
        <v>26.308374823310771</v>
      </c>
      <c r="AE82" s="169">
        <f t="shared" si="52"/>
        <v>-3.6632383760284557</v>
      </c>
      <c r="AF82" s="98" t="str">
        <f t="shared" si="37"/>
        <v>-0.0000897803247373448</v>
      </c>
      <c r="AG82" s="98" t="str">
        <f t="shared" si="38"/>
        <v>0.000548541972696537i</v>
      </c>
      <c r="AH82" s="98">
        <f t="shared" si="53"/>
        <v>5.4854197269653697E-4</v>
      </c>
      <c r="AI82" s="98">
        <f t="shared" si="54"/>
        <v>1.5707963267948966</v>
      </c>
      <c r="AJ82" s="98" t="str">
        <f t="shared" si="39"/>
        <v>1+0.064453681791843i</v>
      </c>
      <c r="AK82" s="98">
        <f t="shared" si="55"/>
        <v>1.0020749857652991</v>
      </c>
      <c r="AL82" s="98">
        <f t="shared" si="56"/>
        <v>6.4364650784373173E-2</v>
      </c>
      <c r="AM82" s="98" t="str">
        <f t="shared" si="40"/>
        <v>1+0.128907363583686i</v>
      </c>
      <c r="AN82" s="98">
        <f t="shared" si="57"/>
        <v>1.0082743219908443</v>
      </c>
      <c r="AO82" s="98">
        <f t="shared" si="58"/>
        <v>0.12820037661306385</v>
      </c>
      <c r="AP82" s="168" t="str">
        <f t="shared" si="59"/>
        <v>-0.0105055452107823+0.164347959775266i</v>
      </c>
      <c r="AQ82" s="98">
        <f t="shared" si="60"/>
        <v>-15.667004125798192</v>
      </c>
      <c r="AR82" s="169">
        <f t="shared" si="61"/>
        <v>93.657517672138226</v>
      </c>
      <c r="AS82" s="168" t="str">
        <f t="shared" si="62"/>
        <v>0.000339934599497077+3.40461911168364i</v>
      </c>
      <c r="AT82" s="190">
        <f t="shared" si="63"/>
        <v>10.641370697512571</v>
      </c>
      <c r="AU82" s="169">
        <f t="shared" si="64"/>
        <v>89.994279296109781</v>
      </c>
      <c r="AV82" s="225"/>
      <c r="AX82">
        <f t="shared" si="65"/>
        <v>0</v>
      </c>
      <c r="AY82">
        <f t="shared" si="66"/>
        <v>0</v>
      </c>
    </row>
    <row r="83" spans="14:51" x14ac:dyDescent="0.3">
      <c r="N83" s="170">
        <v>65</v>
      </c>
      <c r="O83" s="199">
        <f t="shared" si="41"/>
        <v>44.668359215096324</v>
      </c>
      <c r="P83" s="189" t="str">
        <f t="shared" ref="P83:P146" si="67">COMPLEX(Adc,0)</f>
        <v>20.7142857142857</v>
      </c>
      <c r="Q83" s="160" t="str">
        <f t="shared" ref="Q83:Q146" si="68">IMSUM(COMPLEX(1,0),IMDIV(COMPLEX(0,2*PI()*O83),COMPLEX(wp_lf,0)))</f>
        <v>1+0.0641507607579687i</v>
      </c>
      <c r="R83" s="160">
        <f t="shared" si="42"/>
        <v>1.0020555474153248</v>
      </c>
      <c r="S83" s="160">
        <f t="shared" si="43"/>
        <v>6.4062977105751595E-2</v>
      </c>
      <c r="T83" s="160" t="str">
        <f t="shared" ref="T83:T146" si="69">IMSUM(COMPLEX(1,0),IMDIV(COMPLEX(0,2*PI()*O83),COMPLEX(wz_esr,0)))</f>
        <v>1+5.61319156632226E-06i</v>
      </c>
      <c r="U83" s="160">
        <f t="shared" si="44"/>
        <v>1.0000000000157541</v>
      </c>
      <c r="V83" s="160">
        <f t="shared" si="45"/>
        <v>5.6131915662633061E-6</v>
      </c>
      <c r="W83" s="98" t="str">
        <f t="shared" ref="W83:W146" si="70">IMSUB(COMPLEX(1,0),IMDIV(COMPLEX(0,2*PI()*O83),COMPLEX(wz_rhp,0)))</f>
        <v>1-0.00147346278615959i</v>
      </c>
      <c r="X83" s="160">
        <f t="shared" si="46"/>
        <v>1.0000010855457018</v>
      </c>
      <c r="Y83" s="160">
        <f t="shared" si="47"/>
        <v>-1.473461719819604E-3</v>
      </c>
      <c r="Z83" s="98" t="str">
        <f t="shared" ref="Z83:Z146" si="71">IF(Dc_Mode_Loop="CCM",IMSUM(COMPLEX(1,0),IMDIV(COMPLEX(0,2*PI()*O83),COMPLEX(Q*(wsl/2),0)),IMDIV(IMPOWER(COMPLEX(0,2*PI()*O83),2),IMPOWER(COMPLEX(wsl/2,0),2))),COMPLEX(1,0))</f>
        <v>0.999999833592935-0.00010994558641343i</v>
      </c>
      <c r="AA83" s="160">
        <f t="shared" si="48"/>
        <v>0.99999983963695194</v>
      </c>
      <c r="AB83" s="160">
        <f t="shared" si="49"/>
        <v>-1.0994560426614659E-4</v>
      </c>
      <c r="AC83" s="171" t="str">
        <f t="shared" si="50"/>
        <v>20.6275988194137-1.35140417241644i</v>
      </c>
      <c r="AD83" s="190">
        <f t="shared" si="51"/>
        <v>26.307574133405993</v>
      </c>
      <c r="AE83" s="169">
        <f t="shared" si="52"/>
        <v>-3.7483403177357086</v>
      </c>
      <c r="AF83" s="98" t="str">
        <f t="shared" ref="AF83:AF146" si="72">COMPLEX(Adc_ea,0)</f>
        <v>-0.0000897803247373448</v>
      </c>
      <c r="AG83" s="98" t="str">
        <f t="shared" ref="AG83:AG146" si="73">COMPLEX(0,2*PI()*O83*wp0_ea)</f>
        <v>0.000561319156632226i</v>
      </c>
      <c r="AH83" s="98">
        <f t="shared" si="53"/>
        <v>5.6131915663222597E-4</v>
      </c>
      <c r="AI83" s="98">
        <f t="shared" si="54"/>
        <v>1.5707963267948966</v>
      </c>
      <c r="AJ83" s="98" t="str">
        <f t="shared" ref="AJ83:AJ146" si="74">IMSUM(COMPLEX(1,0),IMDIV(COMPLEX(0,2*PI()*O83),COMPLEX(wp1_ea,0)))</f>
        <v>1+0.0659550009042866i</v>
      </c>
      <c r="AK83" s="98">
        <f t="shared" si="55"/>
        <v>1.00217267082289</v>
      </c>
      <c r="AL83" s="98">
        <f t="shared" si="56"/>
        <v>6.5859613627583954E-2</v>
      </c>
      <c r="AM83" s="98" t="str">
        <f t="shared" ref="AM83:AM146" si="75">IMSUM(COMPLEX(1,0),IMDIV(COMPLEX(0,2*PI()*O83),COMPLEX(wz_ea,0)))</f>
        <v>1+0.131910001808573i</v>
      </c>
      <c r="AN83" s="98">
        <f t="shared" si="57"/>
        <v>1.0086626039351008</v>
      </c>
      <c r="AO83" s="98">
        <f t="shared" si="58"/>
        <v>0.13115280255909881</v>
      </c>
      <c r="AP83" s="168" t="str">
        <f t="shared" si="59"/>
        <v>-0.0105034972906912+0.160637993743038i</v>
      </c>
      <c r="AQ83" s="98">
        <f t="shared" si="60"/>
        <v>-15.864506555746861</v>
      </c>
      <c r="AR83" s="169">
        <f t="shared" si="61"/>
        <v>93.741024156726112</v>
      </c>
      <c r="AS83" s="168" t="str">
        <f t="shared" si="62"/>
        <v>0.00042492667977076+3.32777056015048i</v>
      </c>
      <c r="AT83" s="190">
        <f t="shared" si="63"/>
        <v>10.443067577659129</v>
      </c>
      <c r="AU83" s="169">
        <f t="shared" si="64"/>
        <v>89.992683838990416</v>
      </c>
      <c r="AV83" s="225"/>
      <c r="AX83">
        <f t="shared" si="65"/>
        <v>0</v>
      </c>
      <c r="AY83">
        <f t="shared" si="66"/>
        <v>0</v>
      </c>
    </row>
    <row r="84" spans="14:51" x14ac:dyDescent="0.3">
      <c r="N84" s="170">
        <v>66</v>
      </c>
      <c r="O84" s="199">
        <f t="shared" ref="O84:O118" si="76">10^(1+(N84/100))</f>
        <v>45.70881896148753</v>
      </c>
      <c r="P84" s="189" t="str">
        <f t="shared" si="67"/>
        <v>20.7142857142857</v>
      </c>
      <c r="Q84" s="160" t="str">
        <f t="shared" si="68"/>
        <v>1+0.0656450239331086i</v>
      </c>
      <c r="R84" s="160">
        <f t="shared" ref="R84:R147" si="77">IMABS(Q84)</f>
        <v>1.0021523183464569</v>
      </c>
      <c r="S84" s="160">
        <f t="shared" ref="S84:S147" si="78">IMARGUMENT(Q84)</f>
        <v>6.5550972962309079E-2</v>
      </c>
      <c r="T84" s="160" t="str">
        <f t="shared" si="69"/>
        <v>1+0.000005743939594147i</v>
      </c>
      <c r="U84" s="160">
        <f t="shared" ref="U84:U147" si="79">IMABS(T84)</f>
        <v>1.0000000000164966</v>
      </c>
      <c r="V84" s="160">
        <f t="shared" ref="V84:V147" si="80">IMARGUMENT(T84)</f>
        <v>5.7439395940838296E-6</v>
      </c>
      <c r="W84" s="98" t="str">
        <f t="shared" si="70"/>
        <v>1-0.00150778414346358i</v>
      </c>
      <c r="X84" s="160">
        <f t="shared" ref="X84:X147" si="81">IMABS(W84)</f>
        <v>1.0000011367058657</v>
      </c>
      <c r="Y84" s="160">
        <f t="shared" ref="Y84:Y147" si="82">IMARGUMENT(W84)</f>
        <v>-1.5077830008597692E-3</v>
      </c>
      <c r="Z84" s="98" t="str">
        <f t="shared" si="71"/>
        <v>0.999999825750411-0.000112506548109061i</v>
      </c>
      <c r="AA84" s="160">
        <f t="shared" ref="AA84:AA147" si="83">IMABS(Z84)</f>
        <v>0.99999983207927379</v>
      </c>
      <c r="AB84" s="160">
        <f t="shared" ref="AB84:AB147" si="84">IMARGUMENT(Z84)</f>
        <v>-1.1250656723859168E-4</v>
      </c>
      <c r="AC84" s="171" t="str">
        <f t="shared" ref="AC84:AC147" si="85">(IMDIV(IMPRODUCT(P84,T84,W84),IMPRODUCT(Q84,Z84)))</f>
        <v>20.6235309215779-1.38261538231209i</v>
      </c>
      <c r="AD84" s="190">
        <f t="shared" ref="AD84:AD147" si="86">20*LOG(IMABS(AC84))</f>
        <v>26.306735866530403</v>
      </c>
      <c r="AE84" s="169">
        <f t="shared" ref="AE84:AE147" si="87">(180/PI())*IMARGUMENT(AC84)</f>
        <v>-3.8354084411205398</v>
      </c>
      <c r="AF84" s="98" t="str">
        <f t="shared" si="72"/>
        <v>-0.0000897803247373448</v>
      </c>
      <c r="AG84" s="98" t="str">
        <f t="shared" si="73"/>
        <v>0.0005743939594147i</v>
      </c>
      <c r="AH84" s="98">
        <f t="shared" ref="AH84:AH147" si="88">IMABS(AG84)</f>
        <v>5.743939594147E-4</v>
      </c>
      <c r="AI84" s="98">
        <f t="shared" ref="AI84:AI147" si="89">IMARGUMENT(AG84)</f>
        <v>1.5707963267948966</v>
      </c>
      <c r="AJ84" s="98" t="str">
        <f t="shared" si="74"/>
        <v>1+0.0674912902312273i</v>
      </c>
      <c r="AK84" s="98">
        <f t="shared" ref="AK84:AK147" si="90">IMABS(AJ84)</f>
        <v>1.0022749494310808</v>
      </c>
      <c r="AL84" s="98">
        <f t="shared" ref="AL84:AL147" si="91">IMARGUMENT(AJ84)</f>
        <v>6.7389093448287224E-2</v>
      </c>
      <c r="AM84" s="98" t="str">
        <f t="shared" si="75"/>
        <v>1+0.134982580462455i</v>
      </c>
      <c r="AN84" s="98">
        <f t="shared" ref="AN84:AN147" si="92">IMABS(AM84)</f>
        <v>1.0090690249077627</v>
      </c>
      <c r="AO84" s="98">
        <f t="shared" ref="AO84:AO147" si="93">IMARGUMENT(AM84)</f>
        <v>0.13417162016408829</v>
      </c>
      <c r="AP84" s="168" t="str">
        <f t="shared" ref="AP84:AP147" si="94">IMPRODUCT(AF84,IMDIV(AM84,IMPRODUCT(AG84,AJ84)))</f>
        <v>-0.0105013537106861+0.157013187424396i</v>
      </c>
      <c r="AQ84" s="98">
        <f t="shared" ref="AQ84:AQ147" si="95">20*LOG(IMABS(AP84))</f>
        <v>-16.06189385990006</v>
      </c>
      <c r="AR84" s="169">
        <f t="shared" ref="AR84:AR147" si="96">(180/PI())*IMARGUMENT(AP84)</f>
        <v>93.826356926035075</v>
      </c>
      <c r="AS84" s="168" t="str">
        <f t="shared" ref="AS84:AS147" si="97">IMPRODUCT(AC84,AP84)</f>
        <v>0.000513855188059492+3.25268565911803i</v>
      </c>
      <c r="AT84" s="190">
        <f t="shared" ref="AT84:AT147" si="98">20*LOG(IMABS(AS84))</f>
        <v>10.244842006630341</v>
      </c>
      <c r="AU84" s="169">
        <f t="shared" ref="AU84:AU147" si="99">(180/PI())*IMARGUMENT(AS84)</f>
        <v>89.99094848491454</v>
      </c>
      <c r="AV84" s="225"/>
      <c r="AX84">
        <f t="shared" ref="AX84:AX147" si="100">SUM((AT85&lt;0)*(AT84&gt;0))*O84</f>
        <v>0</v>
      </c>
      <c r="AY84">
        <f t="shared" ref="AY84:AY147" si="101">IF(AX84&gt;0,AU84,0)</f>
        <v>0</v>
      </c>
    </row>
    <row r="85" spans="14:51" x14ac:dyDescent="0.3">
      <c r="N85" s="170">
        <v>67</v>
      </c>
      <c r="O85" s="199">
        <f t="shared" si="76"/>
        <v>46.773514128719818</v>
      </c>
      <c r="P85" s="189" t="str">
        <f t="shared" si="67"/>
        <v>20.7142857142857</v>
      </c>
      <c r="Q85" s="160" t="str">
        <f t="shared" si="68"/>
        <v>1+0.0671740929688524i</v>
      </c>
      <c r="R85" s="160">
        <f t="shared" si="77"/>
        <v>1.002253639936612</v>
      </c>
      <c r="S85" s="160">
        <f t="shared" si="78"/>
        <v>6.7073327772627006E-2</v>
      </c>
      <c r="T85" s="160" t="str">
        <f t="shared" si="69"/>
        <v>1+5.87773313477458E-06i</v>
      </c>
      <c r="U85" s="160">
        <f t="shared" si="79"/>
        <v>1.0000000000172737</v>
      </c>
      <c r="V85" s="160">
        <f t="shared" si="80"/>
        <v>5.8777331347068928E-6</v>
      </c>
      <c r="W85" s="98" t="str">
        <f t="shared" si="70"/>
        <v>1-0.00154290494787832i</v>
      </c>
      <c r="X85" s="160">
        <f t="shared" si="81"/>
        <v>1.0000011902771306</v>
      </c>
      <c r="Y85" s="160">
        <f t="shared" si="82"/>
        <v>-1.5429037235563572E-3</v>
      </c>
      <c r="Z85" s="98" t="str">
        <f t="shared" si="71"/>
        <v>0.999999817538281-0.0001151271622657i</v>
      </c>
      <c r="AA85" s="160">
        <f t="shared" si="83"/>
        <v>0.999999824165414</v>
      </c>
      <c r="AB85" s="160">
        <f t="shared" si="84"/>
        <v>-1.1512718276336157E-4</v>
      </c>
      <c r="AC85" s="171" t="str">
        <f t="shared" si="85"/>
        <v>20.6192729932554-1.41453460947029i</v>
      </c>
      <c r="AD85" s="190">
        <f t="shared" si="86"/>
        <v>26.305858266948899</v>
      </c>
      <c r="AE85" s="169">
        <f t="shared" si="87"/>
        <v>-3.9244873998426444</v>
      </c>
      <c r="AF85" s="98" t="str">
        <f t="shared" si="72"/>
        <v>-0.0000897803247373448</v>
      </c>
      <c r="AG85" s="98" t="str">
        <f t="shared" si="73"/>
        <v>0.000587773313477458i</v>
      </c>
      <c r="AH85" s="98">
        <f t="shared" si="88"/>
        <v>5.8777331347745795E-4</v>
      </c>
      <c r="AI85" s="98">
        <f t="shared" si="89"/>
        <v>1.5707963267948966</v>
      </c>
      <c r="AJ85" s="98" t="str">
        <f t="shared" si="74"/>
        <v>1+0.0690633643336013i</v>
      </c>
      <c r="AK85" s="98">
        <f t="shared" si="90"/>
        <v>1.002382037096174</v>
      </c>
      <c r="AL85" s="98">
        <f t="shared" si="91"/>
        <v>6.8953872557418319E-2</v>
      </c>
      <c r="AM85" s="98" t="str">
        <f t="shared" si="75"/>
        <v>1+0.138126728667203i</v>
      </c>
      <c r="AN85" s="98">
        <f t="shared" si="92"/>
        <v>1.0094944245375024</v>
      </c>
      <c r="AO85" s="98">
        <f t="shared" si="93"/>
        <v>0.13725820983852746</v>
      </c>
      <c r="AP85" s="168" t="str">
        <f t="shared" si="94"/>
        <v>-0.0104991100444249+0.153471618000723i</v>
      </c>
      <c r="AQ85" s="98">
        <f t="shared" si="95"/>
        <v>-16.259160856768538</v>
      </c>
      <c r="AR85" s="169">
        <f t="shared" si="96"/>
        <v>93.913550248645649</v>
      </c>
      <c r="AS85" s="168" t="str">
        <f t="shared" si="97"/>
        <v>0.000606899041199399+3.17932454279999i</v>
      </c>
      <c r="AT85" s="190">
        <f t="shared" si="98"/>
        <v>10.046697410180352</v>
      </c>
      <c r="AU85" s="169">
        <f t="shared" si="99"/>
        <v>89.989062848803016</v>
      </c>
      <c r="AV85" s="225"/>
      <c r="AX85">
        <f t="shared" si="100"/>
        <v>0</v>
      </c>
      <c r="AY85">
        <f t="shared" si="101"/>
        <v>0</v>
      </c>
    </row>
    <row r="86" spans="14:51" x14ac:dyDescent="0.3">
      <c r="N86" s="170">
        <v>68</v>
      </c>
      <c r="O86" s="199">
        <f t="shared" si="76"/>
        <v>47.863009232263877</v>
      </c>
      <c r="P86" s="189" t="str">
        <f t="shared" si="67"/>
        <v>20.7142857142857</v>
      </c>
      <c r="Q86" s="160" t="str">
        <f t="shared" si="68"/>
        <v>1+0.0687387785978425i</v>
      </c>
      <c r="R86" s="160">
        <f t="shared" si="77"/>
        <v>1.0023597256888981</v>
      </c>
      <c r="S86" s="160">
        <f t="shared" si="78"/>
        <v>6.8630820468248782E-2</v>
      </c>
      <c r="T86" s="160" t="str">
        <f t="shared" si="69"/>
        <v>1+6.01464312731122E-06i</v>
      </c>
      <c r="U86" s="160">
        <f t="shared" si="79"/>
        <v>1.000000000018088</v>
      </c>
      <c r="V86" s="160">
        <f t="shared" si="80"/>
        <v>6.0146431272386916E-6</v>
      </c>
      <c r="W86" s="98" t="str">
        <f t="shared" si="70"/>
        <v>1-0.00157884382091919i</v>
      </c>
      <c r="X86" s="160">
        <f t="shared" si="81"/>
        <v>1.0000012463731287</v>
      </c>
      <c r="Y86" s="160">
        <f t="shared" si="82"/>
        <v>-1.5788425090346593E-3</v>
      </c>
      <c r="Z86" s="98" t="str">
        <f t="shared" si="71"/>
        <v>0.999999808939125-0.00011780881836766i</v>
      </c>
      <c r="AA86" s="160">
        <f t="shared" si="83"/>
        <v>0.99999981587858511</v>
      </c>
      <c r="AB86" s="160">
        <f t="shared" si="84"/>
        <v>-1.1780884033130028E-4</v>
      </c>
      <c r="AC86" s="171" t="str">
        <f t="shared" si="85"/>
        <v>20.6148162398992-1.44717700164564i</v>
      </c>
      <c r="AD86" s="190">
        <f t="shared" si="86"/>
        <v>26.304939497639431</v>
      </c>
      <c r="AE86" s="169">
        <f t="shared" si="87"/>
        <v>-4.0156228066274595</v>
      </c>
      <c r="AF86" s="98" t="str">
        <f t="shared" si="72"/>
        <v>-0.0000897803247373448</v>
      </c>
      <c r="AG86" s="98" t="str">
        <f t="shared" si="73"/>
        <v>0.000601464312731123i</v>
      </c>
      <c r="AH86" s="98">
        <f t="shared" si="88"/>
        <v>6.0146431273112302E-4</v>
      </c>
      <c r="AI86" s="98">
        <f t="shared" si="89"/>
        <v>1.5707963267948966</v>
      </c>
      <c r="AJ86" s="98" t="str">
        <f t="shared" si="74"/>
        <v>1+0.0706720567459068i</v>
      </c>
      <c r="AK86" s="98">
        <f t="shared" si="90"/>
        <v>1.0024941593868248</v>
      </c>
      <c r="AL86" s="98">
        <f t="shared" si="91"/>
        <v>7.0554749953025214E-2</v>
      </c>
      <c r="AM86" s="98" t="str">
        <f t="shared" si="75"/>
        <v>1+0.141344113491814i</v>
      </c>
      <c r="AN86" s="98">
        <f t="shared" si="92"/>
        <v>1.0099396805843341</v>
      </c>
      <c r="AO86" s="98">
        <f t="shared" si="93"/>
        <v>0.14041397276078091</v>
      </c>
      <c r="AP86" s="168" t="str">
        <f t="shared" si="94"/>
        <v>-0.0104967616647822+0.150011406723462i</v>
      </c>
      <c r="AQ86" s="98">
        <f t="shared" si="95"/>
        <v>-16.456302143532955</v>
      </c>
      <c r="AR86" s="169">
        <f t="shared" si="96"/>
        <v>94.002638626948453</v>
      </c>
      <c r="AS86" s="168" t="str">
        <f t="shared" si="97"/>
        <v>0.000704244961200889+3.10764825556598i</v>
      </c>
      <c r="AT86" s="190">
        <f t="shared" si="98"/>
        <v>9.8486373541064829</v>
      </c>
      <c r="AU86" s="169">
        <f t="shared" si="99"/>
        <v>89.987015820320991</v>
      </c>
      <c r="AV86" s="225"/>
      <c r="AX86">
        <f t="shared" si="100"/>
        <v>0</v>
      </c>
      <c r="AY86">
        <f t="shared" si="101"/>
        <v>0</v>
      </c>
    </row>
    <row r="87" spans="14:51" x14ac:dyDescent="0.3">
      <c r="N87" s="170">
        <v>69</v>
      </c>
      <c r="O87" s="199">
        <f t="shared" si="76"/>
        <v>48.977881936844632</v>
      </c>
      <c r="P87" s="189" t="str">
        <f t="shared" si="67"/>
        <v>20.7142857142857</v>
      </c>
      <c r="Q87" s="160" t="str">
        <f t="shared" si="68"/>
        <v>1+0.0703399104371106i</v>
      </c>
      <c r="R87" s="160">
        <f t="shared" si="77"/>
        <v>1.002470799076113</v>
      </c>
      <c r="S87" s="160">
        <f t="shared" si="78"/>
        <v>7.0224246610299537E-2</v>
      </c>
      <c r="T87" s="160" t="str">
        <f t="shared" si="69"/>
        <v>1+6.15474216324718E-06i</v>
      </c>
      <c r="U87" s="160">
        <f t="shared" si="79"/>
        <v>1.0000000000189404</v>
      </c>
      <c r="V87" s="160">
        <f t="shared" si="80"/>
        <v>6.1547421631694645E-6</v>
      </c>
      <c r="W87" s="98" t="str">
        <f t="shared" si="70"/>
        <v>1-0.00161561981785238i</v>
      </c>
      <c r="X87" s="160">
        <f t="shared" si="81"/>
        <v>1.0000013051128462</v>
      </c>
      <c r="Y87" s="160">
        <f t="shared" si="82"/>
        <v>-1.6156184121428783E-3</v>
      </c>
      <c r="Z87" s="98" t="str">
        <f t="shared" si="71"/>
        <v>0.999999799934704-0.000120552938264503i</v>
      </c>
      <c r="AA87" s="160">
        <f t="shared" si="83"/>
        <v>0.99999980720121084</v>
      </c>
      <c r="AB87" s="160">
        <f t="shared" si="84"/>
        <v>-1.2055296179896771E-4</v>
      </c>
      <c r="AC87" s="171" t="str">
        <f t="shared" si="85"/>
        <v>20.6101514678862-1.4805579649622i</v>
      </c>
      <c r="AD87" s="190">
        <f t="shared" si="86"/>
        <v>26.30397763660072</v>
      </c>
      <c r="AE87" s="169">
        <f t="shared" si="87"/>
        <v>-4.1088612499066484</v>
      </c>
      <c r="AF87" s="98" t="str">
        <f t="shared" si="72"/>
        <v>-0.0000897803247373448</v>
      </c>
      <c r="AG87" s="98" t="str">
        <f t="shared" si="73"/>
        <v>0.000615474216324717i</v>
      </c>
      <c r="AH87" s="98">
        <f t="shared" si="88"/>
        <v>6.1547421632471701E-4</v>
      </c>
      <c r="AI87" s="98">
        <f t="shared" si="89"/>
        <v>1.5707963267948966</v>
      </c>
      <c r="AJ87" s="98" t="str">
        <f t="shared" si="74"/>
        <v>1+0.0723182204181544i</v>
      </c>
      <c r="AK87" s="98">
        <f t="shared" si="90"/>
        <v>1.0026115523992574</v>
      </c>
      <c r="AL87" s="98">
        <f t="shared" si="91"/>
        <v>7.2192541601121124E-2</v>
      </c>
      <c r="AM87" s="98" t="str">
        <f t="shared" si="75"/>
        <v>1+0.144636440836309i</v>
      </c>
      <c r="AN87" s="98">
        <f t="shared" si="92"/>
        <v>1.0104057106023279</v>
      </c>
      <c r="AO87" s="98">
        <f t="shared" si="93"/>
        <v>0.14364033060431461</v>
      </c>
      <c r="AP87" s="168" t="str">
        <f t="shared" si="94"/>
        <v>-0.0104943037351294+0.146630717913582i</v>
      </c>
      <c r="AQ87" s="98">
        <f t="shared" si="95"/>
        <v>-16.653312087718277</v>
      </c>
      <c r="AR87" s="169">
        <f t="shared" si="96"/>
        <v>94.093656765424186</v>
      </c>
      <c r="AS87" s="168" t="str">
        <f t="shared" si="97"/>
        <v>0.000806087784058523+3.0376187310256i</v>
      </c>
      <c r="AT87" s="190">
        <f t="shared" si="98"/>
        <v>9.6506655488824507</v>
      </c>
      <c r="AU87" s="169">
        <f t="shared" si="99"/>
        <v>89.984795515517547</v>
      </c>
      <c r="AV87" s="225"/>
      <c r="AX87">
        <f t="shared" si="100"/>
        <v>0</v>
      </c>
      <c r="AY87">
        <f t="shared" si="101"/>
        <v>0</v>
      </c>
    </row>
    <row r="88" spans="14:51" x14ac:dyDescent="0.3">
      <c r="N88" s="170">
        <v>70</v>
      </c>
      <c r="O88" s="199">
        <f t="shared" si="76"/>
        <v>50.118723362727238</v>
      </c>
      <c r="P88" s="189" t="str">
        <f t="shared" si="67"/>
        <v>20.7142857142857</v>
      </c>
      <c r="Q88" s="160" t="str">
        <f t="shared" si="68"/>
        <v>1+0.0719783374279511i</v>
      </c>
      <c r="R88" s="160">
        <f t="shared" si="77"/>
        <v>1.0025870940017589</v>
      </c>
      <c r="S88" s="160">
        <f t="shared" si="78"/>
        <v>7.185441867046867E-2</v>
      </c>
      <c r="T88" s="160" t="str">
        <f t="shared" si="69"/>
        <v>1+6.29810452494572E-06i</v>
      </c>
      <c r="U88" s="160">
        <f t="shared" si="79"/>
        <v>1.000000000019833</v>
      </c>
      <c r="V88" s="160">
        <f t="shared" si="80"/>
        <v>6.2981045248624462E-6</v>
      </c>
      <c r="W88" s="98" t="str">
        <f t="shared" si="70"/>
        <v>1-0.00165325243779825i</v>
      </c>
      <c r="X88" s="160">
        <f t="shared" si="81"/>
        <v>1.0000013666208776</v>
      </c>
      <c r="Y88" s="160">
        <f t="shared" si="82"/>
        <v>-1.6532509315534925E-3</v>
      </c>
      <c r="Z88" s="98" t="str">
        <f t="shared" si="71"/>
        <v>0.999999790505917-0.00012336097692492i</v>
      </c>
      <c r="AA88" s="160">
        <f t="shared" si="83"/>
        <v>0.99999979811488382</v>
      </c>
      <c r="AB88" s="160">
        <f t="shared" si="84"/>
        <v>-1.233610021425535E-4</v>
      </c>
      <c r="AC88" s="171" t="str">
        <f t="shared" si="85"/>
        <v>20.6052690671704-1.51469316337575i</v>
      </c>
      <c r="AD88" s="190">
        <f t="shared" si="86"/>
        <v>26.302970672999606</v>
      </c>
      <c r="AE88" s="169">
        <f t="shared" si="87"/>
        <v>-4.2042503104504796</v>
      </c>
      <c r="AF88" s="98" t="str">
        <f t="shared" si="72"/>
        <v>-0.0000897803247373448</v>
      </c>
      <c r="AG88" s="98" t="str">
        <f t="shared" si="73"/>
        <v>0.000629810452494572i</v>
      </c>
      <c r="AH88" s="98">
        <f t="shared" si="88"/>
        <v>6.2981045249457205E-4</v>
      </c>
      <c r="AI88" s="98">
        <f t="shared" si="89"/>
        <v>1.5707963267948966</v>
      </c>
      <c r="AJ88" s="98" t="str">
        <f t="shared" si="74"/>
        <v>1+0.0740027281681122i</v>
      </c>
      <c r="AK88" s="98">
        <f t="shared" si="90"/>
        <v>1.0027344632435466</v>
      </c>
      <c r="AL88" s="98">
        <f t="shared" si="91"/>
        <v>7.3868080715603052E-2</v>
      </c>
      <c r="AM88" s="98" t="str">
        <f t="shared" si="75"/>
        <v>1+0.148005456336225i</v>
      </c>
      <c r="AN88" s="98">
        <f t="shared" si="92"/>
        <v>1.0108934736683655</v>
      </c>
      <c r="AO88" s="98">
        <f t="shared" si="93"/>
        <v>0.14693872521119861</v>
      </c>
      <c r="AP88" s="168" t="str">
        <f t="shared" si="94"/>
        <v>-0.0104917312002728+0.143327757983574i</v>
      </c>
      <c r="AQ88" s="98">
        <f t="shared" si="95"/>
        <v>-16.850184818664907</v>
      </c>
      <c r="AR88" s="169">
        <f t="shared" si="96"/>
        <v>94.186639535898465</v>
      </c>
      <c r="AS88" s="168" t="str">
        <f t="shared" si="97"/>
        <v>0.000912630777645917+2.96919877156685i</v>
      </c>
      <c r="AT88" s="190">
        <f t="shared" si="98"/>
        <v>9.4527858543346923</v>
      </c>
      <c r="AU88" s="169">
        <f t="shared" si="99"/>
        <v>89.982389225447989</v>
      </c>
      <c r="AV88" s="225"/>
      <c r="AX88">
        <f t="shared" si="100"/>
        <v>0</v>
      </c>
      <c r="AY88">
        <f t="shared" si="101"/>
        <v>0</v>
      </c>
    </row>
    <row r="89" spans="14:51" x14ac:dyDescent="0.3">
      <c r="N89" s="170">
        <v>71</v>
      </c>
      <c r="O89" s="199">
        <f t="shared" si="76"/>
        <v>51.28613839913649</v>
      </c>
      <c r="P89" s="189" t="str">
        <f t="shared" si="67"/>
        <v>20.7142857142857</v>
      </c>
      <c r="Q89" s="160" t="str">
        <f t="shared" si="68"/>
        <v>1+0.0736549282860418i</v>
      </c>
      <c r="R89" s="160">
        <f t="shared" si="77"/>
        <v>1.0027088552819419</v>
      </c>
      <c r="S89" s="160">
        <f t="shared" si="78"/>
        <v>7.3522166311162207E-2</v>
      </c>
      <c r="T89" s="160" t="str">
        <f t="shared" si="69"/>
        <v>1+6.44480622502866E-06i</v>
      </c>
      <c r="U89" s="160">
        <f t="shared" si="79"/>
        <v>1.0000000000207678</v>
      </c>
      <c r="V89" s="160">
        <f t="shared" si="80"/>
        <v>6.4448062249394301E-6</v>
      </c>
      <c r="W89" s="98" t="str">
        <f t="shared" si="70"/>
        <v>1-0.00169176163407002i</v>
      </c>
      <c r="X89" s="160">
        <f t="shared" si="81"/>
        <v>1.0000014310276895</v>
      </c>
      <c r="Y89" s="160">
        <f t="shared" si="82"/>
        <v>-1.6917600200998086E-3</v>
      </c>
      <c r="Z89" s="98" t="str">
        <f t="shared" si="71"/>
        <v>0.999999780632765-0.000126234423208179i</v>
      </c>
      <c r="AA89" s="160">
        <f t="shared" si="83"/>
        <v>0.99999978860033134</v>
      </c>
      <c r="AB89" s="160">
        <f t="shared" si="84"/>
        <v>-1.2623445022936041E-4</v>
      </c>
      <c r="AC89" s="171" t="str">
        <f t="shared" si="85"/>
        <v>20.6001589932575-1.54959851767898i</v>
      </c>
      <c r="AD89" s="190">
        <f t="shared" si="86"/>
        <v>26.30191650315188</v>
      </c>
      <c r="AE89" s="169">
        <f t="shared" si="87"/>
        <v>-4.3018385779654489</v>
      </c>
      <c r="AF89" s="98" t="str">
        <f t="shared" si="72"/>
        <v>-0.0000897803247373448</v>
      </c>
      <c r="AG89" s="98" t="str">
        <f t="shared" si="73"/>
        <v>0.000644480622502866i</v>
      </c>
      <c r="AH89" s="98">
        <f t="shared" si="88"/>
        <v>6.44480622502866E-4</v>
      </c>
      <c r="AI89" s="98">
        <f t="shared" si="89"/>
        <v>1.5707963267948966</v>
      </c>
      <c r="AJ89" s="98" t="str">
        <f t="shared" si="74"/>
        <v>1+0.0757264731440868i</v>
      </c>
      <c r="AK89" s="98">
        <f t="shared" si="90"/>
        <v>1.0028631505518797</v>
      </c>
      <c r="AL89" s="98">
        <f t="shared" si="91"/>
        <v>7.5582218036709614E-2</v>
      </c>
      <c r="AM89" s="98" t="str">
        <f t="shared" si="75"/>
        <v>1+0.151452946288174i</v>
      </c>
      <c r="AN89" s="98">
        <f t="shared" si="92"/>
        <v>1.0114039721789549</v>
      </c>
      <c r="AO89" s="98">
        <f t="shared" si="93"/>
        <v>0.15031061820799771</v>
      </c>
      <c r="AP89" s="168" t="str">
        <f t="shared" si="94"/>
        <v>-0.0104890387770415+0.140100774481442i</v>
      </c>
      <c r="AQ89" s="98">
        <f t="shared" si="95"/>
        <v>-17.046914218803074</v>
      </c>
      <c r="AR89" s="169">
        <f t="shared" si="96"/>
        <v>94.281621939579523</v>
      </c>
      <c r="AS89" s="168" t="str">
        <f t="shared" si="97"/>
        <v>0.0010240859686215+2.902352028337i</v>
      </c>
      <c r="AT89" s="190">
        <f t="shared" si="98"/>
        <v>9.2550022843488051</v>
      </c>
      <c r="AU89" s="169">
        <f t="shared" si="99"/>
        <v>89.979783361614082</v>
      </c>
      <c r="AV89" s="225"/>
      <c r="AX89">
        <f t="shared" si="100"/>
        <v>0</v>
      </c>
      <c r="AY89">
        <f t="shared" si="101"/>
        <v>0</v>
      </c>
    </row>
    <row r="90" spans="14:51" x14ac:dyDescent="0.3">
      <c r="N90" s="170">
        <v>72</v>
      </c>
      <c r="O90" s="199">
        <f t="shared" si="76"/>
        <v>52.480746024977286</v>
      </c>
      <c r="P90" s="189" t="str">
        <f t="shared" si="67"/>
        <v>20.7142857142857</v>
      </c>
      <c r="Q90" s="160" t="str">
        <f t="shared" si="68"/>
        <v>1+0.0753705719620482i</v>
      </c>
      <c r="R90" s="160">
        <f t="shared" si="77"/>
        <v>1.0028363391490589</v>
      </c>
      <c r="S90" s="160">
        <f t="shared" si="78"/>
        <v>7.5228336664303244E-2</v>
      </c>
      <c r="T90" s="160" t="str">
        <f t="shared" si="69"/>
        <v>1+6.59492504667922E-06i</v>
      </c>
      <c r="U90" s="160">
        <f t="shared" si="79"/>
        <v>1.0000000000217466</v>
      </c>
      <c r="V90" s="160">
        <f t="shared" si="80"/>
        <v>6.5949250465836088E-6</v>
      </c>
      <c r="W90" s="98" t="str">
        <f t="shared" si="70"/>
        <v>1-0.00173116782475329i</v>
      </c>
      <c r="X90" s="160">
        <f t="shared" si="81"/>
        <v>1.0000014984698959</v>
      </c>
      <c r="Y90" s="160">
        <f t="shared" si="82"/>
        <v>-1.7311660953531905E-3</v>
      </c>
      <c r="Z90" s="98" t="str">
        <f t="shared" si="71"/>
        <v>0.999999770294306-0.000129174800653532i</v>
      </c>
      <c r="AA90" s="160">
        <f t="shared" si="83"/>
        <v>0.99999977863737233</v>
      </c>
      <c r="AB90" s="160">
        <f t="shared" si="84"/>
        <v>-1.2917482960724975E-4</v>
      </c>
      <c r="AC90" s="171" t="str">
        <f t="shared" si="85"/>
        <v>20.5948107484779-1.58529020400932i</v>
      </c>
      <c r="AD90" s="190">
        <f t="shared" si="86"/>
        <v>26.300812926328554</v>
      </c>
      <c r="AE90" s="169">
        <f t="shared" si="87"/>
        <v>-4.4016756676265443</v>
      </c>
      <c r="AF90" s="98" t="str">
        <f t="shared" si="72"/>
        <v>-0.0000897803247373448</v>
      </c>
      <c r="AG90" s="98" t="str">
        <f t="shared" si="73"/>
        <v>0.000659492504667922i</v>
      </c>
      <c r="AH90" s="98">
        <f t="shared" si="88"/>
        <v>6.5949250466792195E-4</v>
      </c>
      <c r="AI90" s="98">
        <f t="shared" si="89"/>
        <v>1.5707963267948966</v>
      </c>
      <c r="AJ90" s="98" t="str">
        <f t="shared" si="74"/>
        <v>1+0.0774903692984809i</v>
      </c>
      <c r="AK90" s="98">
        <f t="shared" si="90"/>
        <v>1.0029978850097416</v>
      </c>
      <c r="AL90" s="98">
        <f t="shared" si="91"/>
        <v>7.7335822107440291E-2</v>
      </c>
      <c r="AM90" s="98" t="str">
        <f t="shared" si="75"/>
        <v>1+0.154980738596962i</v>
      </c>
      <c r="AN90" s="98">
        <f t="shared" si="92"/>
        <v>1.0119382537171226</v>
      </c>
      <c r="AO90" s="98">
        <f t="shared" si="93"/>
        <v>0.15375749055998364</v>
      </c>
      <c r="AP90" s="168" t="str">
        <f t="shared" si="94"/>
        <v>-0.0104862209445154+0.136948055156175i</v>
      </c>
      <c r="AQ90" s="98">
        <f t="shared" si="95"/>
        <v>-17.243493914737726</v>
      </c>
      <c r="AR90" s="169">
        <f t="shared" si="96"/>
        <v>94.378639065678811</v>
      </c>
      <c r="AS90" s="168" t="str">
        <f t="shared" si="97"/>
        <v>0.00114067447819244+2.83704298165395i</v>
      </c>
      <c r="AT90" s="190">
        <f t="shared" si="98"/>
        <v>9.0573190115908133</v>
      </c>
      <c r="AU90" s="169">
        <f t="shared" si="99"/>
        <v>89.976963398052263</v>
      </c>
      <c r="AV90" s="225"/>
      <c r="AX90">
        <f t="shared" si="100"/>
        <v>0</v>
      </c>
      <c r="AY90">
        <f t="shared" si="101"/>
        <v>0</v>
      </c>
    </row>
    <row r="91" spans="14:51" x14ac:dyDescent="0.3">
      <c r="N91" s="170">
        <v>73</v>
      </c>
      <c r="O91" s="199">
        <f t="shared" si="76"/>
        <v>53.703179637025293</v>
      </c>
      <c r="P91" s="189" t="str">
        <f t="shared" si="67"/>
        <v>20.7142857142857</v>
      </c>
      <c r="Q91" s="160" t="str">
        <f t="shared" si="68"/>
        <v>1+0.0771261781129561i</v>
      </c>
      <c r="R91" s="160">
        <f t="shared" si="77"/>
        <v>1.002969813778217</v>
      </c>
      <c r="S91" s="160">
        <f t="shared" si="78"/>
        <v>7.6973794608217266E-2</v>
      </c>
      <c r="T91" s="160" t="str">
        <f t="shared" si="69"/>
        <v>1+6.74854058488366E-06i</v>
      </c>
      <c r="U91" s="160">
        <f t="shared" si="79"/>
        <v>1.0000000000227716</v>
      </c>
      <c r="V91" s="160">
        <f t="shared" si="80"/>
        <v>6.7485405847812105E-6</v>
      </c>
      <c r="W91" s="98" t="str">
        <f t="shared" si="70"/>
        <v>1-0.00177149190353196i</v>
      </c>
      <c r="X91" s="160">
        <f t="shared" si="81"/>
        <v>1.000001569090551</v>
      </c>
      <c r="Y91" s="160">
        <f t="shared" si="82"/>
        <v>-1.7714900504465238E-3</v>
      </c>
      <c r="Z91" s="98" t="str">
        <f t="shared" si="71"/>
        <v>0.99999975946861-0.000132183668288023i</v>
      </c>
      <c r="AA91" s="160">
        <f t="shared" si="83"/>
        <v>0.99999976820487313</v>
      </c>
      <c r="AB91" s="160">
        <f t="shared" si="84"/>
        <v>-1.3218369931249091E-4</v>
      </c>
      <c r="AC91" s="171" t="str">
        <f t="shared" si="85"/>
        <v>20.5892133625428-1.62178465181786i</v>
      </c>
      <c r="AD91" s="190">
        <f t="shared" si="86"/>
        <v>26.299657640382495</v>
      </c>
      <c r="AE91" s="169">
        <f t="shared" si="87"/>
        <v>-4.5038122365133244</v>
      </c>
      <c r="AF91" s="98" t="str">
        <f t="shared" si="72"/>
        <v>-0.0000897803247373448</v>
      </c>
      <c r="AG91" s="98" t="str">
        <f t="shared" si="73"/>
        <v>0.000674854058488367i</v>
      </c>
      <c r="AH91" s="98">
        <f t="shared" si="88"/>
        <v>6.7485405848836705E-4</v>
      </c>
      <c r="AI91" s="98">
        <f t="shared" si="89"/>
        <v>1.5707963267948966</v>
      </c>
      <c r="AJ91" s="98" t="str">
        <f t="shared" si="74"/>
        <v>1+0.079295351872383i</v>
      </c>
      <c r="AK91" s="98">
        <f t="shared" si="90"/>
        <v>1.0031389499110106</v>
      </c>
      <c r="AL91" s="98">
        <f t="shared" si="91"/>
        <v>7.9129779547319076E-2</v>
      </c>
      <c r="AM91" s="98" t="str">
        <f t="shared" si="75"/>
        <v>1+0.158590703744766i</v>
      </c>
      <c r="AN91" s="98">
        <f t="shared" si="92"/>
        <v>1.0124974129913913</v>
      </c>
      <c r="AO91" s="98">
        <f t="shared" si="93"/>
        <v>0.15728084205939799</v>
      </c>
      <c r="AP91" s="168" t="str">
        <f t="shared" si="94"/>
        <v>-0.0104832719338831+0.133867927044156i</v>
      </c>
      <c r="AQ91" s="98">
        <f t="shared" si="95"/>
        <v>-17.439917268155561</v>
      </c>
      <c r="AR91" s="169">
        <f t="shared" si="96"/>
        <v>94.477726046405195</v>
      </c>
      <c r="AS91" s="168" t="str">
        <f t="shared" si="97"/>
        <v>0.00126262686660941+2.77323692183665i</v>
      </c>
      <c r="AT91" s="190">
        <f t="shared" si="98"/>
        <v>8.859740372226943</v>
      </c>
      <c r="AU91" s="169">
        <f t="shared" si="99"/>
        <v>89.973913809891883</v>
      </c>
      <c r="AV91" s="225"/>
      <c r="AX91">
        <f t="shared" si="100"/>
        <v>0</v>
      </c>
      <c r="AY91">
        <f t="shared" si="101"/>
        <v>0</v>
      </c>
    </row>
    <row r="92" spans="14:51" x14ac:dyDescent="0.3">
      <c r="N92" s="170">
        <v>74</v>
      </c>
      <c r="O92" s="199">
        <f t="shared" si="76"/>
        <v>54.95408738576247</v>
      </c>
      <c r="P92" s="189" t="str">
        <f t="shared" si="67"/>
        <v>20.7142857142857</v>
      </c>
      <c r="Q92" s="160" t="str">
        <f t="shared" si="68"/>
        <v>1+0.0789226775843854i</v>
      </c>
      <c r="R92" s="160">
        <f t="shared" si="77"/>
        <v>1.0031095598373534</v>
      </c>
      <c r="S92" s="160">
        <f t="shared" si="78"/>
        <v>7.8759423041994014E-2</v>
      </c>
      <c r="T92" s="160" t="str">
        <f t="shared" si="69"/>
        <v>1+6.90573428863372E-06i</v>
      </c>
      <c r="U92" s="160">
        <f t="shared" si="79"/>
        <v>1.0000000000238445</v>
      </c>
      <c r="V92" s="160">
        <f t="shared" si="80"/>
        <v>6.9057342885239438E-6</v>
      </c>
      <c r="W92" s="98" t="str">
        <f t="shared" si="70"/>
        <v>1-0.00181275525076635i</v>
      </c>
      <c r="X92" s="160">
        <f t="shared" si="81"/>
        <v>1.0000016430394498</v>
      </c>
      <c r="Y92" s="160">
        <f t="shared" si="82"/>
        <v>-1.8127532651497072E-3</v>
      </c>
      <c r="Z92" s="98" t="str">
        <f t="shared" si="71"/>
        <v>0.999999748132714-0.000135262621453098i</v>
      </c>
      <c r="AA92" s="160">
        <f t="shared" si="83"/>
        <v>0.99999975728070467</v>
      </c>
      <c r="AB92" s="160">
        <f t="shared" si="84"/>
        <v>-1.3526265469641474E-4</v>
      </c>
      <c r="AC92" s="171" t="str">
        <f t="shared" si="85"/>
        <v>20.5833553723627-1.65909854125385i</v>
      </c>
      <c r="AD92" s="190">
        <f t="shared" si="86"/>
        <v>26.298448237187632</v>
      </c>
      <c r="AE92" s="169">
        <f t="shared" si="87"/>
        <v>-4.6082999999142755</v>
      </c>
      <c r="AF92" s="98" t="str">
        <f t="shared" si="72"/>
        <v>-0.0000897803247373448</v>
      </c>
      <c r="AG92" s="98" t="str">
        <f t="shared" si="73"/>
        <v>0.000690573428863372i</v>
      </c>
      <c r="AH92" s="98">
        <f t="shared" si="88"/>
        <v>6.90573428863372E-4</v>
      </c>
      <c r="AI92" s="98">
        <f t="shared" si="89"/>
        <v>1.5707963267948966</v>
      </c>
      <c r="AJ92" s="98" t="str">
        <f t="shared" si="74"/>
        <v>1+0.0811423778914462i</v>
      </c>
      <c r="AK92" s="98">
        <f t="shared" si="90"/>
        <v>1.0032866417379822</v>
      </c>
      <c r="AL92" s="98">
        <f t="shared" si="91"/>
        <v>8.0964995322829927E-2</v>
      </c>
      <c r="AM92" s="98" t="str">
        <f t="shared" si="75"/>
        <v>1+0.162284755782893i</v>
      </c>
      <c r="AN92" s="98">
        <f t="shared" si="92"/>
        <v>1.0130825938488497</v>
      </c>
      <c r="AO92" s="98">
        <f t="shared" si="93"/>
        <v>0.16088219074331067</v>
      </c>
      <c r="AP92" s="168" t="str">
        <f t="shared" si="94"/>
        <v>-0.0104801857179215+0.13085875557603i</v>
      </c>
      <c r="AQ92" s="98">
        <f t="shared" si="95"/>
        <v>-17.636177366564244</v>
      </c>
      <c r="AR92" s="169">
        <f t="shared" si="96"/>
        <v>94.578918008115778</v>
      </c>
      <c r="AS92" s="168" t="str">
        <f t="shared" si="97"/>
        <v>0.00139018348614714+2.71089993044325i</v>
      </c>
      <c r="AT92" s="190">
        <f t="shared" si="98"/>
        <v>8.6622708706233968</v>
      </c>
      <c r="AU92" s="169">
        <f t="shared" si="99"/>
        <v>89.970618008201512</v>
      </c>
      <c r="AV92" s="225"/>
      <c r="AX92">
        <f t="shared" si="100"/>
        <v>0</v>
      </c>
      <c r="AY92">
        <f t="shared" si="101"/>
        <v>0</v>
      </c>
    </row>
    <row r="93" spans="14:51" x14ac:dyDescent="0.3">
      <c r="N93" s="170">
        <v>75</v>
      </c>
      <c r="O93" s="199">
        <f t="shared" si="76"/>
        <v>56.234132519034915</v>
      </c>
      <c r="P93" s="189" t="str">
        <f t="shared" si="67"/>
        <v>20.7142857142857</v>
      </c>
      <c r="Q93" s="160" t="str">
        <f t="shared" si="68"/>
        <v>1+0.0807610229041349i</v>
      </c>
      <c r="R93" s="160">
        <f t="shared" si="77"/>
        <v>1.0032558710620747</v>
      </c>
      <c r="S93" s="160">
        <f t="shared" si="78"/>
        <v>8.0586123156658085E-2</v>
      </c>
      <c r="T93" s="160" t="str">
        <f t="shared" si="69"/>
        <v>1+0.0000070665895041118i</v>
      </c>
      <c r="U93" s="160">
        <f t="shared" si="79"/>
        <v>1.0000000000249685</v>
      </c>
      <c r="V93" s="160">
        <f t="shared" si="80"/>
        <v>7.0665895039941727E-6</v>
      </c>
      <c r="W93" s="98" t="str">
        <f t="shared" si="70"/>
        <v>1-0.00185497974482934i</v>
      </c>
      <c r="X93" s="160">
        <f t="shared" si="81"/>
        <v>1.0000017204734468</v>
      </c>
      <c r="Y93" s="160">
        <f t="shared" si="82"/>
        <v>-1.8549776172029722E-3</v>
      </c>
      <c r="Z93" s="98" t="str">
        <f t="shared" si="71"/>
        <v>0.999999736262575-0.000138413292650479i</v>
      </c>
      <c r="AA93" s="160">
        <f t="shared" si="83"/>
        <v>0.99999974584169726</v>
      </c>
      <c r="AB93" s="160">
        <f t="shared" si="84"/>
        <v>-1.3841332827133499E-4</v>
      </c>
      <c r="AC93" s="171" t="str">
        <f t="shared" si="85"/>
        <v>20.5772248011112-1.69724879991711i</v>
      </c>
      <c r="AD93" s="190">
        <f t="shared" si="86"/>
        <v>26.297182197884226</v>
      </c>
      <c r="AE93" s="169">
        <f t="shared" si="87"/>
        <v>-4.7151917474625087</v>
      </c>
      <c r="AF93" s="98" t="str">
        <f t="shared" si="72"/>
        <v>-0.0000897803247373448</v>
      </c>
      <c r="AG93" s="98" t="str">
        <f t="shared" si="73"/>
        <v>0.00070665895041118i</v>
      </c>
      <c r="AH93" s="98">
        <f t="shared" si="88"/>
        <v>7.0665895041117997E-4</v>
      </c>
      <c r="AI93" s="98">
        <f t="shared" si="89"/>
        <v>1.5707963267948966</v>
      </c>
      <c r="AJ93" s="98" t="str">
        <f t="shared" si="74"/>
        <v>1+0.0830324266733136i</v>
      </c>
      <c r="AK93" s="98">
        <f t="shared" si="90"/>
        <v>1.0034412707673823</v>
      </c>
      <c r="AL93" s="98">
        <f t="shared" si="91"/>
        <v>8.2842393013791163E-2</v>
      </c>
      <c r="AM93" s="98" t="str">
        <f t="shared" si="75"/>
        <v>1+0.166064853346628i</v>
      </c>
      <c r="AN93" s="98">
        <f t="shared" si="92"/>
        <v>1.0136949913642845</v>
      </c>
      <c r="AO93" s="98">
        <f t="shared" si="93"/>
        <v>0.1645630722363893</v>
      </c>
      <c r="AP93" s="168" t="str">
        <f t="shared" si="94"/>
        <v>-0.0104769560000874+0.127918943703502i</v>
      </c>
      <c r="AQ93" s="98">
        <f t="shared" si="95"/>
        <v>-17.832267013879626</v>
      </c>
      <c r="AR93" s="169">
        <f t="shared" si="96"/>
        <v>94.682250018397283</v>
      </c>
      <c r="AS93" s="168" t="str">
        <f t="shared" si="97"/>
        <v>0.0015235948422839+2.64999886190558i</v>
      </c>
      <c r="AT93" s="190">
        <f t="shared" si="98"/>
        <v>8.4649151840045906</v>
      </c>
      <c r="AU93" s="169">
        <f t="shared" si="99"/>
        <v>89.967058270934785</v>
      </c>
      <c r="AV93" s="225"/>
      <c r="AX93">
        <f t="shared" si="100"/>
        <v>0</v>
      </c>
      <c r="AY93">
        <f t="shared" si="101"/>
        <v>0</v>
      </c>
    </row>
    <row r="94" spans="14:51" x14ac:dyDescent="0.3">
      <c r="N94" s="170">
        <v>76</v>
      </c>
      <c r="O94" s="199">
        <f t="shared" si="76"/>
        <v>57.543993733715695</v>
      </c>
      <c r="P94" s="189" t="str">
        <f t="shared" si="67"/>
        <v>20.7142857142857</v>
      </c>
      <c r="Q94" s="160" t="str">
        <f t="shared" si="68"/>
        <v>1+0.0826421887872267i</v>
      </c>
      <c r="R94" s="160">
        <f t="shared" si="77"/>
        <v>1.0034090548562653</v>
      </c>
      <c r="S94" s="160">
        <f t="shared" si="78"/>
        <v>8.2454814702439164E-2</v>
      </c>
      <c r="T94" s="160" t="str">
        <f t="shared" si="69"/>
        <v>1+7.23119151888234E-06i</v>
      </c>
      <c r="U94" s="160">
        <f t="shared" si="79"/>
        <v>1.0000000000261451</v>
      </c>
      <c r="V94" s="160">
        <f t="shared" si="80"/>
        <v>7.2311915187562999E-6</v>
      </c>
      <c r="W94" s="98" t="str">
        <f t="shared" si="70"/>
        <v>1-0.00189818777370661i</v>
      </c>
      <c r="X94" s="160">
        <f t="shared" si="81"/>
        <v>1.0000018015567893</v>
      </c>
      <c r="Y94" s="160">
        <f t="shared" si="82"/>
        <v>-1.8981854939141042E-3</v>
      </c>
      <c r="Z94" s="98" t="str">
        <f t="shared" si="71"/>
        <v>0.999999723833013-0.000141637352407741i</v>
      </c>
      <c r="AA94" s="160">
        <f t="shared" si="83"/>
        <v>0.99999973386358554</v>
      </c>
      <c r="AB94" s="160">
        <f t="shared" si="84"/>
        <v>-1.4163739057617631E-4</v>
      </c>
      <c r="AC94" s="171" t="str">
        <f t="shared" si="85"/>
        <v>20.5708091365133-1.73625259892661i</v>
      </c>
      <c r="AD94" s="190">
        <f t="shared" si="86"/>
        <v>26.295856887921563</v>
      </c>
      <c r="AE94" s="169">
        <f t="shared" si="87"/>
        <v>-4.8245413590611328</v>
      </c>
      <c r="AF94" s="98" t="str">
        <f t="shared" si="72"/>
        <v>-0.0000897803247373448</v>
      </c>
      <c r="AG94" s="98" t="str">
        <f t="shared" si="73"/>
        <v>0.000723119151888233i</v>
      </c>
      <c r="AH94" s="98">
        <f t="shared" si="88"/>
        <v>7.2311915188823304E-4</v>
      </c>
      <c r="AI94" s="98">
        <f t="shared" si="89"/>
        <v>1.5707963267948966</v>
      </c>
      <c r="AJ94" s="98" t="str">
        <f t="shared" si="74"/>
        <v>1+0.0849665003468675i</v>
      </c>
      <c r="AK94" s="98">
        <f t="shared" si="90"/>
        <v>1.0036031617034664</v>
      </c>
      <c r="AL94" s="98">
        <f t="shared" si="91"/>
        <v>8.4762915074891587E-2</v>
      </c>
      <c r="AM94" s="98" t="str">
        <f t="shared" si="75"/>
        <v>1+0.169933000693735i</v>
      </c>
      <c r="AN94" s="98">
        <f t="shared" si="92"/>
        <v>1.0143358540073286</v>
      </c>
      <c r="AO94" s="98">
        <f t="shared" si="93"/>
        <v>0.1683250390137383</v>
      </c>
      <c r="AP94" s="168" t="str">
        <f t="shared" si="94"/>
        <v>-0.0104735762032149+0.125046931045605i</v>
      </c>
      <c r="AQ94" s="98">
        <f t="shared" si="95"/>
        <v>-18.028178720875545</v>
      </c>
      <c r="AR94" s="169">
        <f t="shared" si="96"/>
        <v>94.787757028844993</v>
      </c>
      <c r="AS94" s="168" t="str">
        <f t="shared" si="97"/>
        <v>0.00166312196266691+2.59050132554877i</v>
      </c>
      <c r="AT94" s="190">
        <f t="shared" si="98"/>
        <v>8.2676781670460251</v>
      </c>
      <c r="AU94" s="169">
        <f t="shared" si="99"/>
        <v>89.963215669783864</v>
      </c>
      <c r="AV94" s="225"/>
      <c r="AX94">
        <f t="shared" si="100"/>
        <v>0</v>
      </c>
      <c r="AY94">
        <f t="shared" si="101"/>
        <v>0</v>
      </c>
    </row>
    <row r="95" spans="14:51" x14ac:dyDescent="0.3">
      <c r="N95" s="170">
        <v>77</v>
      </c>
      <c r="O95" s="199">
        <f t="shared" si="76"/>
        <v>58.884365535558949</v>
      </c>
      <c r="P95" s="189" t="str">
        <f t="shared" si="67"/>
        <v>20.7142857142857</v>
      </c>
      <c r="Q95" s="160" t="str">
        <f t="shared" si="68"/>
        <v>1+0.0845671726527122i</v>
      </c>
      <c r="R95" s="160">
        <f t="shared" si="77"/>
        <v>1.0035694329195533</v>
      </c>
      <c r="S95" s="160">
        <f t="shared" si="78"/>
        <v>8.4366436251362878E-2</v>
      </c>
      <c r="T95" s="160" t="str">
        <f t="shared" si="69"/>
        <v>1+7.39962760711232E-06i</v>
      </c>
      <c r="U95" s="160">
        <f t="shared" si="79"/>
        <v>1.0000000000273772</v>
      </c>
      <c r="V95" s="160">
        <f t="shared" si="80"/>
        <v>7.3996276069772658E-6</v>
      </c>
      <c r="W95" s="98" t="str">
        <f t="shared" si="70"/>
        <v>1-0.00194240224686698i</v>
      </c>
      <c r="X95" s="160">
        <f t="shared" si="81"/>
        <v>1.0000018864614648</v>
      </c>
      <c r="Y95" s="160">
        <f t="shared" si="82"/>
        <v>-1.9423998040255471E-3</v>
      </c>
      <c r="Z95" s="98" t="str">
        <f t="shared" si="71"/>
        <v>0.999999710817664-0.000144936510164041i</v>
      </c>
      <c r="AA95" s="160">
        <f t="shared" si="83"/>
        <v>0.99999972132096304</v>
      </c>
      <c r="AB95" s="160">
        <f t="shared" si="84"/>
        <v>-1.4493655106225678E-4</v>
      </c>
      <c r="AC95" s="171" t="str">
        <f t="shared" si="85"/>
        <v>20.5640953083479-1.77612734825175i</v>
      </c>
      <c r="AD95" s="190">
        <f t="shared" si="86"/>
        <v>26.294469551893531</v>
      </c>
      <c r="AE95" s="169">
        <f t="shared" si="87"/>
        <v>-4.9364038205554124</v>
      </c>
      <c r="AF95" s="98" t="str">
        <f t="shared" si="72"/>
        <v>-0.0000897803247373448</v>
      </c>
      <c r="AG95" s="98" t="str">
        <f t="shared" si="73"/>
        <v>0.000739962760711232i</v>
      </c>
      <c r="AH95" s="98">
        <f t="shared" si="88"/>
        <v>7.39962760711232E-4</v>
      </c>
      <c r="AI95" s="98">
        <f t="shared" si="89"/>
        <v>1.5707963267948966</v>
      </c>
      <c r="AJ95" s="98" t="str">
        <f t="shared" si="74"/>
        <v>1+0.0869456243835698i</v>
      </c>
      <c r="AK95" s="98">
        <f t="shared" si="90"/>
        <v>1.0037726543393424</v>
      </c>
      <c r="AL95" s="98">
        <f t="shared" si="91"/>
        <v>8.6727523091533018E-2</v>
      </c>
      <c r="AM95" s="98" t="str">
        <f t="shared" si="75"/>
        <v>1+0.17389124876714i</v>
      </c>
      <c r="AN95" s="98">
        <f t="shared" si="92"/>
        <v>1.0150064858895214</v>
      </c>
      <c r="AO95" s="98">
        <f t="shared" si="93"/>
        <v>0.17216965957872016</v>
      </c>
      <c r="AP95" s="168" t="str">
        <f t="shared" si="94"/>
        <v>-0.0104700394578089+0.122241193053939i</v>
      </c>
      <c r="AQ95" s="98">
        <f t="shared" si="95"/>
        <v>-18.223904695516051</v>
      </c>
      <c r="AR95" s="169">
        <f t="shared" si="96"/>
        <v>94.895473813296547</v>
      </c>
      <c r="AS95" s="168" t="str">
        <f t="shared" si="97"/>
        <v>0.00180903677347755+2.53237566798565i</v>
      </c>
      <c r="AT95" s="190">
        <f t="shared" si="98"/>
        <v>8.0705648563774943</v>
      </c>
      <c r="AU95" s="169">
        <f t="shared" si="99"/>
        <v>89.959069992741149</v>
      </c>
      <c r="AV95" s="225"/>
      <c r="AX95">
        <f t="shared" si="100"/>
        <v>0</v>
      </c>
      <c r="AY95">
        <f t="shared" si="101"/>
        <v>0</v>
      </c>
    </row>
    <row r="96" spans="14:51" x14ac:dyDescent="0.3">
      <c r="N96" s="170">
        <v>78</v>
      </c>
      <c r="O96" s="199">
        <f t="shared" si="76"/>
        <v>60.255958607435822</v>
      </c>
      <c r="P96" s="189" t="str">
        <f t="shared" si="67"/>
        <v>20.7142857142857</v>
      </c>
      <c r="Q96" s="160" t="str">
        <f t="shared" si="68"/>
        <v>1+0.086536995152517i</v>
      </c>
      <c r="R96" s="160">
        <f t="shared" si="77"/>
        <v>1.0037373419027642</v>
      </c>
      <c r="S96" s="160">
        <f t="shared" si="78"/>
        <v>8.6321945454331361E-2</v>
      </c>
      <c r="T96" s="160" t="str">
        <f t="shared" si="69"/>
        <v>1+7.57198707584524E-06i</v>
      </c>
      <c r="U96" s="160">
        <f t="shared" si="79"/>
        <v>1.0000000000286675</v>
      </c>
      <c r="V96" s="160">
        <f t="shared" si="80"/>
        <v>7.5719870757005271E-6</v>
      </c>
      <c r="W96" s="98" t="str">
        <f t="shared" si="70"/>
        <v>1-0.00198764660740937i</v>
      </c>
      <c r="X96" s="160">
        <f t="shared" si="81"/>
        <v>1.0000019753675669</v>
      </c>
      <c r="Y96" s="160">
        <f t="shared" si="82"/>
        <v>-1.9876439898578939E-3</v>
      </c>
      <c r="Z96" s="98" t="str">
        <f t="shared" si="71"/>
        <v>0.99999969718892-0.000148312515176491i</v>
      </c>
      <c r="AA96" s="160">
        <f t="shared" si="83"/>
        <v>0.99999970818722428</v>
      </c>
      <c r="AB96" s="160">
        <f t="shared" si="84"/>
        <v>-1.483125589997194E-4</v>
      </c>
      <c r="AC96" s="171" t="str">
        <f t="shared" si="85"/>
        <v>20.5570696651411-1.81689069124768i</v>
      </c>
      <c r="AD96" s="190">
        <f t="shared" si="86"/>
        <v>26.29301730815628</v>
      </c>
      <c r="AE96" s="169">
        <f t="shared" si="87"/>
        <v>-5.0508352391036269</v>
      </c>
      <c r="AF96" s="98" t="str">
        <f t="shared" si="72"/>
        <v>-0.0000897803247373448</v>
      </c>
      <c r="AG96" s="98" t="str">
        <f t="shared" si="73"/>
        <v>0.000757198707584524i</v>
      </c>
      <c r="AH96" s="98">
        <f t="shared" si="88"/>
        <v>7.5719870758452401E-4</v>
      </c>
      <c r="AI96" s="98">
        <f t="shared" si="89"/>
        <v>1.5707963267948966</v>
      </c>
      <c r="AJ96" s="98" t="str">
        <f t="shared" si="74"/>
        <v>1+0.0889708481411816i</v>
      </c>
      <c r="AK96" s="98">
        <f t="shared" si="90"/>
        <v>1.0039501042476968</v>
      </c>
      <c r="AL96" s="98">
        <f t="shared" si="91"/>
        <v>8.8737198029072359E-2</v>
      </c>
      <c r="AM96" s="98" t="str">
        <f t="shared" si="75"/>
        <v>1+0.177941696282364i</v>
      </c>
      <c r="AN96" s="98">
        <f t="shared" si="92"/>
        <v>1.0157082490931366</v>
      </c>
      <c r="AO96" s="98">
        <f t="shared" si="93"/>
        <v>0.17609851755050096</v>
      </c>
      <c r="AP96" s="168" t="str">
        <f t="shared" si="94"/>
        <v>-0.0104663385899267+0.119500240196409i</v>
      </c>
      <c r="AQ96" s="98">
        <f t="shared" si="95"/>
        <v>-18.419436833191771</v>
      </c>
      <c r="AR96" s="169">
        <f t="shared" si="96"/>
        <v>95.005434901271684</v>
      </c>
      <c r="AS96" s="168" t="str">
        <f t="shared" si="97"/>
        <v>0.00196162248263951+2.47559095587416i</v>
      </c>
      <c r="AT96" s="190">
        <f t="shared" si="98"/>
        <v>7.87358047496451</v>
      </c>
      <c r="AU96" s="169">
        <f t="shared" si="99"/>
        <v>89.954599662168064</v>
      </c>
      <c r="AV96" s="225"/>
      <c r="AX96">
        <f t="shared" si="100"/>
        <v>0</v>
      </c>
      <c r="AY96">
        <f t="shared" si="101"/>
        <v>0</v>
      </c>
    </row>
    <row r="97" spans="14:51" x14ac:dyDescent="0.3">
      <c r="N97" s="170">
        <v>79</v>
      </c>
      <c r="O97" s="199">
        <f t="shared" si="76"/>
        <v>61.659500186148257</v>
      </c>
      <c r="P97" s="189" t="str">
        <f t="shared" si="67"/>
        <v>20.7142857142857</v>
      </c>
      <c r="Q97" s="160" t="str">
        <f t="shared" si="68"/>
        <v>1+0.0885527007126043i</v>
      </c>
      <c r="R97" s="160">
        <f t="shared" si="77"/>
        <v>1.0039131340925349</v>
      </c>
      <c r="S97" s="160">
        <f t="shared" si="78"/>
        <v>8.8322319291792975E-2</v>
      </c>
      <c r="T97" s="160" t="str">
        <f t="shared" si="69"/>
        <v>1+7.74836131235288E-06i</v>
      </c>
      <c r="U97" s="160">
        <f t="shared" si="79"/>
        <v>1.0000000000300187</v>
      </c>
      <c r="V97" s="160">
        <f t="shared" si="80"/>
        <v>7.7483613121978166E-6</v>
      </c>
      <c r="W97" s="98" t="str">
        <f t="shared" si="70"/>
        <v>1-0.00203394484449263i</v>
      </c>
      <c r="X97" s="160">
        <f t="shared" si="81"/>
        <v>1.0000020684636759</v>
      </c>
      <c r="Y97" s="160">
        <f t="shared" si="82"/>
        <v>-2.0339420397360048E-3</v>
      </c>
      <c r="Z97" s="98" t="str">
        <f t="shared" si="71"/>
        <v>0.999999682917874-0.000151767157447636i</v>
      </c>
      <c r="AA97" s="160">
        <f t="shared" si="83"/>
        <v>0.99999969443451264</v>
      </c>
      <c r="AB97" s="160">
        <f t="shared" si="84"/>
        <v>-1.5176720440507181E-4</v>
      </c>
      <c r="AC97" s="171" t="str">
        <f t="shared" si="85"/>
        <v>20.5497179500414-1.8585604983337i</v>
      </c>
      <c r="AD97" s="190">
        <f t="shared" si="86"/>
        <v>26.291497143222763</v>
      </c>
      <c r="AE97" s="169">
        <f t="shared" si="87"/>
        <v>-5.1678928581954535</v>
      </c>
      <c r="AF97" s="98" t="str">
        <f t="shared" si="72"/>
        <v>-0.0000897803247373448</v>
      </c>
      <c r="AG97" s="98" t="str">
        <f t="shared" si="73"/>
        <v>0.000774836131235288i</v>
      </c>
      <c r="AH97" s="98">
        <f t="shared" si="88"/>
        <v>7.7483613123528804E-4</v>
      </c>
      <c r="AI97" s="98">
        <f t="shared" si="89"/>
        <v>1.5707963267948966</v>
      </c>
      <c r="AJ97" s="98" t="str">
        <f t="shared" si="74"/>
        <v>1+0.0910432454201464i</v>
      </c>
      <c r="AK97" s="98">
        <f t="shared" si="90"/>
        <v>1.0041358835021448</v>
      </c>
      <c r="AL97" s="98">
        <f t="shared" si="91"/>
        <v>9.0792940474476738E-2</v>
      </c>
      <c r="AM97" s="98" t="str">
        <f t="shared" si="75"/>
        <v>1+0.182086490840293i</v>
      </c>
      <c r="AN97" s="98">
        <f t="shared" si="92"/>
        <v>1.0164425660835599</v>
      </c>
      <c r="AO97" s="98">
        <f t="shared" si="93"/>
        <v>0.18011321065587535</v>
      </c>
      <c r="AP97" s="168" t="str">
        <f t="shared" si="94"/>
        <v>-0.0104624661086446+0.116822617159008i</v>
      </c>
      <c r="AQ97" s="98">
        <f t="shared" si="95"/>
        <v>-18.614766706884151</v>
      </c>
      <c r="AR97" s="169">
        <f t="shared" si="96"/>
        <v>95.117674506362363</v>
      </c>
      <c r="AS97" s="168" t="str">
        <f t="shared" si="97"/>
        <v>0.00212117396917924+2.42011695902796i</v>
      </c>
      <c r="AT97" s="190">
        <f t="shared" si="98"/>
        <v>7.6767304363386</v>
      </c>
      <c r="AU97" s="169">
        <f t="shared" si="99"/>
        <v>89.949781648166905</v>
      </c>
      <c r="AV97" s="225"/>
      <c r="AX97">
        <f t="shared" si="100"/>
        <v>0</v>
      </c>
      <c r="AY97">
        <f t="shared" si="101"/>
        <v>0</v>
      </c>
    </row>
    <row r="98" spans="14:51" x14ac:dyDescent="0.3">
      <c r="N98" s="170">
        <v>80</v>
      </c>
      <c r="O98" s="199">
        <f t="shared" si="76"/>
        <v>63.095734448019364</v>
      </c>
      <c r="P98" s="189" t="str">
        <f t="shared" si="67"/>
        <v>20.7142857142857</v>
      </c>
      <c r="Q98" s="160" t="str">
        <f t="shared" si="68"/>
        <v>1+0.0906153580867429i</v>
      </c>
      <c r="R98" s="160">
        <f t="shared" si="77"/>
        <v>1.0040971781262951</v>
      </c>
      <c r="S98" s="160">
        <f t="shared" si="78"/>
        <v>9.0368554317032737E-2</v>
      </c>
      <c r="T98" s="160" t="str">
        <f t="shared" si="69"/>
        <v>1+0.00000792884383259i</v>
      </c>
      <c r="U98" s="160">
        <f t="shared" si="79"/>
        <v>1.0000000000314333</v>
      </c>
      <c r="V98" s="160">
        <f t="shared" si="80"/>
        <v>7.9288438324238485E-6</v>
      </c>
      <c r="W98" s="98" t="str">
        <f t="shared" si="70"/>
        <v>1-0.00208132150605487i</v>
      </c>
      <c r="X98" s="160">
        <f t="shared" si="81"/>
        <v>1.0000021659472602</v>
      </c>
      <c r="Y98" s="160">
        <f t="shared" si="82"/>
        <v>-2.0813185007043508E-3</v>
      </c>
      <c r="Z98" s="98" t="str">
        <f t="shared" si="71"/>
        <v>0.999999667974254-0.000155302268674536i</v>
      </c>
      <c r="AA98" s="160">
        <f t="shared" si="83"/>
        <v>0.99999968003365525</v>
      </c>
      <c r="AB98" s="160">
        <f t="shared" si="84"/>
        <v>-1.5530231899033568E-4</v>
      </c>
      <c r="AC98" s="171" t="str">
        <f t="shared" si="85"/>
        <v>20.5420252758604-1.9011548597493i</v>
      </c>
      <c r="AD98" s="190">
        <f t="shared" si="86"/>
        <v>26.289905905925121</v>
      </c>
      <c r="AE98" s="169">
        <f t="shared" si="87"/>
        <v>-5.2876350722627983</v>
      </c>
      <c r="AF98" s="98" t="str">
        <f t="shared" si="72"/>
        <v>-0.0000897803247373448</v>
      </c>
      <c r="AG98" s="98" t="str">
        <f t="shared" si="73"/>
        <v>0.000792884383259i</v>
      </c>
      <c r="AH98" s="98">
        <f t="shared" si="88"/>
        <v>7.9288438325900005E-4</v>
      </c>
      <c r="AI98" s="98">
        <f t="shared" si="89"/>
        <v>1.5707963267948966</v>
      </c>
      <c r="AJ98" s="98" t="str">
        <f t="shared" si="74"/>
        <v>1+0.0931639150329325i</v>
      </c>
      <c r="AK98" s="98">
        <f t="shared" si="90"/>
        <v>1.0043303814304652</v>
      </c>
      <c r="AL98" s="98">
        <f t="shared" si="91"/>
        <v>9.2895770869335287E-2</v>
      </c>
      <c r="AM98" s="98" t="str">
        <f t="shared" si="75"/>
        <v>1+0.186327830065865i</v>
      </c>
      <c r="AN98" s="98">
        <f t="shared" si="92"/>
        <v>1.0172109222069206</v>
      </c>
      <c r="AO98" s="98">
        <f t="shared" si="93"/>
        <v>0.18421534961972083</v>
      </c>
      <c r="AP98" s="168" t="str">
        <f t="shared" si="94"/>
        <v>-0.0104584141931007+0.114206902065185i</v>
      </c>
      <c r="AQ98" s="98">
        <f t="shared" si="95"/>
        <v>-18.809885557285618</v>
      </c>
      <c r="AR98" s="169">
        <f t="shared" si="96"/>
        <v>95.23222644930965</v>
      </c>
      <c r="AS98" s="168" t="str">
        <f t="shared" si="97"/>
        <v>0.00228799817804709+2.36592413386923i</v>
      </c>
      <c r="AT98" s="190">
        <f t="shared" si="98"/>
        <v>7.4800203486395116</v>
      </c>
      <c r="AU98" s="169">
        <f t="shared" si="99"/>
        <v>89.944591377046862</v>
      </c>
      <c r="AV98" s="225"/>
      <c r="AX98">
        <f t="shared" si="100"/>
        <v>0</v>
      </c>
      <c r="AY98">
        <f t="shared" si="101"/>
        <v>0</v>
      </c>
    </row>
    <row r="99" spans="14:51" x14ac:dyDescent="0.3">
      <c r="N99" s="170">
        <v>81</v>
      </c>
      <c r="O99" s="199">
        <f t="shared" si="76"/>
        <v>64.565422903465588</v>
      </c>
      <c r="P99" s="189" t="str">
        <f t="shared" si="67"/>
        <v>20.7142857142857</v>
      </c>
      <c r="Q99" s="160" t="str">
        <f t="shared" si="68"/>
        <v>1+0.0927260609231751i</v>
      </c>
      <c r="R99" s="160">
        <f t="shared" si="77"/>
        <v>1.0042898597388745</v>
      </c>
      <c r="S99" s="160">
        <f t="shared" si="78"/>
        <v>9.2461666891043279E-2</v>
      </c>
      <c r="T99" s="160" t="str">
        <f t="shared" si="69"/>
        <v>1+8.11353033077782E-06i</v>
      </c>
      <c r="U99" s="160">
        <f t="shared" si="79"/>
        <v>1.0000000000329146</v>
      </c>
      <c r="V99" s="160">
        <f t="shared" si="80"/>
        <v>8.1135303305997832E-6</v>
      </c>
      <c r="W99" s="98" t="str">
        <f t="shared" si="70"/>
        <v>1-0.00212980171182917i</v>
      </c>
      <c r="X99" s="160">
        <f t="shared" si="81"/>
        <v>1.000002268025094</v>
      </c>
      <c r="Y99" s="160">
        <f t="shared" si="82"/>
        <v>-2.1297984915384645E-3</v>
      </c>
      <c r="Z99" s="98" t="str">
        <f t="shared" si="71"/>
        <v>0.999999652326362-0.000158919723219955i</v>
      </c>
      <c r="AA99" s="160">
        <f t="shared" si="83"/>
        <v>0.99999966495410553</v>
      </c>
      <c r="AB99" s="160">
        <f t="shared" si="84"/>
        <v>-1.589197771343066E-4</v>
      </c>
      <c r="AC99" s="171" t="str">
        <f t="shared" si="85"/>
        <v>20.5339760992667-1.94469207731867i</v>
      </c>
      <c r="AD99" s="190">
        <f t="shared" si="86"/>
        <v>26.288240301336661</v>
      </c>
      <c r="AE99" s="169">
        <f t="shared" si="87"/>
        <v>-5.410121440823918</v>
      </c>
      <c r="AF99" s="98" t="str">
        <f t="shared" si="72"/>
        <v>-0.0000897803247373448</v>
      </c>
      <c r="AG99" s="98" t="str">
        <f t="shared" si="73"/>
        <v>0.000811353033077783i</v>
      </c>
      <c r="AH99" s="98">
        <f t="shared" si="88"/>
        <v>8.1135303307778303E-4</v>
      </c>
      <c r="AI99" s="98">
        <f t="shared" si="89"/>
        <v>1.5707963267948966</v>
      </c>
      <c r="AJ99" s="98" t="str">
        <f t="shared" si="74"/>
        <v>1+0.0953339813866394i</v>
      </c>
      <c r="AK99" s="98">
        <f t="shared" si="90"/>
        <v>1.0045340054010257</v>
      </c>
      <c r="AL99" s="98">
        <f t="shared" si="91"/>
        <v>9.5046729733095137E-2</v>
      </c>
      <c r="AM99" s="98" t="str">
        <f t="shared" si="75"/>
        <v>1+0.190667962773279i</v>
      </c>
      <c r="AN99" s="98">
        <f t="shared" si="92"/>
        <v>1.0180148682745811</v>
      </c>
      <c r="AO99" s="98">
        <f t="shared" si="93"/>
        <v>0.18840655694826586</v>
      </c>
      <c r="AP99" s="168" t="str">
        <f t="shared" si="94"/>
        <v>-0.0104541746791095+0.111651705712337i</v>
      </c>
      <c r="AQ99" s="98">
        <f t="shared" si="95"/>
        <v>-19.004784282907771</v>
      </c>
      <c r="AR99" s="169">
        <f t="shared" si="96"/>
        <v>95.34912407549983</v>
      </c>
      <c r="AS99" s="168" t="str">
        <f t="shared" si="97"/>
        <v>0.00246241451950388+2.31298360721286i</v>
      </c>
      <c r="AT99" s="190">
        <f t="shared" si="98"/>
        <v>7.2834560184289003</v>
      </c>
      <c r="AU99" s="169">
        <f t="shared" si="99"/>
        <v>89.939002634675916</v>
      </c>
      <c r="AV99" s="225"/>
      <c r="AX99">
        <f t="shared" si="100"/>
        <v>0</v>
      </c>
      <c r="AY99">
        <f t="shared" si="101"/>
        <v>0</v>
      </c>
    </row>
    <row r="100" spans="14:51" x14ac:dyDescent="0.3">
      <c r="N100" s="170">
        <v>82</v>
      </c>
      <c r="O100" s="199">
        <f t="shared" si="76"/>
        <v>66.069344800759623</v>
      </c>
      <c r="P100" s="189" t="str">
        <f t="shared" si="67"/>
        <v>20.7142857142857</v>
      </c>
      <c r="Q100" s="160" t="str">
        <f t="shared" si="68"/>
        <v>1+0.0948859283444834i</v>
      </c>
      <c r="R100" s="160">
        <f t="shared" si="77"/>
        <v>1.0044915825420313</v>
      </c>
      <c r="S100" s="160">
        <f t="shared" si="78"/>
        <v>9.4602693407856223E-2</v>
      </c>
      <c r="T100" s="160" t="str">
        <f t="shared" si="69"/>
        <v>1+0.0000083025187301423i</v>
      </c>
      <c r="U100" s="160">
        <f t="shared" si="79"/>
        <v>1.0000000000344658</v>
      </c>
      <c r="V100" s="160">
        <f t="shared" si="80"/>
        <v>8.3025187299515316E-6</v>
      </c>
      <c r="W100" s="98" t="str">
        <f t="shared" si="70"/>
        <v>1-0.00217941116666235i</v>
      </c>
      <c r="X100" s="160">
        <f t="shared" si="81"/>
        <v>1.0000023749136966</v>
      </c>
      <c r="Y100" s="160">
        <f t="shared" si="82"/>
        <v>-2.179407716059133E-3</v>
      </c>
      <c r="Z100" s="98" t="str">
        <f t="shared" si="71"/>
        <v>0.999999635941008-0.000162621439106178i</v>
      </c>
      <c r="AA100" s="160">
        <f t="shared" si="83"/>
        <v>0.99999964916387918</v>
      </c>
      <c r="AB100" s="160">
        <f t="shared" si="84"/>
        <v>-1.6262149687644748E-4</v>
      </c>
      <c r="AC100" s="171" t="str">
        <f t="shared" si="85"/>
        <v>20.5255541941275-1.98919065515077i</v>
      </c>
      <c r="AD100" s="190">
        <f t="shared" si="86"/>
        <v>26.286496884447317</v>
      </c>
      <c r="AE100" s="169">
        <f t="shared" si="87"/>
        <v>-5.535412702096993</v>
      </c>
      <c r="AF100" s="98" t="str">
        <f t="shared" si="72"/>
        <v>-0.0000897803247373448</v>
      </c>
      <c r="AG100" s="98" t="str">
        <f t="shared" si="73"/>
        <v>0.00083025187301423i</v>
      </c>
      <c r="AH100" s="98">
        <f t="shared" si="88"/>
        <v>8.3025187301422998E-4</v>
      </c>
      <c r="AI100" s="98">
        <f t="shared" si="89"/>
        <v>1.5707963267948966</v>
      </c>
      <c r="AJ100" s="98" t="str">
        <f t="shared" si="74"/>
        <v>1+0.097554595079172i</v>
      </c>
      <c r="AK100" s="98">
        <f t="shared" si="90"/>
        <v>1.0047471816437512</v>
      </c>
      <c r="AL100" s="98">
        <f t="shared" si="91"/>
        <v>9.7246877875298579E-2</v>
      </c>
      <c r="AM100" s="98" t="str">
        <f t="shared" si="75"/>
        <v>1+0.195109190158345i</v>
      </c>
      <c r="AN100" s="98">
        <f t="shared" si="92"/>
        <v>1.0188560232359847</v>
      </c>
      <c r="AO100" s="98">
        <f t="shared" si="93"/>
        <v>0.19268846559919062</v>
      </c>
      <c r="AP100" s="168" t="str">
        <f t="shared" si="94"/>
        <v>-0.0104497390453471+0.109155670825008i</v>
      </c>
      <c r="AQ100" s="98">
        <f t="shared" si="95"/>
        <v>-19.199453430210696</v>
      </c>
      <c r="AR100" s="169">
        <f t="shared" si="96"/>
        <v>95.4684001666066</v>
      </c>
      <c r="AS100" s="168" t="str">
        <f t="shared" si="97"/>
        <v>0.00264475527205738+2.26126716037281i</v>
      </c>
      <c r="AT100" s="190">
        <f t="shared" si="98"/>
        <v>7.0870434542366132</v>
      </c>
      <c r="AU100" s="169">
        <f t="shared" si="99"/>
        <v>89.932987464509608</v>
      </c>
      <c r="AV100" s="225"/>
      <c r="AX100">
        <f t="shared" si="100"/>
        <v>0</v>
      </c>
      <c r="AY100">
        <f t="shared" si="101"/>
        <v>0</v>
      </c>
    </row>
    <row r="101" spans="14:51" x14ac:dyDescent="0.3">
      <c r="N101" s="170">
        <v>83</v>
      </c>
      <c r="O101" s="199">
        <f t="shared" si="76"/>
        <v>67.60829753919819</v>
      </c>
      <c r="P101" s="189" t="str">
        <f t="shared" si="67"/>
        <v>20.7142857142857</v>
      </c>
      <c r="Q101" s="160" t="str">
        <f t="shared" si="68"/>
        <v>1+0.0970961055409637i</v>
      </c>
      <c r="R101" s="160">
        <f t="shared" si="77"/>
        <v>1.0047027688382379</v>
      </c>
      <c r="S101" s="160">
        <f t="shared" si="78"/>
        <v>9.6792690509133333E-2</v>
      </c>
      <c r="T101" s="160" t="str">
        <f t="shared" si="69"/>
        <v>1+8.49590923483432E-06i</v>
      </c>
      <c r="U101" s="160">
        <f t="shared" si="79"/>
        <v>1.0000000000360902</v>
      </c>
      <c r="V101" s="160">
        <f t="shared" si="80"/>
        <v>8.4959092346299076E-6</v>
      </c>
      <c r="W101" s="98" t="str">
        <f t="shared" si="70"/>
        <v>1-0.002230176174144i</v>
      </c>
      <c r="X101" s="160">
        <f t="shared" si="81"/>
        <v>1.0000024868397916</v>
      </c>
      <c r="Y101" s="160">
        <f t="shared" si="82"/>
        <v>-2.2301724767565347E-3</v>
      </c>
      <c r="Z101" s="98" t="str">
        <f t="shared" si="71"/>
        <v>0.999999618783437-0.000166409379031963i</v>
      </c>
      <c r="AA101" s="160">
        <f t="shared" si="83"/>
        <v>0.99999963262948288</v>
      </c>
      <c r="AB101" s="160">
        <f t="shared" si="84"/>
        <v>-1.6640944093392293E-4</v>
      </c>
      <c r="AC101" s="171" t="str">
        <f t="shared" si="85"/>
        <v>20.5167426239835-2.03466928919678i</v>
      </c>
      <c r="AD101" s="190">
        <f t="shared" si="86"/>
        <v>26.284672053581698</v>
      </c>
      <c r="AE101" s="169">
        <f t="shared" si="87"/>
        <v>-5.6635707860147759</v>
      </c>
      <c r="AF101" s="98" t="str">
        <f t="shared" si="72"/>
        <v>-0.0000897803247373448</v>
      </c>
      <c r="AG101" s="98" t="str">
        <f t="shared" si="73"/>
        <v>0.000849590923483432i</v>
      </c>
      <c r="AH101" s="98">
        <f t="shared" si="88"/>
        <v>8.4959092348343198E-4</v>
      </c>
      <c r="AI101" s="98">
        <f t="shared" si="89"/>
        <v>1.5707963267948966</v>
      </c>
      <c r="AJ101" s="98" t="str">
        <f t="shared" si="74"/>
        <v>1+0.0998269335093033i</v>
      </c>
      <c r="AK101" s="98">
        <f t="shared" si="90"/>
        <v>1.0049703561070202</v>
      </c>
      <c r="AL101" s="98">
        <f t="shared" si="91"/>
        <v>9.9497296595519313E-2</v>
      </c>
      <c r="AM101" s="98" t="str">
        <f t="shared" si="75"/>
        <v>1+0.199653867018607i</v>
      </c>
      <c r="AN101" s="98">
        <f t="shared" si="92"/>
        <v>1.0197360769412267</v>
      </c>
      <c r="AO101" s="98">
        <f t="shared" si="93"/>
        <v>0.19706271753242716</v>
      </c>
      <c r="AP101" s="168" t="str">
        <f t="shared" si="94"/>
        <v>-0.0104450983991004+0.106717471324339i</v>
      </c>
      <c r="AQ101" s="98">
        <f t="shared" si="95"/>
        <v>-19.393883183793967</v>
      </c>
      <c r="AR101" s="169">
        <f t="shared" si="96"/>
        <v>95.590086846102139</v>
      </c>
      <c r="AS101" s="168" t="str">
        <f t="shared" si="97"/>
        <v>0.00283536598784556+2.21074721357909i</v>
      </c>
      <c r="AT101" s="190">
        <f t="shared" si="98"/>
        <v>6.8907888697877286</v>
      </c>
      <c r="AU101" s="169">
        <f t="shared" si="99"/>
        <v>89.92651606008738</v>
      </c>
      <c r="AV101" s="225"/>
      <c r="AX101">
        <f t="shared" si="100"/>
        <v>0</v>
      </c>
      <c r="AY101">
        <f t="shared" si="101"/>
        <v>0</v>
      </c>
    </row>
    <row r="102" spans="14:51" x14ac:dyDescent="0.3">
      <c r="N102" s="170">
        <v>84</v>
      </c>
      <c r="O102" s="199">
        <f t="shared" si="76"/>
        <v>69.183097091893657</v>
      </c>
      <c r="P102" s="189" t="str">
        <f t="shared" si="67"/>
        <v>20.7142857142857</v>
      </c>
      <c r="Q102" s="160" t="str">
        <f t="shared" si="68"/>
        <v>1+0.0993577643778206i</v>
      </c>
      <c r="R102" s="160">
        <f t="shared" si="77"/>
        <v>1.0049238604701147</v>
      </c>
      <c r="S102" s="160">
        <f t="shared" si="78"/>
        <v>9.9032735286730164E-2</v>
      </c>
      <c r="T102" s="160" t="str">
        <f t="shared" si="69"/>
        <v>1+0.0000086938043830593i</v>
      </c>
      <c r="U102" s="160">
        <f t="shared" si="79"/>
        <v>1.0000000000377911</v>
      </c>
      <c r="V102" s="160">
        <f t="shared" si="80"/>
        <v>8.6938043828402682E-6</v>
      </c>
      <c r="W102" s="98" t="str">
        <f t="shared" si="70"/>
        <v>1-0.00228212365055306i</v>
      </c>
      <c r="X102" s="160">
        <f t="shared" si="81"/>
        <v>1.0000026040407877</v>
      </c>
      <c r="Y102" s="160">
        <f t="shared" si="82"/>
        <v>-2.2821196887315692E-3</v>
      </c>
      <c r="Z102" s="98" t="str">
        <f t="shared" si="71"/>
        <v>0.999999600817254-0.000170285551413199i</v>
      </c>
      <c r="AA102" s="160">
        <f t="shared" si="83"/>
        <v>0.99999961531584436</v>
      </c>
      <c r="AB102" s="160">
        <f t="shared" si="84"/>
        <v>-1.7028561774234526E-4</v>
      </c>
      <c r="AC102" s="171" t="str">
        <f t="shared" si="85"/>
        <v>20.5075237136582-2.08114685558333i</v>
      </c>
      <c r="AD102" s="190">
        <f t="shared" si="86"/>
        <v>26.282762043554179</v>
      </c>
      <c r="AE102" s="169">
        <f t="shared" si="87"/>
        <v>-5.7946588265664998</v>
      </c>
      <c r="AF102" s="98" t="str">
        <f t="shared" si="72"/>
        <v>-0.0000897803247373448</v>
      </c>
      <c r="AG102" s="98" t="str">
        <f t="shared" si="73"/>
        <v>0.00086938043830593i</v>
      </c>
      <c r="AH102" s="98">
        <f t="shared" si="88"/>
        <v>8.6938043830592996E-4</v>
      </c>
      <c r="AI102" s="98">
        <f t="shared" si="89"/>
        <v>1.5707963267948966</v>
      </c>
      <c r="AJ102" s="98" t="str">
        <f t="shared" si="74"/>
        <v>1+0.102152201500947i</v>
      </c>
      <c r="AK102" s="98">
        <f t="shared" si="90"/>
        <v>1.0052039953519336</v>
      </c>
      <c r="AL102" s="98">
        <f t="shared" si="91"/>
        <v>0.10179908786959675</v>
      </c>
      <c r="AM102" s="98" t="str">
        <f t="shared" si="75"/>
        <v>1+0.204304403001894i</v>
      </c>
      <c r="AN102" s="98">
        <f t="shared" si="92"/>
        <v>1.02065679299457</v>
      </c>
      <c r="AO102" s="98">
        <f t="shared" si="93"/>
        <v>0.20153096213539964</v>
      </c>
      <c r="AP102" s="168" t="str">
        <f t="shared" si="94"/>
        <v>-0.0104402434615844+0.104335811613348i</v>
      </c>
      <c r="AQ102" s="98">
        <f t="shared" si="95"/>
        <v>-19.588063356692011</v>
      </c>
      <c r="AR102" s="169">
        <f t="shared" si="96"/>
        <v>95.71421547835989</v>
      </c>
      <c r="AS102" s="168" t="str">
        <f t="shared" si="97"/>
        <v>0.00303460589904683+2.16139681069611i</v>
      </c>
      <c r="AT102" s="190">
        <f t="shared" si="98"/>
        <v>6.6946986868621714</v>
      </c>
      <c r="AU102" s="169">
        <f t="shared" si="99"/>
        <v>89.919556651793386</v>
      </c>
      <c r="AV102" s="225"/>
      <c r="AX102">
        <f t="shared" si="100"/>
        <v>0</v>
      </c>
      <c r="AY102">
        <f t="shared" si="101"/>
        <v>0</v>
      </c>
    </row>
    <row r="103" spans="14:51" x14ac:dyDescent="0.3">
      <c r="N103" s="170">
        <v>85</v>
      </c>
      <c r="O103" s="199">
        <f t="shared" si="76"/>
        <v>70.794578438413865</v>
      </c>
      <c r="P103" s="189" t="str">
        <f t="shared" si="67"/>
        <v>20.7142857142857</v>
      </c>
      <c r="Q103" s="160" t="str">
        <f t="shared" si="68"/>
        <v>1+0.101672104016506i</v>
      </c>
      <c r="R103" s="160">
        <f t="shared" si="77"/>
        <v>1.0051553197069312</v>
      </c>
      <c r="S103" s="160">
        <f t="shared" si="78"/>
        <v>0.10132392547185234</v>
      </c>
      <c r="T103" s="160" t="str">
        <f t="shared" si="69"/>
        <v>1+0.0000088963091014443i</v>
      </c>
      <c r="U103" s="160">
        <f t="shared" si="79"/>
        <v>1.0000000000395721</v>
      </c>
      <c r="V103" s="160">
        <f t="shared" si="80"/>
        <v>8.8963091012096031E-6</v>
      </c>
      <c r="W103" s="98" t="str">
        <f t="shared" si="70"/>
        <v>1-0.00233528113912912i</v>
      </c>
      <c r="X103" s="160">
        <f t="shared" si="81"/>
        <v>1.0000027267652818</v>
      </c>
      <c r="Y103" s="160">
        <f t="shared" si="82"/>
        <v>-2.335276893961534E-3</v>
      </c>
      <c r="Z103" s="98" t="str">
        <f t="shared" si="71"/>
        <v>0.99999958200435-0.000174252011447791i</v>
      </c>
      <c r="AA103" s="160">
        <f t="shared" si="83"/>
        <v>0.99999959718623788</v>
      </c>
      <c r="AB103" s="160">
        <f t="shared" si="84"/>
        <v>-1.742520825207531E-4</v>
      </c>
      <c r="AC103" s="171" t="str">
        <f t="shared" si="85"/>
        <v>20.497879019994-2.1286423976346i</v>
      </c>
      <c r="AD103" s="190">
        <f t="shared" si="86"/>
        <v>26.280762918550764</v>
      </c>
      <c r="AE103" s="169">
        <f t="shared" si="87"/>
        <v>-5.9287411733891409</v>
      </c>
      <c r="AF103" s="98" t="str">
        <f t="shared" si="72"/>
        <v>-0.0000897803247373448</v>
      </c>
      <c r="AG103" s="98" t="str">
        <f t="shared" si="73"/>
        <v>0.00088963091014443i</v>
      </c>
      <c r="AH103" s="98">
        <f t="shared" si="88"/>
        <v>8.8963091014442996E-4</v>
      </c>
      <c r="AI103" s="98">
        <f t="shared" si="89"/>
        <v>1.5707963267948966</v>
      </c>
      <c r="AJ103" s="98" t="str">
        <f t="shared" si="74"/>
        <v>1+0.104531631941971i</v>
      </c>
      <c r="AK103" s="98">
        <f t="shared" si="90"/>
        <v>1.0054485874854326</v>
      </c>
      <c r="AL103" s="98">
        <f t="shared" si="91"/>
        <v>0.10415337452067144</v>
      </c>
      <c r="AM103" s="98" t="str">
        <f t="shared" si="75"/>
        <v>1+0.209063263883942i</v>
      </c>
      <c r="AN103" s="98">
        <f t="shared" si="92"/>
        <v>1.0216200116999505</v>
      </c>
      <c r="AO103" s="98">
        <f t="shared" si="93"/>
        <v>0.20609485451630696</v>
      </c>
      <c r="AP103" s="168" t="str">
        <f t="shared" si="94"/>
        <v>-0.0104351645528243+0.102009425877627i</v>
      </c>
      <c r="AQ103" s="98">
        <f t="shared" si="95"/>
        <v>-19.781983380820925</v>
      </c>
      <c r="AR103" s="169">
        <f t="shared" si="96"/>
        <v>95.840816561067228</v>
      </c>
      <c r="AS103" s="168" t="str">
        <f t="shared" si="97"/>
        <v>0.00324284832395866+2.11318960423208i</v>
      </c>
      <c r="AT103" s="190">
        <f t="shared" si="98"/>
        <v>6.4987795377298401</v>
      </c>
      <c r="AU103" s="169">
        <f t="shared" si="99"/>
        <v>89.912075387678087</v>
      </c>
      <c r="AV103" s="225"/>
      <c r="AX103">
        <f t="shared" si="100"/>
        <v>0</v>
      </c>
      <c r="AY103">
        <f t="shared" si="101"/>
        <v>0</v>
      </c>
    </row>
    <row r="104" spans="14:51" x14ac:dyDescent="0.3">
      <c r="N104" s="170">
        <v>86</v>
      </c>
      <c r="O104" s="199">
        <f t="shared" si="76"/>
        <v>72.443596007499011</v>
      </c>
      <c r="P104" s="189" t="str">
        <f t="shared" si="67"/>
        <v>20.7142857142857</v>
      </c>
      <c r="Q104" s="160" t="str">
        <f t="shared" si="68"/>
        <v>1+0.104040351550531i</v>
      </c>
      <c r="R104" s="160">
        <f t="shared" si="77"/>
        <v>1.0053976301696548</v>
      </c>
      <c r="S104" s="160">
        <f t="shared" si="78"/>
        <v>0.1036673796093278</v>
      </c>
      <c r="T104" s="160" t="str">
        <f t="shared" si="69"/>
        <v>1+9.10353076067142E-06i</v>
      </c>
      <c r="U104" s="160">
        <f t="shared" si="79"/>
        <v>1.0000000000414371</v>
      </c>
      <c r="V104" s="160">
        <f t="shared" si="80"/>
        <v>9.1035307604199377E-6</v>
      </c>
      <c r="W104" s="98" t="str">
        <f t="shared" si="70"/>
        <v>1-0.00238967682467624i</v>
      </c>
      <c r="X104" s="160">
        <f t="shared" si="81"/>
        <v>1.0000028552735869</v>
      </c>
      <c r="Y104" s="160">
        <f t="shared" si="82"/>
        <v>-2.3896722758979189E-3</v>
      </c>
      <c r="Z104" s="98" t="str">
        <f t="shared" si="71"/>
        <v>0.999999562304822-0.00017831086220535i</v>
      </c>
      <c r="AA104" s="160">
        <f t="shared" si="83"/>
        <v>0.99999957820221064</v>
      </c>
      <c r="AB104" s="160">
        <f t="shared" si="84"/>
        <v>-1.7831093836140238E-4</v>
      </c>
      <c r="AC104" s="171" t="str">
        <f t="shared" si="85"/>
        <v>20.4877893017188-2.17717511149179i</v>
      </c>
      <c r="AD104" s="190">
        <f t="shared" si="86"/>
        <v>26.278670564730749</v>
      </c>
      <c r="AE104" s="169">
        <f t="shared" si="87"/>
        <v>-6.0658834025230615</v>
      </c>
      <c r="AF104" s="98" t="str">
        <f t="shared" si="72"/>
        <v>-0.0000897803247373448</v>
      </c>
      <c r="AG104" s="98" t="str">
        <f t="shared" si="73"/>
        <v>0.000910353076067143i</v>
      </c>
      <c r="AH104" s="98">
        <f t="shared" si="88"/>
        <v>9.1035307606714296E-4</v>
      </c>
      <c r="AI104" s="98">
        <f t="shared" si="89"/>
        <v>1.5707963267948966</v>
      </c>
      <c r="AJ104" s="98" t="str">
        <f t="shared" si="74"/>
        <v>1+0.106966486437889i</v>
      </c>
      <c r="AK104" s="98">
        <f t="shared" si="90"/>
        <v>1.0057046431337917</v>
      </c>
      <c r="AL104" s="98">
        <f t="shared" si="91"/>
        <v>0.10656130037341922</v>
      </c>
      <c r="AM104" s="98" t="str">
        <f t="shared" si="75"/>
        <v>1+0.213932972875779i</v>
      </c>
      <c r="AN104" s="98">
        <f t="shared" si="92"/>
        <v>1.0226276530993423</v>
      </c>
      <c r="AO104" s="98">
        <f t="shared" si="93"/>
        <v>0.2107560536589935</v>
      </c>
      <c r="AP104" s="168" t="str">
        <f t="shared" si="94"/>
        <v>-0.0104298515761053+0.0997370774010188i</v>
      </c>
      <c r="AQ104" s="98">
        <f t="shared" si="95"/>
        <v>-19.975632297631229</v>
      </c>
      <c r="AR104" s="169">
        <f t="shared" si="96"/>
        <v>95.969919610670274</v>
      </c>
      <c r="AS104" s="168" t="str">
        <f t="shared" si="97"/>
        <v>0.00346048107098329+2.06609984062934i</v>
      </c>
      <c r="AT104" s="190">
        <f t="shared" si="98"/>
        <v>6.3030382670995087</v>
      </c>
      <c r="AU104" s="169">
        <f t="shared" si="99"/>
        <v>89.904036208147232</v>
      </c>
      <c r="AV104" s="225"/>
      <c r="AX104">
        <f t="shared" si="100"/>
        <v>0</v>
      </c>
      <c r="AY104">
        <f t="shared" si="101"/>
        <v>0</v>
      </c>
    </row>
    <row r="105" spans="14:51" x14ac:dyDescent="0.3">
      <c r="N105" s="170">
        <v>87</v>
      </c>
      <c r="O105" s="199">
        <f t="shared" si="76"/>
        <v>74.131024130091816</v>
      </c>
      <c r="P105" s="189" t="str">
        <f t="shared" si="67"/>
        <v>20.7142857142857</v>
      </c>
      <c r="Q105" s="160" t="str">
        <f t="shared" si="68"/>
        <v>1+0.106463762656084i</v>
      </c>
      <c r="R105" s="160">
        <f t="shared" si="77"/>
        <v>1.0056512977960557</v>
      </c>
      <c r="S105" s="160">
        <f t="shared" si="78"/>
        <v>0.10606423721541228</v>
      </c>
      <c r="T105" s="160" t="str">
        <f t="shared" si="69"/>
        <v>1+9.31557923240736E-06i</v>
      </c>
      <c r="U105" s="160">
        <f t="shared" si="79"/>
        <v>1.00000000004339</v>
      </c>
      <c r="V105" s="160">
        <f t="shared" si="80"/>
        <v>9.3155792321378922E-6</v>
      </c>
      <c r="W105" s="98" t="str">
        <f t="shared" si="70"/>
        <v>1-0.00244533954850693i</v>
      </c>
      <c r="X105" s="160">
        <f t="shared" si="81"/>
        <v>1.0000029898382841</v>
      </c>
      <c r="Y105" s="160">
        <f t="shared" si="82"/>
        <v>-2.4453346744039311E-3</v>
      </c>
      <c r="Z105" s="98" t="str">
        <f t="shared" si="71"/>
        <v>0.999999541676884-0.000182464255742274i</v>
      </c>
      <c r="AA105" s="160">
        <f t="shared" si="83"/>
        <v>0.99999955832349374</v>
      </c>
      <c r="AB105" s="160">
        <f t="shared" si="84"/>
        <v>-1.8246433734495589E-4</v>
      </c>
      <c r="AC105" s="171" t="str">
        <f t="shared" si="85"/>
        <v>20.4772344884467-2.22676433023367i</v>
      </c>
      <c r="AD105" s="190">
        <f t="shared" si="86"/>
        <v>26.276480682539759</v>
      </c>
      <c r="AE105" s="169">
        <f t="shared" si="87"/>
        <v>-6.206152326242627</v>
      </c>
      <c r="AF105" s="98" t="str">
        <f t="shared" si="72"/>
        <v>-0.0000897803247373448</v>
      </c>
      <c r="AG105" s="98" t="str">
        <f t="shared" si="73"/>
        <v>0.000931557923240737i</v>
      </c>
      <c r="AH105" s="98">
        <f t="shared" si="88"/>
        <v>9.3155792324073697E-4</v>
      </c>
      <c r="AI105" s="98">
        <f t="shared" si="89"/>
        <v>1.5707963267948966</v>
      </c>
      <c r="AJ105" s="98" t="str">
        <f t="shared" si="74"/>
        <v>1+0.109458055980786i</v>
      </c>
      <c r="AK105" s="98">
        <f t="shared" si="90"/>
        <v>1.0059726964580564</v>
      </c>
      <c r="AL105" s="98">
        <f t="shared" si="91"/>
        <v>0.10902403038978377</v>
      </c>
      <c r="AM105" s="98" t="str">
        <f t="shared" si="75"/>
        <v>1+0.218916111961574i</v>
      </c>
      <c r="AN105" s="98">
        <f t="shared" si="92"/>
        <v>1.0236817201046291</v>
      </c>
      <c r="AO105" s="98">
        <f t="shared" si="93"/>
        <v>0.21551622043288846</v>
      </c>
      <c r="AP105" s="168" t="str">
        <f t="shared" si="94"/>
        <v>-0.0104242940019978+0.097517557895894i</v>
      </c>
      <c r="AQ105" s="98">
        <f t="shared" si="95"/>
        <v>-20.168998749021739</v>
      </c>
      <c r="AR105" s="169">
        <f t="shared" si="96"/>
        <v>96.101553040575013</v>
      </c>
      <c r="AS105" s="168" t="str">
        <f t="shared" si="97"/>
        <v>0.00368790683865611+2.02010234582642i</v>
      </c>
      <c r="AT105" s="190">
        <f t="shared" si="98"/>
        <v>6.1074819335180388</v>
      </c>
      <c r="AU105" s="169">
        <f t="shared" si="99"/>
        <v>89.895400714332382</v>
      </c>
      <c r="AV105" s="225"/>
      <c r="AX105">
        <f t="shared" si="100"/>
        <v>0</v>
      </c>
      <c r="AY105">
        <f t="shared" si="101"/>
        <v>0</v>
      </c>
    </row>
    <row r="106" spans="14:51" x14ac:dyDescent="0.3">
      <c r="N106" s="170">
        <v>88</v>
      </c>
      <c r="O106" s="199">
        <f t="shared" si="76"/>
        <v>75.857757502918361</v>
      </c>
      <c r="P106" s="189" t="str">
        <f t="shared" si="67"/>
        <v>20.7142857142857</v>
      </c>
      <c r="Q106" s="160" t="str">
        <f t="shared" si="68"/>
        <v>1+0.108943622257812i</v>
      </c>
      <c r="R106" s="160">
        <f t="shared" si="77"/>
        <v>1.0059168518474342</v>
      </c>
      <c r="S106" s="160">
        <f t="shared" si="78"/>
        <v>0.10851565891745285</v>
      </c>
      <c r="T106" s="160" t="str">
        <f t="shared" si="69"/>
        <v>1+9.53256694755858E-06i</v>
      </c>
      <c r="U106" s="160">
        <f t="shared" si="79"/>
        <v>1.0000000000454348</v>
      </c>
      <c r="V106" s="160">
        <f t="shared" si="80"/>
        <v>9.5325669472698381E-6</v>
      </c>
      <c r="W106" s="98" t="str">
        <f t="shared" si="70"/>
        <v>1-0.00250229882373412i</v>
      </c>
      <c r="X106" s="160">
        <f t="shared" si="81"/>
        <v>1.0000031307448007</v>
      </c>
      <c r="Y106" s="160">
        <f t="shared" si="82"/>
        <v>-2.5022936010395441E-3</v>
      </c>
      <c r="Z106" s="98" t="str">
        <f t="shared" si="71"/>
        <v>0.999999520076781-0.000186714394242792i</v>
      </c>
      <c r="AA106" s="160">
        <f t="shared" si="83"/>
        <v>0.99999953750792159</v>
      </c>
      <c r="AB106" s="160">
        <f t="shared" si="84"/>
        <v>-1.867144816816428E-4</v>
      </c>
      <c r="AC106" s="171" t="str">
        <f t="shared" si="85"/>
        <v>20.46619364882-2.2774295063963i</v>
      </c>
      <c r="AD106" s="190">
        <f t="shared" si="86"/>
        <v>26.274188778725556</v>
      </c>
      <c r="AE106" s="169">
        <f t="shared" si="87"/>
        <v>-6.3496160018650194</v>
      </c>
      <c r="AF106" s="98" t="str">
        <f t="shared" si="72"/>
        <v>-0.0000897803247373448</v>
      </c>
      <c r="AG106" s="98" t="str">
        <f t="shared" si="73"/>
        <v>0.000953256694755858i</v>
      </c>
      <c r="AH106" s="98">
        <f t="shared" si="88"/>
        <v>9.5325669475585797E-4</v>
      </c>
      <c r="AI106" s="98">
        <f t="shared" si="89"/>
        <v>1.5707963267948966</v>
      </c>
      <c r="AJ106" s="98" t="str">
        <f t="shared" si="74"/>
        <v>1+0.112007661633813i</v>
      </c>
      <c r="AK106" s="98">
        <f t="shared" si="90"/>
        <v>1.0062533062130403</v>
      </c>
      <c r="AL106" s="98">
        <f t="shared" si="91"/>
        <v>0.11154275078436413</v>
      </c>
      <c r="AM106" s="98" t="str">
        <f t="shared" si="75"/>
        <v>1+0.224015323267627i</v>
      </c>
      <c r="AN106" s="98">
        <f t="shared" si="92"/>
        <v>1.0247843017233917</v>
      </c>
      <c r="AO106" s="98">
        <f t="shared" si="93"/>
        <v>0.22037701545142921</v>
      </c>
      <c r="AP106" s="168" t="str">
        <f t="shared" si="94"/>
        <v>-0.0104184808519604+0.0953496868475965i</v>
      </c>
      <c r="AQ106" s="98">
        <f t="shared" si="95"/>
        <v>-20.362070968580316</v>
      </c>
      <c r="AR106" s="169">
        <f t="shared" si="96"/>
        <v>96.235744031832596</v>
      </c>
      <c r="AS106" s="168" t="str">
        <f t="shared" si="97"/>
        <v>0.00392554360961878+1.97517251108133i</v>
      </c>
      <c r="AT106" s="190">
        <f t="shared" si="98"/>
        <v>5.9121178101452188</v>
      </c>
      <c r="AU106" s="169">
        <f t="shared" si="99"/>
        <v>89.886128029967566</v>
      </c>
      <c r="AV106" s="225"/>
      <c r="AX106">
        <f t="shared" si="100"/>
        <v>0</v>
      </c>
      <c r="AY106">
        <f t="shared" si="101"/>
        <v>0</v>
      </c>
    </row>
    <row r="107" spans="14:51" x14ac:dyDescent="0.3">
      <c r="N107" s="170">
        <v>89</v>
      </c>
      <c r="O107" s="199">
        <f t="shared" si="76"/>
        <v>77.624711662869217</v>
      </c>
      <c r="P107" s="189" t="str">
        <f t="shared" si="67"/>
        <v>20.7142857142857</v>
      </c>
      <c r="Q107" s="160" t="str">
        <f t="shared" si="68"/>
        <v>1+0.111481245210101i</v>
      </c>
      <c r="R107" s="160">
        <f t="shared" si="77"/>
        <v>1.0061948459585721</v>
      </c>
      <c r="S107" s="160">
        <f t="shared" si="78"/>
        <v>0.1110228265735924</v>
      </c>
      <c r="T107" s="160" t="str">
        <f t="shared" si="69"/>
        <v>1+9.75460895588384E-06i</v>
      </c>
      <c r="U107" s="160">
        <f t="shared" si="79"/>
        <v>1.0000000000475762</v>
      </c>
      <c r="V107" s="160">
        <f t="shared" si="80"/>
        <v>9.7546089555744494E-6</v>
      </c>
      <c r="W107" s="98" t="str">
        <f t="shared" si="70"/>
        <v>1-0.0025605848509195i</v>
      </c>
      <c r="X107" s="160">
        <f t="shared" si="81"/>
        <v>1.0000032782920156</v>
      </c>
      <c r="Y107" s="160">
        <f t="shared" si="82"/>
        <v>-2.5605792547024274E-3</v>
      </c>
      <c r="Z107" s="98" t="str">
        <f t="shared" si="71"/>
        <v>0.999999497458697-0.000191063531186596i</v>
      </c>
      <c r="AA107" s="160">
        <f t="shared" si="83"/>
        <v>0.99999951571134249</v>
      </c>
      <c r="AB107" s="160">
        <f t="shared" si="84"/>
        <v>-1.910636248790146E-4</v>
      </c>
      <c r="AC107" s="171" t="str">
        <f t="shared" si="85"/>
        <v>20.4546449578062-2.32919019278531i</v>
      </c>
      <c r="AD107" s="190">
        <f t="shared" si="86"/>
        <v>26.271790158048994</v>
      </c>
      <c r="AE107" s="169">
        <f t="shared" si="87"/>
        <v>-6.4963437394349102</v>
      </c>
      <c r="AF107" s="98" t="str">
        <f t="shared" si="72"/>
        <v>-0.0000897803247373448</v>
      </c>
      <c r="AG107" s="98" t="str">
        <f t="shared" si="73"/>
        <v>0.000975460895588384i</v>
      </c>
      <c r="AH107" s="98">
        <f t="shared" si="88"/>
        <v>9.7546089558838399E-4</v>
      </c>
      <c r="AI107" s="98">
        <f t="shared" si="89"/>
        <v>1.5707963267948966</v>
      </c>
      <c r="AJ107" s="98" t="str">
        <f t="shared" si="74"/>
        <v>1+0.114616655231635i</v>
      </c>
      <c r="AK107" s="98">
        <f t="shared" si="90"/>
        <v>1.0065470568515351</v>
      </c>
      <c r="AL107" s="98">
        <f t="shared" si="91"/>
        <v>0.11411866911753385</v>
      </c>
      <c r="AM107" s="98" t="str">
        <f t="shared" si="75"/>
        <v>1+0.229233310463271i</v>
      </c>
      <c r="AN107" s="98">
        <f t="shared" si="92"/>
        <v>1.0259375763787728</v>
      </c>
      <c r="AO107" s="98">
        <f t="shared" si="93"/>
        <v>0.22534009677247083</v>
      </c>
      <c r="AP107" s="168" t="str">
        <f t="shared" si="94"/>
        <v>-0.0104124006815343+0.0932323108726726i</v>
      </c>
      <c r="AQ107" s="98">
        <f t="shared" si="95"/>
        <v>-20.554836773219161</v>
      </c>
      <c r="AR107" s="169">
        <f t="shared" si="96"/>
        <v>96.37251839604744</v>
      </c>
      <c r="AS107" s="168" t="str">
        <f t="shared" si="97"/>
        <v>0.00417382503613686+1.93128627904711i</v>
      </c>
      <c r="AT107" s="190">
        <f t="shared" si="98"/>
        <v>5.716953384829818</v>
      </c>
      <c r="AU107" s="169">
        <f t="shared" si="99"/>
        <v>89.876174656612548</v>
      </c>
      <c r="AV107" s="225"/>
      <c r="AX107">
        <f t="shared" si="100"/>
        <v>0</v>
      </c>
      <c r="AY107">
        <f t="shared" si="101"/>
        <v>0</v>
      </c>
    </row>
    <row r="108" spans="14:51" x14ac:dyDescent="0.3">
      <c r="N108" s="170">
        <v>90</v>
      </c>
      <c r="O108" s="199">
        <f t="shared" si="76"/>
        <v>79.432823472428197</v>
      </c>
      <c r="P108" s="189" t="str">
        <f t="shared" si="67"/>
        <v>20.7142857142857</v>
      </c>
      <c r="Q108" s="160" t="str">
        <f t="shared" si="68"/>
        <v>1+0.114077976994229i</v>
      </c>
      <c r="R108" s="160">
        <f t="shared" si="77"/>
        <v>1.0064858592325556</v>
      </c>
      <c r="S108" s="160">
        <f t="shared" si="78"/>
        <v>0.1135869433706078</v>
      </c>
      <c r="T108" s="160" t="str">
        <f t="shared" si="69"/>
        <v>1+9.98182298699502E-06i</v>
      </c>
      <c r="U108" s="160">
        <f t="shared" si="79"/>
        <v>1.0000000000498184</v>
      </c>
      <c r="V108" s="160">
        <f t="shared" si="80"/>
        <v>9.9818229866635013E-6</v>
      </c>
      <c r="W108" s="98" t="str">
        <f t="shared" si="70"/>
        <v>1-0.00262022853408619i</v>
      </c>
      <c r="X108" s="160">
        <f t="shared" si="81"/>
        <v>1.0000034327928935</v>
      </c>
      <c r="Y108" s="160">
        <f t="shared" si="82"/>
        <v>-2.6202225376326716E-3</v>
      </c>
      <c r="Z108" s="98" t="str">
        <f t="shared" si="71"/>
        <v>0.999999473774655-0.000195513972543659i</v>
      </c>
      <c r="AA108" s="160">
        <f t="shared" si="83"/>
        <v>0.99999949288752155</v>
      </c>
      <c r="AB108" s="160">
        <f t="shared" si="84"/>
        <v>-1.9551407293689655E-4</v>
      </c>
      <c r="AC108" s="171" t="str">
        <f t="shared" si="85"/>
        <v>20.4425656631666-2.3820660214682i</v>
      </c>
      <c r="AD108" s="190">
        <f t="shared" si="86"/>
        <v>26.269279914681821</v>
      </c>
      <c r="AE108" s="169">
        <f t="shared" si="87"/>
        <v>-6.6464061081750412</v>
      </c>
      <c r="AF108" s="98" t="str">
        <f t="shared" si="72"/>
        <v>-0.0000897803247373448</v>
      </c>
      <c r="AG108" s="98" t="str">
        <f t="shared" si="73"/>
        <v>0.000998182298699501i</v>
      </c>
      <c r="AH108" s="98">
        <f t="shared" si="88"/>
        <v>9.9818229869950092E-4</v>
      </c>
      <c r="AI108" s="98">
        <f t="shared" si="89"/>
        <v>1.5707963267948966</v>
      </c>
      <c r="AJ108" s="98" t="str">
        <f t="shared" si="74"/>
        <v>1+0.117286420097191i</v>
      </c>
      <c r="AK108" s="98">
        <f t="shared" si="90"/>
        <v>1.0068545596754352</v>
      </c>
      <c r="AL108" s="98">
        <f t="shared" si="91"/>
        <v>0.1167530143642075</v>
      </c>
      <c r="AM108" s="98" t="str">
        <f t="shared" si="75"/>
        <v>1+0.234572840194384i</v>
      </c>
      <c r="AN108" s="98">
        <f t="shared" si="92"/>
        <v>1.0271438153232779</v>
      </c>
      <c r="AO108" s="98">
        <f t="shared" si="93"/>
        <v>0.23040711743415335</v>
      </c>
      <c r="AP108" s="168" t="str">
        <f t="shared" si="94"/>
        <v>-0.0104060415631375+0.0911643030904889i</v>
      </c>
      <c r="AQ108" s="98">
        <f t="shared" si="95"/>
        <v>-20.747283555279946</v>
      </c>
      <c r="AR108" s="169">
        <f t="shared" si="96"/>
        <v>96.51190043025278</v>
      </c>
      <c r="AS108" s="168" t="str">
        <f t="shared" si="97"/>
        <v>0.00443320081460288+1.88842013008968i</v>
      </c>
      <c r="AT108" s="190">
        <f t="shared" si="98"/>
        <v>5.521996359401891</v>
      </c>
      <c r="AU108" s="169">
        <f t="shared" si="99"/>
        <v>89.865494322077737</v>
      </c>
      <c r="AV108" s="225"/>
      <c r="AX108">
        <f t="shared" si="100"/>
        <v>0</v>
      </c>
      <c r="AY108">
        <f t="shared" si="101"/>
        <v>0</v>
      </c>
    </row>
    <row r="109" spans="14:51" x14ac:dyDescent="0.3">
      <c r="N109" s="170">
        <v>91</v>
      </c>
      <c r="O109" s="199">
        <f t="shared" si="76"/>
        <v>81.283051616409963</v>
      </c>
      <c r="P109" s="189" t="str">
        <f t="shared" si="67"/>
        <v>20.7142857142857</v>
      </c>
      <c r="Q109" s="160" t="str">
        <f t="shared" si="68"/>
        <v>1+0.116735194431759i</v>
      </c>
      <c r="R109" s="160">
        <f t="shared" si="77"/>
        <v>1.0067904973821618</v>
      </c>
      <c r="S109" s="160">
        <f t="shared" si="78"/>
        <v>0.11620923389783464</v>
      </c>
      <c r="T109" s="160" t="str">
        <f t="shared" si="69"/>
        <v>1+0.0000102143295127789i</v>
      </c>
      <c r="U109" s="160">
        <f t="shared" si="79"/>
        <v>1.0000000000521663</v>
      </c>
      <c r="V109" s="160">
        <f t="shared" si="80"/>
        <v>1.0214329512423672E-5</v>
      </c>
      <c r="W109" s="98" t="str">
        <f t="shared" si="70"/>
        <v>1-0.00268126149710446i</v>
      </c>
      <c r="X109" s="160">
        <f t="shared" si="81"/>
        <v>1.0000035945751475</v>
      </c>
      <c r="Y109" s="160">
        <f t="shared" si="82"/>
        <v>-2.6812550717899997E-3</v>
      </c>
      <c r="Z109" s="98" t="str">
        <f t="shared" si="71"/>
        <v>0.999999448974418-0.000200068077996898i</v>
      </c>
      <c r="AA109" s="160">
        <f t="shared" si="83"/>
        <v>0.99999946898804681</v>
      </c>
      <c r="AB109" s="160">
        <f t="shared" si="84"/>
        <v>-2.0006818557019281E-4</v>
      </c>
      <c r="AC109" s="171" t="str">
        <f t="shared" si="85"/>
        <v>20.4299320511228-2.43607668082949i</v>
      </c>
      <c r="AD109" s="190">
        <f t="shared" si="86"/>
        <v>26.266652923284767</v>
      </c>
      <c r="AE109" s="169">
        <f t="shared" si="87"/>
        <v>-6.7998749415865616</v>
      </c>
      <c r="AF109" s="98" t="str">
        <f t="shared" si="72"/>
        <v>-0.0000897803247373448</v>
      </c>
      <c r="AG109" s="98" t="str">
        <f t="shared" si="73"/>
        <v>0.00102143295127789i</v>
      </c>
      <c r="AH109" s="98">
        <f t="shared" si="88"/>
        <v>1.0214329512778901E-3</v>
      </c>
      <c r="AI109" s="98">
        <f t="shared" si="89"/>
        <v>1.5707963267948966</v>
      </c>
      <c r="AJ109" s="98" t="str">
        <f t="shared" si="74"/>
        <v>1+0.120018371775153i</v>
      </c>
      <c r="AK109" s="98">
        <f t="shared" si="90"/>
        <v>1.0071764540355175</v>
      </c>
      <c r="AL109" s="98">
        <f t="shared" si="91"/>
        <v>0.11944703695605866</v>
      </c>
      <c r="AM109" s="98" t="str">
        <f t="shared" si="75"/>
        <v>1+0.240036743550306i</v>
      </c>
      <c r="AN109" s="98">
        <f t="shared" si="92"/>
        <v>1.028405386146064</v>
      </c>
      <c r="AO109" s="98">
        <f t="shared" si="93"/>
        <v>0.23557972281987968</v>
      </c>
      <c r="AP109" s="168" t="str">
        <f t="shared" si="94"/>
        <v>-0.0103993910684761+0.0891445625078461i</v>
      </c>
      <c r="AQ109" s="98">
        <f t="shared" si="95"/>
        <v>-20.939398275190428</v>
      </c>
      <c r="AR109" s="169">
        <f t="shared" si="96"/>
        <v>96.653912763515507</v>
      </c>
      <c r="AS109" s="168" t="str">
        <f t="shared" si="97"/>
        <v>0.00470413704609063+1.84655106883911i</v>
      </c>
      <c r="AT109" s="190">
        <f t="shared" si="98"/>
        <v>5.3272546480943532</v>
      </c>
      <c r="AU109" s="169">
        <f t="shared" si="99"/>
        <v>89.854037821928955</v>
      </c>
      <c r="AV109" s="225"/>
      <c r="AX109">
        <f t="shared" si="100"/>
        <v>0</v>
      </c>
      <c r="AY109">
        <f t="shared" si="101"/>
        <v>0</v>
      </c>
    </row>
    <row r="110" spans="14:51" x14ac:dyDescent="0.3">
      <c r="N110" s="170">
        <v>92</v>
      </c>
      <c r="O110" s="199">
        <f t="shared" si="76"/>
        <v>83.176377110267126</v>
      </c>
      <c r="P110" s="189" t="str">
        <f t="shared" si="67"/>
        <v>20.7142857142857</v>
      </c>
      <c r="Q110" s="160" t="str">
        <f t="shared" si="68"/>
        <v>1+0.119454306414551i</v>
      </c>
      <c r="R110" s="160">
        <f t="shared" si="77"/>
        <v>1.007109393919539</v>
      </c>
      <c r="S110" s="160">
        <f t="shared" si="78"/>
        <v>0.11889094419500355</v>
      </c>
      <c r="T110" s="160" t="str">
        <f t="shared" si="69"/>
        <v>1+0.0000104522518112732i</v>
      </c>
      <c r="U110" s="160">
        <f t="shared" si="79"/>
        <v>1.0000000000546247</v>
      </c>
      <c r="V110" s="160">
        <f t="shared" si="80"/>
        <v>1.0452251810892566E-5</v>
      </c>
      <c r="W110" s="98" t="str">
        <f t="shared" si="70"/>
        <v>1-0.0027437161004592i</v>
      </c>
      <c r="X110" s="160">
        <f t="shared" si="81"/>
        <v>1.0000037639819361</v>
      </c>
      <c r="Y110" s="160">
        <f t="shared" si="82"/>
        <v>-2.7437092156121137E-3</v>
      </c>
      <c r="Z110" s="98" t="str">
        <f t="shared" si="71"/>
        <v>0.999999423005383-0.000204728262193305i</v>
      </c>
      <c r="AA110" s="160">
        <f t="shared" si="83"/>
        <v>0.99999944396222562</v>
      </c>
      <c r="AB110" s="160">
        <f t="shared" si="84"/>
        <v>-2.0472837746016983E-4</v>
      </c>
      <c r="AC110" s="171" t="str">
        <f t="shared" si="85"/>
        <v>20.4167194112448-2.49124189056461i</v>
      </c>
      <c r="AD110" s="190">
        <f t="shared" si="86"/>
        <v>26.263903829756096</v>
      </c>
      <c r="AE110" s="169">
        <f t="shared" si="87"/>
        <v>-6.9568233410746085</v>
      </c>
      <c r="AF110" s="98" t="str">
        <f t="shared" si="72"/>
        <v>-0.0000897803247373448</v>
      </c>
      <c r="AG110" s="98" t="str">
        <f t="shared" si="73"/>
        <v>0.00104522518112732i</v>
      </c>
      <c r="AH110" s="98">
        <f t="shared" si="88"/>
        <v>1.0452251811273201E-3</v>
      </c>
      <c r="AI110" s="98">
        <f t="shared" si="89"/>
        <v>1.5707963267948966</v>
      </c>
      <c r="AJ110" s="98" t="str">
        <f t="shared" si="74"/>
        <v>1+0.12281395878246i</v>
      </c>
      <c r="AK110" s="98">
        <f t="shared" si="90"/>
        <v>1.0075134085816524</v>
      </c>
      <c r="AL110" s="98">
        <f t="shared" si="91"/>
        <v>0.12220200879483403</v>
      </c>
      <c r="AM110" s="98" t="str">
        <f t="shared" si="75"/>
        <v>1+0.24562791756492i</v>
      </c>
      <c r="AN110" s="98">
        <f t="shared" si="92"/>
        <v>1.0297247563729248</v>
      </c>
      <c r="AO110" s="98">
        <f t="shared" si="93"/>
        <v>0.24085954784616626</v>
      </c>
      <c r="AP110" s="168" t="str">
        <f t="shared" si="94"/>
        <v>-0.010392436250594+0.0871720134162061i</v>
      </c>
      <c r="AQ110" s="98">
        <f t="shared" si="95"/>
        <v>-21.131167454760419</v>
      </c>
      <c r="AR110" s="169">
        <f t="shared" si="96"/>
        <v>96.79857619505006</v>
      </c>
      <c r="AS110" s="168" t="str">
        <f t="shared" si="97"/>
        <v>0.00498711657968623+1.80565661096445i</v>
      </c>
      <c r="AT110" s="190">
        <f t="shared" si="98"/>
        <v>5.1327363749956856</v>
      </c>
      <c r="AU110" s="169">
        <f t="shared" si="99"/>
        <v>89.841752853975464</v>
      </c>
      <c r="AV110" s="225"/>
      <c r="AX110">
        <f t="shared" si="100"/>
        <v>0</v>
      </c>
      <c r="AY110">
        <f t="shared" si="101"/>
        <v>0</v>
      </c>
    </row>
    <row r="111" spans="14:51" x14ac:dyDescent="0.3">
      <c r="N111" s="170">
        <v>93</v>
      </c>
      <c r="O111" s="199">
        <f t="shared" si="76"/>
        <v>85.113803820237734</v>
      </c>
      <c r="P111" s="189" t="str">
        <f t="shared" si="67"/>
        <v>20.7142857142857</v>
      </c>
      <c r="Q111" s="160" t="str">
        <f t="shared" si="68"/>
        <v>1+0.122236754651768i</v>
      </c>
      <c r="R111" s="160">
        <f t="shared" si="77"/>
        <v>1.0074432113959559</v>
      </c>
      <c r="S111" s="160">
        <f t="shared" si="78"/>
        <v>0.12163334177166295</v>
      </c>
      <c r="T111" s="160" t="str">
        <f t="shared" si="69"/>
        <v>1+0.0000106957160320297i</v>
      </c>
      <c r="U111" s="160">
        <f t="shared" si="79"/>
        <v>1.0000000000571991</v>
      </c>
      <c r="V111" s="160">
        <f t="shared" si="80"/>
        <v>1.0695716031621841E-5</v>
      </c>
      <c r="W111" s="98" t="str">
        <f t="shared" si="70"/>
        <v>1-0.00280762545840778i</v>
      </c>
      <c r="X111" s="160">
        <f t="shared" si="81"/>
        <v>1.0000039413725901</v>
      </c>
      <c r="Y111" s="160">
        <f t="shared" si="82"/>
        <v>-2.8076180811627831E-3</v>
      </c>
      <c r="Z111" s="98" t="str">
        <f t="shared" si="71"/>
        <v>0.999999395812464-0.000209496996024226i</v>
      </c>
      <c r="AA111" s="160">
        <f t="shared" si="83"/>
        <v>0.99999941775697276</v>
      </c>
      <c r="AB111" s="160">
        <f t="shared" si="84"/>
        <v>-2.0949711953490021E-4</v>
      </c>
      <c r="AC111" s="171" t="str">
        <f t="shared" si="85"/>
        <v>20.4029020006051-2.54758137448444i</v>
      </c>
      <c r="AD111" s="190">
        <f t="shared" si="86"/>
        <v>26.261027041646912</v>
      </c>
      <c r="AE111" s="169">
        <f t="shared" si="87"/>
        <v>-7.1173256779668161</v>
      </c>
      <c r="AF111" s="98" t="str">
        <f t="shared" si="72"/>
        <v>-0.0000897803247373448</v>
      </c>
      <c r="AG111" s="98" t="str">
        <f t="shared" si="73"/>
        <v>0.00106957160320297i</v>
      </c>
      <c r="AH111" s="98">
        <f t="shared" si="88"/>
        <v>1.0695716032029701E-3</v>
      </c>
      <c r="AI111" s="98">
        <f t="shared" si="89"/>
        <v>1.5707963267948966</v>
      </c>
      <c r="AJ111" s="98" t="str">
        <f t="shared" si="74"/>
        <v>1+0.125674663376349i</v>
      </c>
      <c r="AK111" s="98">
        <f t="shared" si="90"/>
        <v>1.0078661225652734</v>
      </c>
      <c r="AL111" s="98">
        <f t="shared" si="91"/>
        <v>0.12501922323430106</v>
      </c>
      <c r="AM111" s="98" t="str">
        <f t="shared" si="75"/>
        <v>1+0.251349326752698i</v>
      </c>
      <c r="AN111" s="98">
        <f t="shared" si="92"/>
        <v>1.0311044971577976</v>
      </c>
      <c r="AO111" s="98">
        <f t="shared" si="93"/>
        <v>0.24624821396737209</v>
      </c>
      <c r="AP111" s="168" t="str">
        <f t="shared" si="94"/>
        <v>-0.0103851636255776+0.0852456048011552i</v>
      </c>
      <c r="AQ111" s="98">
        <f t="shared" si="95"/>
        <v>-21.322577171211606</v>
      </c>
      <c r="AR111" s="169">
        <f t="shared" si="96"/>
        <v>96.945909523635549</v>
      </c>
      <c r="AS111" s="168" t="str">
        <f t="shared" si="97"/>
        <v>0.00528263933517584+1.76571477016378i</v>
      </c>
      <c r="AT111" s="190">
        <f t="shared" si="98"/>
        <v>4.9384498704353259</v>
      </c>
      <c r="AU111" s="169">
        <f t="shared" si="99"/>
        <v>89.828583845668746</v>
      </c>
      <c r="AV111" s="225"/>
      <c r="AX111">
        <f t="shared" si="100"/>
        <v>0</v>
      </c>
      <c r="AY111">
        <f t="shared" si="101"/>
        <v>0</v>
      </c>
    </row>
    <row r="112" spans="14:51" x14ac:dyDescent="0.3">
      <c r="N112" s="170">
        <v>94</v>
      </c>
      <c r="O112" s="199">
        <f t="shared" si="76"/>
        <v>87.096358995608071</v>
      </c>
      <c r="P112" s="189" t="str">
        <f t="shared" si="67"/>
        <v>20.7142857142857</v>
      </c>
      <c r="Q112" s="160" t="str">
        <f t="shared" si="68"/>
        <v>1+0.125084014434296i</v>
      </c>
      <c r="R112" s="160">
        <f t="shared" si="77"/>
        <v>1.0077926426934258</v>
      </c>
      <c r="S112" s="160">
        <f t="shared" si="78"/>
        <v>0.12443771559575502</v>
      </c>
      <c r="T112" s="160" t="str">
        <f t="shared" si="69"/>
        <v>1+0.0000109448512630009i</v>
      </c>
      <c r="U112" s="160">
        <f t="shared" si="79"/>
        <v>1.0000000000598948</v>
      </c>
      <c r="V112" s="160">
        <f t="shared" si="80"/>
        <v>1.0944851262563873E-5</v>
      </c>
      <c r="W112" s="98" t="str">
        <f t="shared" si="70"/>
        <v>1-0.00287302345653772i</v>
      </c>
      <c r="X112" s="160">
        <f t="shared" si="81"/>
        <v>1.0000041271233744</v>
      </c>
      <c r="Y112" s="160">
        <f t="shared" si="82"/>
        <v>-2.8730155516790488E-3</v>
      </c>
      <c r="Z112" s="98" t="str">
        <f t="shared" si="71"/>
        <v>0.999999367337983-0.000214376807935459i</v>
      </c>
      <c r="AA112" s="160">
        <f t="shared" si="83"/>
        <v>0.99999939031670515</v>
      </c>
      <c r="AB112" s="160">
        <f t="shared" si="84"/>
        <v>-2.1437694027953434E-4</v>
      </c>
      <c r="AC112" s="171" t="str">
        <f t="shared" si="85"/>
        <v>20.3884530072336-2.60511483099499i</v>
      </c>
      <c r="AD112" s="190">
        <f t="shared" si="86"/>
        <v>26.25801671823243</v>
      </c>
      <c r="AE112" s="169">
        <f t="shared" si="87"/>
        <v>-7.2814575937850021</v>
      </c>
      <c r="AF112" s="98" t="str">
        <f t="shared" si="72"/>
        <v>-0.0000897803247373448</v>
      </c>
      <c r="AG112" s="98" t="str">
        <f t="shared" si="73"/>
        <v>0.00109448512630009i</v>
      </c>
      <c r="AH112" s="98">
        <f t="shared" si="88"/>
        <v>1.09448512630009E-3</v>
      </c>
      <c r="AI112" s="98">
        <f t="shared" si="89"/>
        <v>1.5707963267948966</v>
      </c>
      <c r="AJ112" s="98" t="str">
        <f t="shared" si="74"/>
        <v>1+0.12860200234026i</v>
      </c>
      <c r="AK112" s="98">
        <f t="shared" si="90"/>
        <v>1.0082353271959499</v>
      </c>
      <c r="AL112" s="98">
        <f t="shared" si="91"/>
        <v>0.12789999502816124</v>
      </c>
      <c r="AM112" s="98" t="str">
        <f t="shared" si="75"/>
        <v>1+0.257204004680521i</v>
      </c>
      <c r="AN112" s="98">
        <f t="shared" si="92"/>
        <v>1.032547287064228</v>
      </c>
      <c r="AO112" s="98">
        <f t="shared" si="93"/>
        <v>0.25174732599159333</v>
      </c>
      <c r="AP112" s="168" t="str">
        <f t="shared" si="94"/>
        <v>-0.010377559153948+0.0833643097637197i</v>
      </c>
      <c r="AQ112" s="98">
        <f t="shared" si="95"/>
        <v>-21.513613052043937</v>
      </c>
      <c r="AR112" s="169">
        <f t="shared" si="96"/>
        <v>97.095929368164548</v>
      </c>
      <c r="AS112" s="168" t="str">
        <f t="shared" si="97"/>
        <v>0.00559122260107095+1.72670404535954i</v>
      </c>
      <c r="AT112" s="190">
        <f t="shared" si="98"/>
        <v>4.7444036661884796</v>
      </c>
      <c r="AU112" s="169">
        <f t="shared" si="99"/>
        <v>89.814471774379555</v>
      </c>
      <c r="AV112" s="225"/>
      <c r="AX112">
        <f t="shared" si="100"/>
        <v>0</v>
      </c>
      <c r="AY112">
        <f t="shared" si="101"/>
        <v>0</v>
      </c>
    </row>
    <row r="113" spans="14:51" x14ac:dyDescent="0.3">
      <c r="N113" s="170">
        <v>95</v>
      </c>
      <c r="O113" s="199">
        <f t="shared" si="76"/>
        <v>89.125093813374562</v>
      </c>
      <c r="P113" s="189" t="str">
        <f t="shared" si="67"/>
        <v>20.7142857142857</v>
      </c>
      <c r="Q113" s="160" t="str">
        <f t="shared" si="68"/>
        <v>1+0.127997595416959i</v>
      </c>
      <c r="R113" s="160">
        <f t="shared" si="77"/>
        <v>1.0081584123700618</v>
      </c>
      <c r="S113" s="160">
        <f t="shared" si="78"/>
        <v>0.12730537604871486</v>
      </c>
      <c r="T113" s="160" t="str">
        <f t="shared" si="69"/>
        <v>1+0.0000111997895989839i</v>
      </c>
      <c r="U113" s="160">
        <f t="shared" si="79"/>
        <v>1.0000000000627176</v>
      </c>
      <c r="V113" s="160">
        <f t="shared" si="80"/>
        <v>1.1199789598515617E-5</v>
      </c>
      <c r="W113" s="98" t="str">
        <f t="shared" si="70"/>
        <v>1-0.00293994476973328i</v>
      </c>
      <c r="X113" s="160">
        <f t="shared" si="81"/>
        <v>1.0000043216282863</v>
      </c>
      <c r="Y113" s="160">
        <f t="shared" si="82"/>
        <v>-2.9399362995265856E-3</v>
      </c>
      <c r="Z113" s="98" t="str">
        <f t="shared" si="71"/>
        <v>0.999999337521541-0.000219370285267872i</v>
      </c>
      <c r="AA113" s="160">
        <f t="shared" si="83"/>
        <v>0.99999936158321767</v>
      </c>
      <c r="AB113" s="160">
        <f t="shared" si="84"/>
        <v>-2.1937042707710763E-4</v>
      </c>
      <c r="AC113" s="171" t="str">
        <f t="shared" si="85"/>
        <v>20.3733445129337-2.66386190111266i</v>
      </c>
      <c r="AD113" s="190">
        <f t="shared" si="86"/>
        <v>26.254866760236581</v>
      </c>
      <c r="AE113" s="169">
        <f t="shared" si="87"/>
        <v>-7.4492959986204506</v>
      </c>
      <c r="AF113" s="98" t="str">
        <f t="shared" si="72"/>
        <v>-0.0000897803247373448</v>
      </c>
      <c r="AG113" s="98" t="str">
        <f t="shared" si="73"/>
        <v>0.00111997895989839i</v>
      </c>
      <c r="AH113" s="98">
        <f t="shared" si="88"/>
        <v>1.1199789598983899E-3</v>
      </c>
      <c r="AI113" s="98">
        <f t="shared" si="89"/>
        <v>1.5707963267948966</v>
      </c>
      <c r="AJ113" s="98" t="str">
        <f t="shared" si="74"/>
        <v>1+0.131597527788061i</v>
      </c>
      <c r="AK113" s="98">
        <f t="shared" si="90"/>
        <v>1.0086217870539627</v>
      </c>
      <c r="AL113" s="98">
        <f t="shared" si="91"/>
        <v>0.13084566024116348</v>
      </c>
      <c r="AM113" s="98" t="str">
        <f t="shared" si="75"/>
        <v>1+0.263195055576123i</v>
      </c>
      <c r="AN113" s="98">
        <f t="shared" si="92"/>
        <v>1.0340559159347809</v>
      </c>
      <c r="AO113" s="98">
        <f t="shared" si="93"/>
        <v>0.25735846870239593</v>
      </c>
      <c r="AP113" s="168" t="str">
        <f t="shared" si="94"/>
        <v>-0.0103696082217703+0.0815271249531726i</v>
      </c>
      <c r="AQ113" s="98">
        <f t="shared" si="95"/>
        <v>-21.704260270846532</v>
      </c>
      <c r="AR113" s="169">
        <f t="shared" si="96"/>
        <v>97.248649979175582</v>
      </c>
      <c r="AS113" s="168" t="str">
        <f t="shared" si="97"/>
        <v>0.00591340130373161+1.68860340809142i</v>
      </c>
      <c r="AT113" s="190">
        <f t="shared" si="98"/>
        <v>4.5506064893900611</v>
      </c>
      <c r="AU113" s="169">
        <f t="shared" si="99"/>
        <v>89.799353980555139</v>
      </c>
      <c r="AV113" s="225"/>
      <c r="AX113">
        <f t="shared" si="100"/>
        <v>0</v>
      </c>
      <c r="AY113">
        <f t="shared" si="101"/>
        <v>0</v>
      </c>
    </row>
    <row r="114" spans="14:51" x14ac:dyDescent="0.3">
      <c r="N114" s="170">
        <v>96</v>
      </c>
      <c r="O114" s="199">
        <f t="shared" si="76"/>
        <v>91.201083935590972</v>
      </c>
      <c r="P114" s="189" t="str">
        <f t="shared" si="67"/>
        <v>20.7142857142857</v>
      </c>
      <c r="Q114" s="160" t="str">
        <f t="shared" si="68"/>
        <v>1+0.130979042418962i</v>
      </c>
      <c r="R114" s="160">
        <f t="shared" si="77"/>
        <v>1.0085412780610361</v>
      </c>
      <c r="S114" s="160">
        <f t="shared" si="78"/>
        <v>0.13023765484434874</v>
      </c>
      <c r="T114" s="160" t="str">
        <f t="shared" si="69"/>
        <v>1+0.0000114606662116591i</v>
      </c>
      <c r="U114" s="160">
        <f t="shared" si="79"/>
        <v>1.0000000000656735</v>
      </c>
      <c r="V114" s="160">
        <f t="shared" si="80"/>
        <v>1.1460666211157327E-5</v>
      </c>
      <c r="W114" s="98" t="str">
        <f t="shared" si="70"/>
        <v>1-0.00300842488056052i</v>
      </c>
      <c r="X114" s="160">
        <f t="shared" si="81"/>
        <v>1.0000045252998917</v>
      </c>
      <c r="Y114" s="160">
        <f t="shared" si="82"/>
        <v>-3.0084158045727456E-3</v>
      </c>
      <c r="Z114" s="98" t="str">
        <f t="shared" si="71"/>
        <v>0.999999306299893-0.000224480075629243i</v>
      </c>
      <c r="AA114" s="160">
        <f t="shared" si="83"/>
        <v>0.99999933149556242</v>
      </c>
      <c r="AB114" s="160">
        <f t="shared" si="84"/>
        <v>-2.2448022758058116E-4</v>
      </c>
      <c r="AC114" s="171" t="str">
        <f t="shared" si="85"/>
        <v>20.357547455516-2.7238421338691i</v>
      </c>
      <c r="AD114" s="190">
        <f t="shared" si="86"/>
        <v>26.251570799201968</v>
      </c>
      <c r="AE114" s="169">
        <f t="shared" si="87"/>
        <v>-7.6209190674563985</v>
      </c>
      <c r="AF114" s="98" t="str">
        <f t="shared" si="72"/>
        <v>-0.0000897803247373448</v>
      </c>
      <c r="AG114" s="98" t="str">
        <f t="shared" si="73"/>
        <v>0.00114606662116591i</v>
      </c>
      <c r="AH114" s="98">
        <f t="shared" si="88"/>
        <v>1.14606662116591E-3</v>
      </c>
      <c r="AI114" s="98">
        <f t="shared" si="89"/>
        <v>1.5707963267948966</v>
      </c>
      <c r="AJ114" s="98" t="str">
        <f t="shared" si="74"/>
        <v>1+0.134662827986995i</v>
      </c>
      <c r="AK114" s="98">
        <f t="shared" si="90"/>
        <v>1.0090263015607943</v>
      </c>
      <c r="AL114" s="98">
        <f t="shared" si="91"/>
        <v>0.13385757612043586</v>
      </c>
      <c r="AM114" s="98" t="str">
        <f t="shared" si="75"/>
        <v>1+0.26932565597399i</v>
      </c>
      <c r="AN114" s="98">
        <f t="shared" si="92"/>
        <v>1.0356332888459217</v>
      </c>
      <c r="AO114" s="98">
        <f t="shared" si="93"/>
        <v>0.26308320328147061</v>
      </c>
      <c r="AP114" s="168" t="str">
        <f t="shared" si="94"/>
        <v>-0.010361295621516+0.0797330700109544i</v>
      </c>
      <c r="AQ114" s="98">
        <f t="shared" si="95"/>
        <v>-21.894503544170654</v>
      </c>
      <c r="AR114" s="169">
        <f t="shared" si="96"/>
        <v>97.404083041258474</v>
      </c>
      <c r="AS114" s="168" t="str">
        <f t="shared" si="97"/>
        <v>0.00624972824293027+1.65139229009734i</v>
      </c>
      <c r="AT114" s="190">
        <f t="shared" si="98"/>
        <v>4.3570672550312999</v>
      </c>
      <c r="AU114" s="169">
        <f t="shared" si="99"/>
        <v>89.783163973802075</v>
      </c>
      <c r="AV114" s="225"/>
      <c r="AX114">
        <f t="shared" si="100"/>
        <v>0</v>
      </c>
      <c r="AY114">
        <f t="shared" si="101"/>
        <v>0</v>
      </c>
    </row>
    <row r="115" spans="14:51" x14ac:dyDescent="0.3">
      <c r="N115" s="170">
        <v>97</v>
      </c>
      <c r="O115" s="199">
        <f t="shared" si="76"/>
        <v>93.325430079699174</v>
      </c>
      <c r="P115" s="189" t="str">
        <f t="shared" si="67"/>
        <v>20.7142857142857</v>
      </c>
      <c r="Q115" s="160" t="str">
        <f t="shared" si="68"/>
        <v>1+0.134029936242967i</v>
      </c>
      <c r="R115" s="160">
        <f t="shared" si="77"/>
        <v>1.0089420319370652</v>
      </c>
      <c r="S115" s="160">
        <f t="shared" si="78"/>
        <v>0.13323590490854789</v>
      </c>
      <c r="T115" s="160" t="str">
        <f t="shared" si="69"/>
        <v>1+0.0000117276194212596i</v>
      </c>
      <c r="U115" s="160">
        <f t="shared" si="79"/>
        <v>1.0000000000687685</v>
      </c>
      <c r="V115" s="160">
        <f t="shared" si="80"/>
        <v>1.1727619420721939E-5</v>
      </c>
      <c r="W115" s="98" t="str">
        <f t="shared" si="70"/>
        <v>1-0.00307850009808065i</v>
      </c>
      <c r="X115" s="160">
        <f t="shared" si="81"/>
        <v>1.0000047385701998</v>
      </c>
      <c r="Y115" s="160">
        <f t="shared" si="82"/>
        <v>-3.0784903729870246E-3</v>
      </c>
      <c r="Z115" s="98" t="str">
        <f t="shared" si="71"/>
        <v>0.999999273606814-0.000229708888298059i</v>
      </c>
      <c r="AA115" s="160">
        <f t="shared" si="83"/>
        <v>0.99999929998991932</v>
      </c>
      <c r="AB115" s="160">
        <f t="shared" si="84"/>
        <v>-2.2970905111685641E-4</v>
      </c>
      <c r="AC115" s="171" t="str">
        <f t="shared" si="85"/>
        <v>20.3410315905223-2.78507494895363i</v>
      </c>
      <c r="AD115" s="190">
        <f t="shared" si="86"/>
        <v>26.248122186500552</v>
      </c>
      <c r="AE115" s="169">
        <f t="shared" si="87"/>
        <v>-7.7964062342684812</v>
      </c>
      <c r="AF115" s="98" t="str">
        <f t="shared" si="72"/>
        <v>-0.0000897803247373448</v>
      </c>
      <c r="AG115" s="98" t="str">
        <f t="shared" si="73"/>
        <v>0.00117276194212596i</v>
      </c>
      <c r="AH115" s="98">
        <f t="shared" si="88"/>
        <v>1.17276194212596E-3</v>
      </c>
      <c r="AI115" s="98">
        <f t="shared" si="89"/>
        <v>1.5707963267948966</v>
      </c>
      <c r="AJ115" s="98" t="str">
        <f t="shared" si="74"/>
        <v>1+0.137799528199801i</v>
      </c>
      <c r="AK115" s="98">
        <f t="shared" si="90"/>
        <v>1.0094497065094863</v>
      </c>
      <c r="AL115" s="98">
        <f t="shared" si="91"/>
        <v>0.13693712092392418</v>
      </c>
      <c r="AM115" s="98" t="str">
        <f t="shared" si="75"/>
        <v>1+0.275599056399602i</v>
      </c>
      <c r="AN115" s="98">
        <f t="shared" si="92"/>
        <v>1.037282430145402</v>
      </c>
      <c r="AO115" s="98">
        <f t="shared" si="93"/>
        <v>0.26892306352786871</v>
      </c>
      <c r="AP115" s="168" t="str">
        <f t="shared" si="94"/>
        <v>-0.0103526055327217+0.0779811870253549i</v>
      </c>
      <c r="AQ115" s="98">
        <f t="shared" si="95"/>
        <v>-22.084327129587457</v>
      </c>
      <c r="AR115" s="169">
        <f t="shared" si="96"/>
        <v>97.562237466261877</v>
      </c>
      <c r="AS115" s="168" t="str">
        <f t="shared" si="97"/>
        <v>0.00660077428867578+1.61505057107475i</v>
      </c>
      <c r="AT115" s="190">
        <f t="shared" si="98"/>
        <v>4.1637950569130773</v>
      </c>
      <c r="AU115" s="169">
        <f t="shared" si="99"/>
        <v>89.765831231993403</v>
      </c>
      <c r="AV115" s="225"/>
      <c r="AX115">
        <f t="shared" si="100"/>
        <v>0</v>
      </c>
      <c r="AY115">
        <f t="shared" si="101"/>
        <v>0</v>
      </c>
    </row>
    <row r="116" spans="14:51" x14ac:dyDescent="0.3">
      <c r="N116" s="170">
        <v>98</v>
      </c>
      <c r="O116" s="199">
        <f t="shared" si="76"/>
        <v>95.499258602143655</v>
      </c>
      <c r="P116" s="189" t="str">
        <f t="shared" si="67"/>
        <v>20.7142857142857</v>
      </c>
      <c r="Q116" s="160" t="str">
        <f t="shared" si="68"/>
        <v>1+0.137151894513265i</v>
      </c>
      <c r="R116" s="160">
        <f t="shared" si="77"/>
        <v>1.0093615022223592</v>
      </c>
      <c r="S116" s="160">
        <f t="shared" si="78"/>
        <v>0.13630150021677551</v>
      </c>
      <c r="T116" s="160" t="str">
        <f t="shared" si="69"/>
        <v>1+0.0000120007907699107i</v>
      </c>
      <c r="U116" s="160">
        <f t="shared" si="79"/>
        <v>1.0000000000720095</v>
      </c>
      <c r="V116" s="160">
        <f t="shared" si="80"/>
        <v>1.2000790769334586E-5</v>
      </c>
      <c r="W116" s="98" t="str">
        <f t="shared" si="70"/>
        <v>1-0.00315020757710154i</v>
      </c>
      <c r="X116" s="160">
        <f t="shared" si="81"/>
        <v>1.0000049618915792</v>
      </c>
      <c r="Y116" s="160">
        <f t="shared" si="82"/>
        <v>-3.1501971564787679E-3</v>
      </c>
      <c r="Z116" s="98" t="str">
        <f t="shared" si="71"/>
        <v>0.999999239372958-0.000235059495660006i</v>
      </c>
      <c r="AA116" s="160">
        <f t="shared" si="83"/>
        <v>0.99999926699946184</v>
      </c>
      <c r="AB116" s="160">
        <f t="shared" si="84"/>
        <v>-2.3505967012349633E-4</v>
      </c>
      <c r="AC116" s="171" t="str">
        <f t="shared" si="85"/>
        <v>20.3237654525226-2.84757959643755i</v>
      </c>
      <c r="AD116" s="190">
        <f t="shared" si="86"/>
        <v>26.244513981980969</v>
      </c>
      <c r="AE116" s="169">
        <f t="shared" si="87"/>
        <v>-7.9758381837293557</v>
      </c>
      <c r="AF116" s="98" t="str">
        <f t="shared" si="72"/>
        <v>-0.0000897803247373448</v>
      </c>
      <c r="AG116" s="98" t="str">
        <f t="shared" si="73"/>
        <v>0.00120007907699107i</v>
      </c>
      <c r="AH116" s="98">
        <f t="shared" si="88"/>
        <v>1.2000790769910699E-3</v>
      </c>
      <c r="AI116" s="98">
        <f t="shared" si="89"/>
        <v>1.5707963267948966</v>
      </c>
      <c r="AJ116" s="98" t="str">
        <f t="shared" si="74"/>
        <v>1+0.14100929154645i</v>
      </c>
      <c r="AK116" s="98">
        <f t="shared" si="90"/>
        <v>1.0098928756568351</v>
      </c>
      <c r="AL116" s="98">
        <f t="shared" si="91"/>
        <v>0.14008569370263094</v>
      </c>
      <c r="AM116" s="98" t="str">
        <f t="shared" si="75"/>
        <v>1+0.282018583092901i</v>
      </c>
      <c r="AN116" s="98">
        <f t="shared" si="92"/>
        <v>1.0390064875686424</v>
      </c>
      <c r="AO116" s="98">
        <f t="shared" si="93"/>
        <v>0.27487955187008756</v>
      </c>
      <c r="AP116" s="168" t="str">
        <f t="shared" si="94"/>
        <v>-0.0103435215024924+0.0762705399965845i</v>
      </c>
      <c r="AQ116" s="98">
        <f t="shared" si="95"/>
        <v>-22.273714825063205</v>
      </c>
      <c r="AR116" s="169">
        <f t="shared" si="96"/>
        <v>97.723119177280253</v>
      </c>
      <c r="AS116" s="168" t="str">
        <f t="shared" si="97"/>
        <v>0.00696712853376841+1.57955856661364i</v>
      </c>
      <c r="AT116" s="190">
        <f t="shared" si="98"/>
        <v>3.9707991569177814</v>
      </c>
      <c r="AU116" s="169">
        <f t="shared" si="99"/>
        <v>89.747280993550902</v>
      </c>
      <c r="AV116" s="225"/>
      <c r="AX116">
        <f t="shared" si="100"/>
        <v>0</v>
      </c>
      <c r="AY116">
        <f t="shared" si="101"/>
        <v>0</v>
      </c>
    </row>
    <row r="117" spans="14:51" x14ac:dyDescent="0.3">
      <c r="N117" s="170">
        <v>99</v>
      </c>
      <c r="O117" s="199">
        <f t="shared" si="76"/>
        <v>97.723722095581124</v>
      </c>
      <c r="P117" s="189" t="str">
        <f t="shared" si="67"/>
        <v>20.7142857142857</v>
      </c>
      <c r="Q117" s="160" t="str">
        <f t="shared" si="68"/>
        <v>1+0.140346572533453i</v>
      </c>
      <c r="R117" s="160">
        <f t="shared" si="77"/>
        <v>1.0098005547740048</v>
      </c>
      <c r="S117" s="160">
        <f t="shared" si="78"/>
        <v>0.13943583558602604</v>
      </c>
      <c r="T117" s="160" t="str">
        <f t="shared" si="69"/>
        <v>1+0.0000122803250966771i</v>
      </c>
      <c r="U117" s="160">
        <f t="shared" si="79"/>
        <v>1.0000000000754032</v>
      </c>
      <c r="V117" s="160">
        <f t="shared" si="80"/>
        <v>1.2280325096059782E-5</v>
      </c>
      <c r="W117" s="98" t="str">
        <f t="shared" si="70"/>
        <v>1-0.00322358533787774i</v>
      </c>
      <c r="X117" s="160">
        <f t="shared" si="81"/>
        <v>1.0000051957377174</v>
      </c>
      <c r="Y117" s="160">
        <f t="shared" si="82"/>
        <v>-3.2235741719824E-3</v>
      </c>
      <c r="Z117" s="98" t="str">
        <f t="shared" si="71"/>
        <v>0.99999920352571-0.000240534734677932i</v>
      </c>
      <c r="AA117" s="160">
        <f t="shared" si="83"/>
        <v>0.99999923245421185</v>
      </c>
      <c r="AB117" s="160">
        <f t="shared" si="84"/>
        <v>-2.4053492161893629E-4</v>
      </c>
      <c r="AC117" s="171" t="str">
        <f t="shared" si="85"/>
        <v>20.305716316078-2.9113751134172i</v>
      </c>
      <c r="AD117" s="190">
        <f t="shared" si="86"/>
        <v>26.24073894224821</v>
      </c>
      <c r="AE117" s="169">
        <f t="shared" si="87"/>
        <v>-8.1592968403279276</v>
      </c>
      <c r="AF117" s="98" t="str">
        <f t="shared" si="72"/>
        <v>-0.0000897803247373448</v>
      </c>
      <c r="AG117" s="98" t="str">
        <f t="shared" si="73"/>
        <v>0.00122803250966771i</v>
      </c>
      <c r="AH117" s="98">
        <f t="shared" si="88"/>
        <v>1.2280325096677099E-3</v>
      </c>
      <c r="AI117" s="98">
        <f t="shared" si="89"/>
        <v>1.5707963267948966</v>
      </c>
      <c r="AJ117" s="98" t="str">
        <f t="shared" si="74"/>
        <v>1+0.144293819885956i</v>
      </c>
      <c r="AK117" s="98">
        <f t="shared" si="90"/>
        <v>1.0103567223794181</v>
      </c>
      <c r="AL117" s="98">
        <f t="shared" si="91"/>
        <v>0.14330471403317638</v>
      </c>
      <c r="AM117" s="98" t="str">
        <f t="shared" si="75"/>
        <v>1+0.288587639771913i</v>
      </c>
      <c r="AN117" s="98">
        <f t="shared" si="92"/>
        <v>1.0408087364300529</v>
      </c>
      <c r="AO117" s="98">
        <f t="shared" si="93"/>
        <v>0.28095413516803963</v>
      </c>
      <c r="AP117" s="168" t="str">
        <f t="shared" si="94"/>
        <v>-0.0103340264259026+0.0746002143118896i</v>
      </c>
      <c r="AQ117" s="98">
        <f t="shared" si="95"/>
        <v>-22.462649969789737</v>
      </c>
      <c r="AR117" s="169">
        <f t="shared" si="96"/>
        <v>97.886730883446546</v>
      </c>
      <c r="AS117" s="168" t="str">
        <f t="shared" si="97"/>
        <v>0.00734939839599336+1.54489701629362i</v>
      </c>
      <c r="AT117" s="190">
        <f t="shared" si="98"/>
        <v>3.7780889724584648</v>
      </c>
      <c r="AU117" s="169">
        <f t="shared" si="99"/>
        <v>89.72743404311862</v>
      </c>
      <c r="AV117" s="225"/>
      <c r="AX117">
        <f t="shared" si="100"/>
        <v>0</v>
      </c>
      <c r="AY117">
        <f t="shared" si="101"/>
        <v>0</v>
      </c>
    </row>
    <row r="118" spans="14:51" x14ac:dyDescent="0.3">
      <c r="N118" s="170">
        <v>100</v>
      </c>
      <c r="O118" s="199">
        <f t="shared" si="76"/>
        <v>100</v>
      </c>
      <c r="P118" s="189" t="str">
        <f t="shared" si="67"/>
        <v>20.7142857142857</v>
      </c>
      <c r="Q118" s="160" t="str">
        <f t="shared" si="68"/>
        <v>1+0.143615664164105i</v>
      </c>
      <c r="R118" s="160">
        <f t="shared" si="77"/>
        <v>1.010260094724768</v>
      </c>
      <c r="S118" s="160">
        <f t="shared" si="78"/>
        <v>0.14264032641784696</v>
      </c>
      <c r="T118" s="160" t="str">
        <f t="shared" si="69"/>
        <v>1+0.0000125663706143592i</v>
      </c>
      <c r="U118" s="160">
        <f t="shared" si="79"/>
        <v>1.0000000000789568</v>
      </c>
      <c r="V118" s="160">
        <f t="shared" si="80"/>
        <v>1.2566370613697734E-5</v>
      </c>
      <c r="W118" s="98" t="str">
        <f t="shared" si="70"/>
        <v>1-0.00329867228626928i</v>
      </c>
      <c r="X118" s="160">
        <f t="shared" si="81"/>
        <v>1.0000054406046259</v>
      </c>
      <c r="Y118" s="160">
        <f t="shared" si="82"/>
        <v>-3.2986603218003786E-3</v>
      </c>
      <c r="Z118" s="98" t="str">
        <f t="shared" si="71"/>
        <v>0.999999165989033-0.000246137508396039i</v>
      </c>
      <c r="AA118" s="160">
        <f t="shared" si="83"/>
        <v>0.99999919628089429</v>
      </c>
      <c r="AB118" s="160">
        <f t="shared" si="84"/>
        <v>-2.4613770870694123E-4</v>
      </c>
      <c r="AC118" s="171" t="str">
        <f t="shared" si="85"/>
        <v>20.2868501564794-2.97648027741056i</v>
      </c>
      <c r="AD118" s="190">
        <f t="shared" si="86"/>
        <v>26.236789508574322</v>
      </c>
      <c r="AE118" s="169">
        <f t="shared" si="87"/>
        <v>-8.3468653547095677</v>
      </c>
      <c r="AF118" s="98" t="str">
        <f t="shared" si="72"/>
        <v>-0.0000897803247373448</v>
      </c>
      <c r="AG118" s="98" t="str">
        <f t="shared" si="73"/>
        <v>0.00125663706143592i</v>
      </c>
      <c r="AH118" s="98">
        <f t="shared" si="88"/>
        <v>1.2566370614359201E-3</v>
      </c>
      <c r="AI118" s="98">
        <f t="shared" si="89"/>
        <v>1.5707963267948966</v>
      </c>
      <c r="AJ118" s="98" t="str">
        <f t="shared" si="74"/>
        <v>1+0.14765485471872i</v>
      </c>
      <c r="AK118" s="98">
        <f t="shared" si="90"/>
        <v>1.0108422013954534</v>
      </c>
      <c r="AL118" s="98">
        <f t="shared" si="91"/>
        <v>0.14659562169700627</v>
      </c>
      <c r="AM118" s="98" t="str">
        <f t="shared" si="75"/>
        <v>1+0.295309709437441i</v>
      </c>
      <c r="AN118" s="98">
        <f t="shared" si="92"/>
        <v>1.0426925838846395</v>
      </c>
      <c r="AO118" s="98">
        <f t="shared" si="93"/>
        <v>0.28714824030276154</v>
      </c>
      <c r="AP118" s="168" t="str">
        <f t="shared" si="94"/>
        <v>-0.0103241025263593+0.0729693162303505i</v>
      </c>
      <c r="AQ118" s="98">
        <f t="shared" si="95"/>
        <v>-22.651115446617478</v>
      </c>
      <c r="AR118" s="169">
        <f t="shared" si="96"/>
        <v>98.05307184562173</v>
      </c>
      <c r="AS118" s="168" t="str">
        <f t="shared" si="97"/>
        <v>0.00774820966339099+1.51104707193755i</v>
      </c>
      <c r="AT118" s="190">
        <f t="shared" si="98"/>
        <v>3.5856740619568237</v>
      </c>
      <c r="AU118" s="169">
        <f t="shared" si="99"/>
        <v>89.70620649091218</v>
      </c>
      <c r="AV118" s="225"/>
      <c r="AX118">
        <f t="shared" si="100"/>
        <v>0</v>
      </c>
      <c r="AY118">
        <f t="shared" si="101"/>
        <v>0</v>
      </c>
    </row>
    <row r="119" spans="14:51" x14ac:dyDescent="0.3">
      <c r="N119" s="170">
        <v>1</v>
      </c>
      <c r="O119" s="199">
        <f>10^(2+(N119/100))</f>
        <v>102.32929922807544</v>
      </c>
      <c r="P119" s="189" t="str">
        <f t="shared" si="67"/>
        <v>20.7142857142857</v>
      </c>
      <c r="Q119" s="160" t="str">
        <f t="shared" si="68"/>
        <v>1+0.146960902720875i</v>
      </c>
      <c r="R119" s="160">
        <f t="shared" si="77"/>
        <v>1.010741068191322</v>
      </c>
      <c r="S119" s="160">
        <f t="shared" si="78"/>
        <v>0.14591640838876804</v>
      </c>
      <c r="T119" s="160" t="str">
        <f t="shared" si="69"/>
        <v>1+0.0000128590789880765i</v>
      </c>
      <c r="U119" s="160">
        <f t="shared" si="79"/>
        <v>1.0000000000826779</v>
      </c>
      <c r="V119" s="160">
        <f t="shared" si="80"/>
        <v>1.2859078987367724E-5</v>
      </c>
      <c r="W119" s="98" t="str">
        <f t="shared" si="70"/>
        <v>1-0.00337550823437008i</v>
      </c>
      <c r="X119" s="160">
        <f t="shared" si="81"/>
        <v>1.0000056970116922</v>
      </c>
      <c r="Y119" s="160">
        <f t="shared" si="82"/>
        <v>-3.3754954142146201E-3</v>
      </c>
      <c r="Z119" s="98" t="str">
        <f t="shared" si="71"/>
        <v>0.999999126683307-0.000251870787479112i</v>
      </c>
      <c r="AA119" s="160">
        <f t="shared" si="83"/>
        <v>0.99999915840278097</v>
      </c>
      <c r="AB119" s="160">
        <f t="shared" si="84"/>
        <v>-2.5187100211611883E-4</v>
      </c>
      <c r="AC119" s="171" t="str">
        <f t="shared" si="85"/>
        <v>20.2671316103792-3.04291355633441i</v>
      </c>
      <c r="AD119" s="190">
        <f t="shared" si="86"/>
        <v>26.232657794436875</v>
      </c>
      <c r="AE119" s="169">
        <f t="shared" si="87"/>
        <v>-8.5386280870266251</v>
      </c>
      <c r="AF119" s="98" t="str">
        <f t="shared" si="72"/>
        <v>-0.0000897803247373448</v>
      </c>
      <c r="AG119" s="98" t="str">
        <f t="shared" si="73"/>
        <v>0.00128590789880765i</v>
      </c>
      <c r="AH119" s="98">
        <f t="shared" si="88"/>
        <v>1.28590789880765E-3</v>
      </c>
      <c r="AI119" s="98">
        <f t="shared" si="89"/>
        <v>1.5707963267948966</v>
      </c>
      <c r="AJ119" s="98" t="str">
        <f t="shared" si="74"/>
        <v>1+0.151094178109899i</v>
      </c>
      <c r="AK119" s="98">
        <f t="shared" si="90"/>
        <v>1.011350310554511</v>
      </c>
      <c r="AL119" s="98">
        <f t="shared" si="91"/>
        <v>0.1499598763024034</v>
      </c>
      <c r="AM119" s="98" t="str">
        <f t="shared" si="75"/>
        <v>1+0.302188356219799i</v>
      </c>
      <c r="AN119" s="98">
        <f t="shared" si="92"/>
        <v>1.0446615732546229</v>
      </c>
      <c r="AO119" s="98">
        <f t="shared" si="93"/>
        <v>0.29346324955272213</v>
      </c>
      <c r="AP119" s="168" t="str">
        <f t="shared" si="94"/>
        <v>-0.0103137313359958+0.0713769723770299i</v>
      </c>
      <c r="AQ119" s="98">
        <f t="shared" si="95"/>
        <v>-22.839093686242435</v>
      </c>
      <c r="AR119" s="169">
        <f t="shared" si="96"/>
        <v>98.222137633133784</v>
      </c>
      <c r="AS119" s="168" t="str">
        <f t="shared" si="97"/>
        <v>0.00816420647545205+1.47799028601436i</v>
      </c>
      <c r="AT119" s="190">
        <f t="shared" si="98"/>
        <v>3.3935641081944472</v>
      </c>
      <c r="AU119" s="169">
        <f t="shared" si="99"/>
        <v>89.683509546107175</v>
      </c>
      <c r="AV119" s="225"/>
      <c r="AX119">
        <f t="shared" si="100"/>
        <v>0</v>
      </c>
      <c r="AY119">
        <f t="shared" si="101"/>
        <v>0</v>
      </c>
    </row>
    <row r="120" spans="14:51" x14ac:dyDescent="0.3">
      <c r="N120" s="170">
        <v>2</v>
      </c>
      <c r="O120" s="199">
        <f t="shared" ref="O120:O183" si="102">10^(2+(N120/100))</f>
        <v>104.71285480508998</v>
      </c>
      <c r="P120" s="189" t="str">
        <f t="shared" si="67"/>
        <v>20.7142857142857</v>
      </c>
      <c r="Q120" s="160" t="str">
        <f t="shared" si="68"/>
        <v>1+0.150384061893525i</v>
      </c>
      <c r="R120" s="160">
        <f t="shared" si="77"/>
        <v>1.011244464049913</v>
      </c>
      <c r="S120" s="160">
        <f t="shared" si="78"/>
        <v>0.14926553708433804</v>
      </c>
      <c r="T120" s="160" t="str">
        <f t="shared" si="69"/>
        <v>1+0.0000131586054156834i</v>
      </c>
      <c r="U120" s="160">
        <f t="shared" si="79"/>
        <v>1.0000000000865743</v>
      </c>
      <c r="V120" s="160">
        <f t="shared" si="80"/>
        <v>1.3158605414923933E-5</v>
      </c>
      <c r="W120" s="98" t="str">
        <f t="shared" si="70"/>
        <v>1-0.00345413392161689i</v>
      </c>
      <c r="X120" s="160">
        <f t="shared" si="81"/>
        <v>1.0000059655027806</v>
      </c>
      <c r="Y120" s="160">
        <f t="shared" si="82"/>
        <v>-3.4541201845772443E-3</v>
      </c>
      <c r="Z120" s="98" t="str">
        <f t="shared" si="71"/>
        <v>0.999999085525159-0.00025773761178761i</v>
      </c>
      <c r="AA120" s="160">
        <f t="shared" si="83"/>
        <v>0.99999911873952718</v>
      </c>
      <c r="AB120" s="160">
        <f t="shared" si="84"/>
        <v>-2.5773784177531548E-4</v>
      </c>
      <c r="AC120" s="171" t="str">
        <f t="shared" si="85"/>
        <v>20.246523936455-3.11069305488832i</v>
      </c>
      <c r="AD120" s="190">
        <f t="shared" si="86"/>
        <v>26.228335572685907</v>
      </c>
      <c r="AE120" s="169">
        <f t="shared" si="87"/>
        <v>-8.7346705870842012</v>
      </c>
      <c r="AF120" s="98" t="str">
        <f t="shared" si="72"/>
        <v>-0.0000897803247373448</v>
      </c>
      <c r="AG120" s="98" t="str">
        <f t="shared" si="73"/>
        <v>0.00131586054156834i</v>
      </c>
      <c r="AH120" s="98">
        <f t="shared" si="88"/>
        <v>1.3158605415683399E-3</v>
      </c>
      <c r="AI120" s="98">
        <f t="shared" si="89"/>
        <v>1.5707963267948966</v>
      </c>
      <c r="AJ120" s="98" t="str">
        <f t="shared" si="74"/>
        <v>1+0.15461361363428i</v>
      </c>
      <c r="AK120" s="98">
        <f t="shared" si="90"/>
        <v>1.0118820926970942</v>
      </c>
      <c r="AL120" s="98">
        <f t="shared" si="91"/>
        <v>0.15339895684524521</v>
      </c>
      <c r="AM120" s="98" t="str">
        <f t="shared" si="75"/>
        <v>1+0.309227227268561i</v>
      </c>
      <c r="AN120" s="98">
        <f t="shared" si="92"/>
        <v>1.046719388415158</v>
      </c>
      <c r="AO120" s="98">
        <f t="shared" si="93"/>
        <v>0.29990049575667438</v>
      </c>
      <c r="AP120" s="168" t="str">
        <f t="shared" si="94"/>
        <v>-0.0103028936761731+0.0698223292461067i</v>
      </c>
      <c r="AQ120" s="98">
        <f t="shared" si="95"/>
        <v>-23.026566673310022</v>
      </c>
      <c r="AR120" s="169">
        <f t="shared" si="96"/>
        <v>98.393919871796513</v>
      </c>
      <c r="AS120" s="168" t="str">
        <f t="shared" si="97"/>
        <v>0.00859805123260027+1.44570860018407i</v>
      </c>
      <c r="AT120" s="190">
        <f t="shared" si="98"/>
        <v>3.2017688993759097</v>
      </c>
      <c r="AU120" s="169">
        <f t="shared" si="99"/>
        <v>89.659249284712317</v>
      </c>
      <c r="AV120" s="225"/>
      <c r="AX120">
        <f t="shared" si="100"/>
        <v>0</v>
      </c>
      <c r="AY120">
        <f t="shared" si="101"/>
        <v>0</v>
      </c>
    </row>
    <row r="121" spans="14:51" x14ac:dyDescent="0.3">
      <c r="N121" s="170">
        <v>3</v>
      </c>
      <c r="O121" s="199">
        <f t="shared" si="102"/>
        <v>107.15193052376065</v>
      </c>
      <c r="P121" s="189" t="str">
        <f t="shared" si="67"/>
        <v>20.7142857142857</v>
      </c>
      <c r="Q121" s="160" t="str">
        <f t="shared" si="68"/>
        <v>1+0.153886956686359i</v>
      </c>
      <c r="R121" s="160">
        <f t="shared" si="77"/>
        <v>1.0117713157814809</v>
      </c>
      <c r="S121" s="160">
        <f t="shared" si="78"/>
        <v>0.15268918757275335</v>
      </c>
      <c r="T121" s="160" t="str">
        <f t="shared" si="69"/>
        <v>1+0.0000134651087100564i</v>
      </c>
      <c r="U121" s="160">
        <f t="shared" si="79"/>
        <v>1.0000000000906546</v>
      </c>
      <c r="V121" s="160">
        <f t="shared" si="80"/>
        <v>1.3465108709242618E-5</v>
      </c>
      <c r="W121" s="98" t="str">
        <f t="shared" si="70"/>
        <v>1-0.0035345910363898i</v>
      </c>
      <c r="X121" s="160">
        <f t="shared" si="81"/>
        <v>1.0000062466473869</v>
      </c>
      <c r="Y121" s="160">
        <f t="shared" si="82"/>
        <v>-3.5345763168915891E-3</v>
      </c>
      <c r="Z121" s="98" t="str">
        <f t="shared" si="71"/>
        <v>0.999999042427288-0.000263741091989439i</v>
      </c>
      <c r="AA121" s="160">
        <f t="shared" si="83"/>
        <v>0.99999907720700243</v>
      </c>
      <c r="AB121" s="160">
        <f t="shared" si="84"/>
        <v>-2.6374133842571547E-4</v>
      </c>
      <c r="AC121" s="171" t="str">
        <f t="shared" si="85"/>
        <v>20.2249889762586-3.17983645716622i</v>
      </c>
      <c r="AD121" s="190">
        <f t="shared" si="86"/>
        <v>26.223814262340781</v>
      </c>
      <c r="AE121" s="169">
        <f t="shared" si="87"/>
        <v>-8.9350795710502258</v>
      </c>
      <c r="AF121" s="98" t="str">
        <f t="shared" si="72"/>
        <v>-0.0000897803247373448</v>
      </c>
      <c r="AG121" s="98" t="str">
        <f t="shared" si="73"/>
        <v>0.00134651087100564i</v>
      </c>
      <c r="AH121" s="98">
        <f t="shared" si="88"/>
        <v>1.34651087100564E-3</v>
      </c>
      <c r="AI121" s="98">
        <f t="shared" si="89"/>
        <v>1.5707963267948966</v>
      </c>
      <c r="AJ121" s="98" t="str">
        <f t="shared" si="74"/>
        <v>1+0.158215027343163i</v>
      </c>
      <c r="AK121" s="98">
        <f t="shared" si="90"/>
        <v>1.0124386375860996</v>
      </c>
      <c r="AL121" s="98">
        <f t="shared" si="91"/>
        <v>0.15691436120426372</v>
      </c>
      <c r="AM121" s="98" t="str">
        <f t="shared" si="75"/>
        <v>1+0.316430054686327i</v>
      </c>
      <c r="AN121" s="98">
        <f t="shared" si="92"/>
        <v>1.0488698582325606</v>
      </c>
      <c r="AO121" s="98">
        <f t="shared" si="93"/>
        <v>0.30646125726423068</v>
      </c>
      <c r="AP121" s="168" t="str">
        <f t="shared" si="94"/>
        <v>-0.0102915696381769+0.0683045527126801i</v>
      </c>
      <c r="AQ121" s="98">
        <f t="shared" si="95"/>
        <v>-23.21351595459932</v>
      </c>
      <c r="AR121" s="169">
        <f t="shared" si="96"/>
        <v>98.568405983517692</v>
      </c>
      <c r="AS121" s="168" t="str">
        <f t="shared" si="97"/>
        <v>0.00905042442568646+1.41418433397917i</v>
      </c>
      <c r="AT121" s="190">
        <f t="shared" si="98"/>
        <v>3.0102983077414649</v>
      </c>
      <c r="AU121" s="169">
        <f t="shared" si="99"/>
        <v>89.633326412467468</v>
      </c>
      <c r="AV121" s="225"/>
      <c r="AX121">
        <f t="shared" si="100"/>
        <v>0</v>
      </c>
      <c r="AY121">
        <f t="shared" si="101"/>
        <v>0</v>
      </c>
    </row>
    <row r="122" spans="14:51" x14ac:dyDescent="0.3">
      <c r="N122" s="170">
        <v>4</v>
      </c>
      <c r="O122" s="199">
        <f t="shared" si="102"/>
        <v>109.64781961431861</v>
      </c>
      <c r="P122" s="189" t="str">
        <f t="shared" si="67"/>
        <v>20.7142857142857</v>
      </c>
      <c r="Q122" s="160" t="str">
        <f t="shared" si="68"/>
        <v>1+0.157471444380563i</v>
      </c>
      <c r="R122" s="160">
        <f t="shared" si="77"/>
        <v>1.0123227033882529</v>
      </c>
      <c r="S122" s="160">
        <f t="shared" si="78"/>
        <v>0.15618885391387463</v>
      </c>
      <c r="T122" s="160" t="str">
        <f t="shared" si="69"/>
        <v>1+0.0000137787513832993i</v>
      </c>
      <c r="U122" s="160">
        <f t="shared" si="79"/>
        <v>1.000000000094927</v>
      </c>
      <c r="V122" s="160">
        <f t="shared" si="80"/>
        <v>1.3778751382427317E-5</v>
      </c>
      <c r="W122" s="98" t="str">
        <f t="shared" si="70"/>
        <v>1-0.00361692223811605i</v>
      </c>
      <c r="X122" s="160">
        <f t="shared" si="81"/>
        <v>1.0000065410418457</v>
      </c>
      <c r="Y122" s="160">
        <f t="shared" si="82"/>
        <v>-3.6169064658951255E-3</v>
      </c>
      <c r="Z122" s="98" t="str">
        <f t="shared" si="71"/>
        <v>0.999998997298276-0.000269884411209267i</v>
      </c>
      <c r="AA122" s="160">
        <f t="shared" si="83"/>
        <v>0.99999903371710963</v>
      </c>
      <c r="AB122" s="160">
        <f t="shared" si="84"/>
        <v>-2.6988467527050614E-4</v>
      </c>
      <c r="AC122" s="171" t="str">
        <f t="shared" si="85"/>
        <v>20.2024871154179-3.25036096531405i</v>
      </c>
      <c r="AD122" s="190">
        <f t="shared" si="86"/>
        <v>26.219084915018147</v>
      </c>
      <c r="AE122" s="169">
        <f t="shared" si="87"/>
        <v>-9.1399428944903516</v>
      </c>
      <c r="AF122" s="98" t="str">
        <f t="shared" si="72"/>
        <v>-0.0000897803247373448</v>
      </c>
      <c r="AG122" s="98" t="str">
        <f t="shared" si="73"/>
        <v>0.00137787513832993i</v>
      </c>
      <c r="AH122" s="98">
        <f t="shared" si="88"/>
        <v>1.37787513832993E-3</v>
      </c>
      <c r="AI122" s="98">
        <f t="shared" si="89"/>
        <v>1.5707963267948966</v>
      </c>
      <c r="AJ122" s="98" t="str">
        <f t="shared" si="74"/>
        <v>1+0.161900328753767i</v>
      </c>
      <c r="AK122" s="98">
        <f t="shared" si="90"/>
        <v>1.0130210839121649</v>
      </c>
      <c r="AL122" s="98">
        <f t="shared" si="91"/>
        <v>0.16050760556636481</v>
      </c>
      <c r="AM122" s="98" t="str">
        <f t="shared" si="75"/>
        <v>1+0.323800657507534i</v>
      </c>
      <c r="AN122" s="98">
        <f t="shared" si="92"/>
        <v>1.0511169610477757</v>
      </c>
      <c r="AO122" s="98">
        <f t="shared" si="93"/>
        <v>0.31314675267672176</v>
      </c>
      <c r="AP122" s="168" t="str">
        <f t="shared" si="94"/>
        <v>-0.0102797385642069+0.0668228275528895i</v>
      </c>
      <c r="AQ122" s="98">
        <f t="shared" si="95"/>
        <v>-23.399922649462624</v>
      </c>
      <c r="AR122" s="169">
        <f t="shared" si="96"/>
        <v>98.745578917899891</v>
      </c>
      <c r="AS122" s="168" t="str">
        <f t="shared" si="97"/>
        <v>0.00952202437656985+1.38340017361577i</v>
      </c>
      <c r="AT122" s="190">
        <f t="shared" si="98"/>
        <v>2.819162265555502</v>
      </c>
      <c r="AU122" s="169">
        <f t="shared" si="99"/>
        <v>89.605636023409545</v>
      </c>
      <c r="AV122" s="225"/>
      <c r="AX122">
        <f t="shared" si="100"/>
        <v>0</v>
      </c>
      <c r="AY122">
        <f t="shared" si="101"/>
        <v>0</v>
      </c>
    </row>
    <row r="123" spans="14:51" x14ac:dyDescent="0.3">
      <c r="N123" s="170">
        <v>5</v>
      </c>
      <c r="O123" s="199">
        <f t="shared" si="102"/>
        <v>112.20184543019634</v>
      </c>
      <c r="P123" s="189" t="str">
        <f t="shared" si="67"/>
        <v>20.7142857142857</v>
      </c>
      <c r="Q123" s="160" t="str">
        <f t="shared" si="68"/>
        <v>1+0.161139425518959i</v>
      </c>
      <c r="R123" s="160">
        <f t="shared" si="77"/>
        <v>1.0128997553838091</v>
      </c>
      <c r="S123" s="160">
        <f t="shared" si="78"/>
        <v>0.15976604859922511</v>
      </c>
      <c r="T123" s="160" t="str">
        <f t="shared" si="69"/>
        <v>1+0.0000140996997329089i</v>
      </c>
      <c r="U123" s="160">
        <f t="shared" si="79"/>
        <v>1.0000000000994009</v>
      </c>
      <c r="V123" s="160">
        <f t="shared" si="80"/>
        <v>1.4099699731974554E-5</v>
      </c>
      <c r="W123" s="98" t="str">
        <f t="shared" si="70"/>
        <v>1-0.00370117117988858i</v>
      </c>
      <c r="X123" s="160">
        <f t="shared" si="81"/>
        <v>1.0000068493105949</v>
      </c>
      <c r="Y123" s="160">
        <f t="shared" si="82"/>
        <v>-3.7011542796556241E-3</v>
      </c>
      <c r="Z123" s="98" t="str">
        <f t="shared" si="71"/>
        <v>0.9999989500424-0.00027617082671626i</v>
      </c>
      <c r="AA123" s="160">
        <f t="shared" si="83"/>
        <v>0.99999898817760202</v>
      </c>
      <c r="AB123" s="160">
        <f t="shared" si="84"/>
        <v>-2.7617110966298813E-4</v>
      </c>
      <c r="AC123" s="171" t="str">
        <f t="shared" si="85"/>
        <v>20.1789772453824-3.32228323404976i</v>
      </c>
      <c r="AD123" s="190">
        <f t="shared" si="86"/>
        <v>26.21413820099599</v>
      </c>
      <c r="AE123" s="169">
        <f t="shared" si="87"/>
        <v>-9.3493495214744851</v>
      </c>
      <c r="AF123" s="98" t="str">
        <f t="shared" si="72"/>
        <v>-0.0000897803247373448</v>
      </c>
      <c r="AG123" s="98" t="str">
        <f t="shared" si="73"/>
        <v>0.00140996997329089i</v>
      </c>
      <c r="AH123" s="98">
        <f t="shared" si="88"/>
        <v>1.40996997329089E-3</v>
      </c>
      <c r="AI123" s="98">
        <f t="shared" si="89"/>
        <v>1.5707963267948966</v>
      </c>
      <c r="AJ123" s="98" t="str">
        <f t="shared" si="74"/>
        <v>1+0.16567147186168i</v>
      </c>
      <c r="AK123" s="98">
        <f t="shared" si="90"/>
        <v>1.0136306213748751</v>
      </c>
      <c r="AL123" s="98">
        <f t="shared" si="91"/>
        <v>0.16418022377735808</v>
      </c>
      <c r="AM123" s="98" t="str">
        <f t="shared" si="75"/>
        <v>1+0.33134294372336i</v>
      </c>
      <c r="AN123" s="98">
        <f t="shared" si="92"/>
        <v>1.0534648291970936</v>
      </c>
      <c r="AO123" s="98">
        <f t="shared" si="93"/>
        <v>0.31995813538240858</v>
      </c>
      <c r="AP123" s="168" t="str">
        <f t="shared" si="94"/>
        <v>-0.0102673790287643+0.0653763569720358i</v>
      </c>
      <c r="AQ123" s="98">
        <f t="shared" si="95"/>
        <v>-23.585767462696083</v>
      </c>
      <c r="AR123" s="169">
        <f t="shared" si="96"/>
        <v>98.925416876331383</v>
      </c>
      <c r="AS123" s="168" t="str">
        <f t="shared" si="97"/>
        <v>0.0100135668802954+1.35333916092961i</v>
      </c>
      <c r="AT123" s="190">
        <f t="shared" si="98"/>
        <v>2.6283707382999371</v>
      </c>
      <c r="AU123" s="169">
        <f t="shared" si="99"/>
        <v>89.576067354856917</v>
      </c>
      <c r="AV123" s="225"/>
      <c r="AX123">
        <f t="shared" si="100"/>
        <v>0</v>
      </c>
      <c r="AY123">
        <f t="shared" si="101"/>
        <v>0</v>
      </c>
    </row>
    <row r="124" spans="14:51" x14ac:dyDescent="0.3">
      <c r="N124" s="170">
        <v>6</v>
      </c>
      <c r="O124" s="199">
        <f t="shared" si="102"/>
        <v>114.81536214968835</v>
      </c>
      <c r="P124" s="189" t="str">
        <f t="shared" si="67"/>
        <v>20.7142857142857</v>
      </c>
      <c r="Q124" s="160" t="str">
        <f t="shared" si="68"/>
        <v>1+0.164892844913697i</v>
      </c>
      <c r="R124" s="160">
        <f t="shared" si="77"/>
        <v>1.0135036508586106</v>
      </c>
      <c r="S124" s="160">
        <f t="shared" si="78"/>
        <v>0.16342230191836851</v>
      </c>
      <c r="T124" s="160" t="str">
        <f t="shared" si="69"/>
        <v>1+0.0000144281239299485i</v>
      </c>
      <c r="U124" s="160">
        <f t="shared" si="79"/>
        <v>1.0000000001040854</v>
      </c>
      <c r="V124" s="160">
        <f t="shared" si="80"/>
        <v>1.442812392894733E-5</v>
      </c>
      <c r="W124" s="98" t="str">
        <f t="shared" si="70"/>
        <v>1-0.00378738253161147i</v>
      </c>
      <c r="X124" s="160">
        <f t="shared" si="81"/>
        <v>1.0000071721075008</v>
      </c>
      <c r="Y124" s="160">
        <f t="shared" si="82"/>
        <v>-3.7873644226926097E-3</v>
      </c>
      <c r="Z124" s="98" t="str">
        <f t="shared" si="71"/>
        <v>0.999998900559422-0.000282603671651131i</v>
      </c>
      <c r="AA124" s="160">
        <f t="shared" si="83"/>
        <v>0.99999894049188276</v>
      </c>
      <c r="AB124" s="160">
        <f t="shared" si="84"/>
        <v>-2.8260397483402706E-4</v>
      </c>
      <c r="AC124" s="171" t="str">
        <f t="shared" si="85"/>
        <v>20.1544167259251-3.39561930086277i</v>
      </c>
      <c r="AD124" s="190">
        <f t="shared" si="86"/>
        <v>26.208964394921104</v>
      </c>
      <c r="AE124" s="169">
        <f t="shared" si="87"/>
        <v>-9.563389489494508</v>
      </c>
      <c r="AF124" s="98" t="str">
        <f t="shared" si="72"/>
        <v>-0.0000897803247373448</v>
      </c>
      <c r="AG124" s="98" t="str">
        <f t="shared" si="73"/>
        <v>0.00144281239299485i</v>
      </c>
      <c r="AH124" s="98">
        <f t="shared" si="88"/>
        <v>1.4428123929948499E-3</v>
      </c>
      <c r="AI124" s="98">
        <f t="shared" si="89"/>
        <v>1.5707963267948966</v>
      </c>
      <c r="AJ124" s="98" t="str">
        <f t="shared" si="74"/>
        <v>1+0.169530456176895i</v>
      </c>
      <c r="AK124" s="98">
        <f t="shared" si="90"/>
        <v>1.0142684928417851</v>
      </c>
      <c r="AL124" s="98">
        <f t="shared" si="91"/>
        <v>0.16793376661325565</v>
      </c>
      <c r="AM124" s="98" t="str">
        <f t="shared" si="75"/>
        <v>1+0.339060912353791i</v>
      </c>
      <c r="AN124" s="98">
        <f t="shared" si="92"/>
        <v>1.055917753561415</v>
      </c>
      <c r="AO124" s="98">
        <f t="shared" si="93"/>
        <v>0.32689648789178266</v>
      </c>
      <c r="AP124" s="168" t="str">
        <f t="shared" si="94"/>
        <v>-0.0102544688205549+0.0639643621403712i</v>
      </c>
      <c r="AQ124" s="98">
        <f t="shared" si="95"/>
        <v>-23.77103070002434</v>
      </c>
      <c r="AR124" s="169">
        <f t="shared" si="96"/>
        <v>99.107893029174079</v>
      </c>
      <c r="AS124" s="168" t="str">
        <f t="shared" si="97"/>
        <v>0.0105257847387512+1.3239846824322i</v>
      </c>
      <c r="AT124" s="190">
        <f t="shared" si="98"/>
        <v>2.43793369489677</v>
      </c>
      <c r="AU124" s="169">
        <f t="shared" si="99"/>
        <v>89.544503539679567</v>
      </c>
      <c r="AV124" s="225"/>
      <c r="AX124">
        <f t="shared" si="100"/>
        <v>0</v>
      </c>
      <c r="AY124">
        <f t="shared" si="101"/>
        <v>0</v>
      </c>
    </row>
    <row r="125" spans="14:51" x14ac:dyDescent="0.3">
      <c r="N125" s="170">
        <v>7</v>
      </c>
      <c r="O125" s="199">
        <f t="shared" si="102"/>
        <v>117.48975549395293</v>
      </c>
      <c r="P125" s="189" t="str">
        <f t="shared" si="67"/>
        <v>20.7142857142857</v>
      </c>
      <c r="Q125" s="160" t="str">
        <f t="shared" si="68"/>
        <v>1+0.168733692677423i</v>
      </c>
      <c r="R125" s="160">
        <f t="shared" si="77"/>
        <v>1.014135621622946</v>
      </c>
      <c r="S125" s="160">
        <f t="shared" si="78"/>
        <v>0.16715916124686458</v>
      </c>
      <c r="T125" s="160" t="str">
        <f t="shared" si="69"/>
        <v>1+0.0000147641981092745i</v>
      </c>
      <c r="U125" s="160">
        <f t="shared" si="79"/>
        <v>1.0000000001089908</v>
      </c>
      <c r="V125" s="160">
        <f t="shared" si="80"/>
        <v>1.4764198108201726E-5</v>
      </c>
      <c r="W125" s="98" t="str">
        <f t="shared" si="70"/>
        <v>1-0.00387560200368456i</v>
      </c>
      <c r="X125" s="160">
        <f t="shared" si="81"/>
        <v>1.0000075101172445</v>
      </c>
      <c r="Y125" s="160">
        <f t="shared" si="82"/>
        <v>-3.8755825996362749E-3</v>
      </c>
      <c r="Z125" s="98" t="str">
        <f t="shared" si="71"/>
        <v>0.999998848744384-0.000289186356793414i</v>
      </c>
      <c r="AA125" s="160">
        <f t="shared" si="83"/>
        <v>0.99999889055880575</v>
      </c>
      <c r="AB125" s="160">
        <f t="shared" si="84"/>
        <v>-2.8918668165975613E-4</v>
      </c>
      <c r="AC125" s="171" t="str">
        <f t="shared" si="85"/>
        <v>20.1287613486253-3.4703845117065i</v>
      </c>
      <c r="AD125" s="190">
        <f t="shared" si="86"/>
        <v>26.203553361165429</v>
      </c>
      <c r="AE125" s="169">
        <f t="shared" si="87"/>
        <v>-9.7821538699155983</v>
      </c>
      <c r="AF125" s="98" t="str">
        <f t="shared" si="72"/>
        <v>-0.0000897803247373448</v>
      </c>
      <c r="AG125" s="98" t="str">
        <f t="shared" si="73"/>
        <v>0.00147641981092745i</v>
      </c>
      <c r="AH125" s="98">
        <f t="shared" si="88"/>
        <v>1.4764198109274501E-3</v>
      </c>
      <c r="AI125" s="98">
        <f t="shared" si="89"/>
        <v>1.5707963267948966</v>
      </c>
      <c r="AJ125" s="98" t="str">
        <f t="shared" si="74"/>
        <v>1+0.173479327783976i</v>
      </c>
      <c r="AK125" s="98">
        <f t="shared" si="90"/>
        <v>1.0149359965871643</v>
      </c>
      <c r="AL125" s="98">
        <f t="shared" si="91"/>
        <v>0.17176980096708974</v>
      </c>
      <c r="AM125" s="98" t="str">
        <f t="shared" si="75"/>
        <v>1+0.346958655567953i</v>
      </c>
      <c r="AN125" s="98">
        <f t="shared" si="92"/>
        <v>1.0584801881346297</v>
      </c>
      <c r="AO125" s="98">
        <f t="shared" si="93"/>
        <v>0.33396281598050953</v>
      </c>
      <c r="AP125" s="168" t="str">
        <f t="shared" si="94"/>
        <v>-0.0102409849250389+0.0625860817362482i</v>
      </c>
      <c r="AQ125" s="98">
        <f t="shared" si="95"/>
        <v>-23.95569228638329</v>
      </c>
      <c r="AR125" s="169">
        <f t="shared" si="96"/>
        <v>99.292975226770992</v>
      </c>
      <c r="AS125" s="168" t="str">
        <f t="shared" si="97"/>
        <v>0.0110594271748954+1.29532045848297i</v>
      </c>
      <c r="AT125" s="190">
        <f t="shared" si="98"/>
        <v>2.2478610747821341</v>
      </c>
      <c r="AU125" s="169">
        <f t="shared" si="99"/>
        <v>89.510821356855402</v>
      </c>
      <c r="AV125" s="225"/>
      <c r="AX125">
        <f t="shared" si="100"/>
        <v>0</v>
      </c>
      <c r="AY125">
        <f t="shared" si="101"/>
        <v>0</v>
      </c>
    </row>
    <row r="126" spans="14:51" x14ac:dyDescent="0.3">
      <c r="N126" s="170">
        <v>8</v>
      </c>
      <c r="O126" s="199">
        <f t="shared" si="102"/>
        <v>120.22644346174135</v>
      </c>
      <c r="P126" s="189" t="str">
        <f t="shared" si="67"/>
        <v>20.7142857142857</v>
      </c>
      <c r="Q126" s="160" t="str">
        <f t="shared" si="68"/>
        <v>1+0.172664005278462i</v>
      </c>
      <c r="R126" s="160">
        <f t="shared" si="77"/>
        <v>1.0147969544292104</v>
      </c>
      <c r="S126" s="160">
        <f t="shared" si="78"/>
        <v>0.17097819025079028</v>
      </c>
      <c r="T126" s="160" t="str">
        <f t="shared" si="69"/>
        <v>1+0.0000151081004618654i</v>
      </c>
      <c r="U126" s="160">
        <f t="shared" si="79"/>
        <v>1.0000000001141274</v>
      </c>
      <c r="V126" s="160">
        <f t="shared" si="80"/>
        <v>1.5108100460715901E-5</v>
      </c>
      <c r="W126" s="98" t="str">
        <f t="shared" si="70"/>
        <v>1-0.00396587637123966i</v>
      </c>
      <c r="X126" s="160">
        <f t="shared" si="81"/>
        <v>1.0000078640567742</v>
      </c>
      <c r="Y126" s="160">
        <f t="shared" si="82"/>
        <v>-3.9658555794361535E-3</v>
      </c>
      <c r="Z126" s="98" t="str">
        <f t="shared" si="71"/>
        <v>0.999998794487379-0.000295922372369903i</v>
      </c>
      <c r="AA126" s="160">
        <f t="shared" si="83"/>
        <v>0.99999883827245628</v>
      </c>
      <c r="AB126" s="160">
        <f t="shared" si="84"/>
        <v>-2.9592272047047793E-4</v>
      </c>
      <c r="AC126" s="171" t="str">
        <f t="shared" si="85"/>
        <v>20.1019653015939-3.54659344200307i</v>
      </c>
      <c r="AD126" s="190">
        <f t="shared" si="86"/>
        <v>26.19789453884465</v>
      </c>
      <c r="AE126" s="169">
        <f t="shared" si="87"/>
        <v>-10.005734723677428</v>
      </c>
      <c r="AF126" s="98" t="str">
        <f t="shared" si="72"/>
        <v>-0.0000897803247373448</v>
      </c>
      <c r="AG126" s="98" t="str">
        <f t="shared" si="73"/>
        <v>0.00151081004618654i</v>
      </c>
      <c r="AH126" s="98">
        <f t="shared" si="88"/>
        <v>1.5108100461865401E-3</v>
      </c>
      <c r="AI126" s="98">
        <f t="shared" si="89"/>
        <v>1.5707963267948966</v>
      </c>
      <c r="AJ126" s="98" t="str">
        <f t="shared" si="74"/>
        <v>1+0.177520180426919i</v>
      </c>
      <c r="AK126" s="98">
        <f t="shared" si="90"/>
        <v>1.0156344886123185</v>
      </c>
      <c r="AL126" s="98">
        <f t="shared" si="91"/>
        <v>0.17568990894600889</v>
      </c>
      <c r="AM126" s="98" t="str">
        <f t="shared" si="75"/>
        <v>1+0.355040360853838i</v>
      </c>
      <c r="AN126" s="98">
        <f t="shared" si="92"/>
        <v>1.0611567546009513</v>
      </c>
      <c r="AO126" s="98">
        <f t="shared" si="93"/>
        <v>0.34115804264953786</v>
      </c>
      <c r="AP126" s="168" t="str">
        <f t="shared" si="94"/>
        <v>-0.0102269035077675+0.0612407714963093i</v>
      </c>
      <c r="AQ126" s="98">
        <f t="shared" si="95"/>
        <v>-24.139731787189071</v>
      </c>
      <c r="AR126" s="169">
        <f t="shared" si="96"/>
        <v>99.48062570511857</v>
      </c>
      <c r="AS126" s="168" t="str">
        <f t="shared" si="97"/>
        <v>0.0116152591161278+1.2673305325743i</v>
      </c>
      <c r="AT126" s="190">
        <f t="shared" si="98"/>
        <v>2.0581627516556003</v>
      </c>
      <c r="AU126" s="169">
        <f t="shared" si="99"/>
        <v>89.474890981441149</v>
      </c>
      <c r="AV126" s="225"/>
      <c r="AX126">
        <f t="shared" si="100"/>
        <v>0</v>
      </c>
      <c r="AY126">
        <f t="shared" si="101"/>
        <v>0</v>
      </c>
    </row>
    <row r="127" spans="14:51" x14ac:dyDescent="0.3">
      <c r="N127" s="170">
        <v>9</v>
      </c>
      <c r="O127" s="199">
        <f t="shared" si="102"/>
        <v>123.02687708123821</v>
      </c>
      <c r="P127" s="189" t="str">
        <f t="shared" si="67"/>
        <v>20.7142857142857</v>
      </c>
      <c r="Q127" s="160" t="str">
        <f t="shared" si="68"/>
        <v>1+0.176685866620577i</v>
      </c>
      <c r="R127" s="160">
        <f t="shared" si="77"/>
        <v>1.0154889932753897</v>
      </c>
      <c r="S127" s="160">
        <f t="shared" si="78"/>
        <v>0.17488096800262501</v>
      </c>
      <c r="T127" s="160" t="str">
        <f t="shared" si="69"/>
        <v>1+0.0000154600133293005i</v>
      </c>
      <c r="U127" s="160">
        <f t="shared" si="79"/>
        <v>1.000000000119506</v>
      </c>
      <c r="V127" s="160">
        <f t="shared" si="80"/>
        <v>1.546001332806879E-5</v>
      </c>
      <c r="W127" s="98" t="str">
        <f t="shared" si="70"/>
        <v>1-0.00405825349894137i</v>
      </c>
      <c r="X127" s="160">
        <f t="shared" si="81"/>
        <v>1.000008234676826</v>
      </c>
      <c r="Y127" s="160">
        <f t="shared" si="82"/>
        <v>-4.0582312201324303E-3</v>
      </c>
      <c r="Z127" s="98" t="str">
        <f t="shared" si="71"/>
        <v>0.999998737673319-0.000302815289905217i</v>
      </c>
      <c r="AA127" s="160">
        <f t="shared" si="83"/>
        <v>0.99999878352192584</v>
      </c>
      <c r="AB127" s="160">
        <f t="shared" si="84"/>
        <v>-3.0281566290172359E-4</v>
      </c>
      <c r="AC127" s="171" t="str">
        <f t="shared" si="85"/>
        <v>20.0739811357157-3.6242598127784i</v>
      </c>
      <c r="AD127" s="190">
        <f t="shared" si="86"/>
        <v>26.191976926510211</v>
      </c>
      <c r="AE127" s="169">
        <f t="shared" si="87"/>
        <v>-10.234225051945018</v>
      </c>
      <c r="AF127" s="98" t="str">
        <f t="shared" si="72"/>
        <v>-0.0000897803247373448</v>
      </c>
      <c r="AG127" s="98" t="str">
        <f t="shared" si="73"/>
        <v>0.00154600133293005i</v>
      </c>
      <c r="AH127" s="98">
        <f t="shared" si="88"/>
        <v>1.54600133293005E-3</v>
      </c>
      <c r="AI127" s="98">
        <f t="shared" si="89"/>
        <v>1.5707963267948966</v>
      </c>
      <c r="AJ127" s="98" t="str">
        <f t="shared" si="74"/>
        <v>1+0.181655156619281i</v>
      </c>
      <c r="AK127" s="98">
        <f t="shared" si="90"/>
        <v>1.016365385049282</v>
      </c>
      <c r="AL127" s="98">
        <f t="shared" si="91"/>
        <v>0.17969568687321541</v>
      </c>
      <c r="AM127" s="98" t="str">
        <f t="shared" si="75"/>
        <v>1+0.363310313238563i</v>
      </c>
      <c r="AN127" s="98">
        <f t="shared" si="92"/>
        <v>1.0639522469103124</v>
      </c>
      <c r="AO127" s="98">
        <f t="shared" si="93"/>
        <v>0.34848300191399684</v>
      </c>
      <c r="AP127" s="168" t="str">
        <f t="shared" si="94"/>
        <v>-0.0102121998986627+0.059927703772423i</v>
      </c>
      <c r="AQ127" s="98">
        <f t="shared" si="95"/>
        <v>-24.323128432780031</v>
      </c>
      <c r="AR127" s="169">
        <f t="shared" si="96"/>
        <v>99.670800787181733</v>
      </c>
      <c r="AS127" s="168" t="str">
        <f t="shared" si="97"/>
        <v>0.0121940603345684+1.23999926072716i</v>
      </c>
      <c r="AT127" s="190">
        <f t="shared" si="98"/>
        <v>1.8688484937301779</v>
      </c>
      <c r="AU127" s="169">
        <f t="shared" si="99"/>
        <v>89.436575735236715</v>
      </c>
      <c r="AV127" s="225"/>
      <c r="AX127">
        <f t="shared" si="100"/>
        <v>0</v>
      </c>
      <c r="AY127">
        <f t="shared" si="101"/>
        <v>0</v>
      </c>
    </row>
    <row r="128" spans="14:51" x14ac:dyDescent="0.3">
      <c r="N128" s="170">
        <v>10</v>
      </c>
      <c r="O128" s="199">
        <f t="shared" si="102"/>
        <v>125.89254117941677</v>
      </c>
      <c r="P128" s="189" t="str">
        <f t="shared" si="67"/>
        <v>20.7142857142857</v>
      </c>
      <c r="Q128" s="160" t="str">
        <f t="shared" si="68"/>
        <v>1+0.180801409147888i</v>
      </c>
      <c r="R128" s="160">
        <f t="shared" si="77"/>
        <v>1.0162131417915545</v>
      </c>
      <c r="S128" s="160">
        <f t="shared" si="78"/>
        <v>0.17886908800311527</v>
      </c>
      <c r="T128" s="160" t="str">
        <f t="shared" si="69"/>
        <v>1+0.0000158201233004402i</v>
      </c>
      <c r="U128" s="160">
        <f t="shared" si="79"/>
        <v>1.0000000001251381</v>
      </c>
      <c r="V128" s="160">
        <f t="shared" si="80"/>
        <v>1.5820123299120399E-5</v>
      </c>
      <c r="W128" s="98" t="str">
        <f t="shared" si="70"/>
        <v>1-0.00415278236636555i</v>
      </c>
      <c r="X128" s="160">
        <f t="shared" si="81"/>
        <v>1.0000086227635152</v>
      </c>
      <c r="Y128" s="160">
        <f t="shared" si="82"/>
        <v>-4.1527584942027901E-3</v>
      </c>
      <c r="Z128" s="98" t="str">
        <f t="shared" si="71"/>
        <v>0.999998678181696-0.000309868764115473i</v>
      </c>
      <c r="AA128" s="160">
        <f t="shared" si="83"/>
        <v>0.99999872619108376</v>
      </c>
      <c r="AB128" s="160">
        <f t="shared" si="84"/>
        <v>-3.0986916378845301E-4</v>
      </c>
      <c r="AC128" s="171" t="str">
        <f t="shared" si="85"/>
        <v>20.0447597327162-3.70339640175409i</v>
      </c>
      <c r="AD128" s="190">
        <f t="shared" si="86"/>
        <v>26.185789066531655</v>
      </c>
      <c r="AE128" s="169">
        <f t="shared" si="87"/>
        <v>-10.467718741404793</v>
      </c>
      <c r="AF128" s="98" t="str">
        <f t="shared" si="72"/>
        <v>-0.0000897803247373448</v>
      </c>
      <c r="AG128" s="98" t="str">
        <f t="shared" si="73"/>
        <v>0.00158201233004403i</v>
      </c>
      <c r="AH128" s="98">
        <f t="shared" si="88"/>
        <v>1.5820123300440299E-3</v>
      </c>
      <c r="AI128" s="98">
        <f t="shared" si="89"/>
        <v>1.5707963267948966</v>
      </c>
      <c r="AJ128" s="98" t="str">
        <f t="shared" si="74"/>
        <v>1+0.185886448780173i</v>
      </c>
      <c r="AK128" s="98">
        <f t="shared" si="90"/>
        <v>1.0171301646495909</v>
      </c>
      <c r="AL128" s="98">
        <f t="shared" si="91"/>
        <v>0.18378874418912955</v>
      </c>
      <c r="AM128" s="98" t="str">
        <f t="shared" si="75"/>
        <v>1+0.371772897560347i</v>
      </c>
      <c r="AN128" s="98">
        <f t="shared" si="92"/>
        <v>1.0668716358402337</v>
      </c>
      <c r="AO128" s="98">
        <f t="shared" si="93"/>
        <v>0.3559384324347814</v>
      </c>
      <c r="AP128" s="168" t="str">
        <f t="shared" si="94"/>
        <v>-0.0101968485774062+0.0586461670950623i</v>
      </c>
      <c r="AQ128" s="98">
        <f t="shared" si="95"/>
        <v>-24.505861146219658</v>
      </c>
      <c r="AR128" s="169">
        <f t="shared" si="96"/>
        <v>99.863450580968674</v>
      </c>
      <c r="AS128" s="168" t="str">
        <f t="shared" si="97"/>
        <v>0.0127966244315265+1.21331130099605i</v>
      </c>
      <c r="AT128" s="190">
        <f t="shared" si="98"/>
        <v>1.6799279203120108</v>
      </c>
      <c r="AU128" s="169">
        <f t="shared" si="99"/>
        <v>89.395731839563894</v>
      </c>
      <c r="AV128" s="225"/>
      <c r="AX128">
        <f t="shared" si="100"/>
        <v>0</v>
      </c>
      <c r="AY128">
        <f t="shared" si="101"/>
        <v>0</v>
      </c>
    </row>
    <row r="129" spans="14:51" x14ac:dyDescent="0.3">
      <c r="N129" s="170">
        <v>11</v>
      </c>
      <c r="O129" s="199">
        <f t="shared" si="102"/>
        <v>128.82495516931343</v>
      </c>
      <c r="P129" s="189" t="str">
        <f t="shared" si="67"/>
        <v>20.7142857142857</v>
      </c>
      <c r="Q129" s="160" t="str">
        <f t="shared" si="68"/>
        <v>1+0.18501281497552i</v>
      </c>
      <c r="R129" s="160">
        <f t="shared" si="77"/>
        <v>1.016970865711091</v>
      </c>
      <c r="S129" s="160">
        <f t="shared" si="78"/>
        <v>0.18294415710351755</v>
      </c>
      <c r="T129" s="160" t="str">
        <f t="shared" si="69"/>
        <v>1+0.000016188621310358i</v>
      </c>
      <c r="U129" s="160">
        <f t="shared" si="79"/>
        <v>1.0000000001310356</v>
      </c>
      <c r="V129" s="160">
        <f t="shared" si="80"/>
        <v>1.6188621308943806E-5</v>
      </c>
      <c r="W129" s="98" t="str">
        <f t="shared" si="70"/>
        <v>1-0.00424951309396896i</v>
      </c>
      <c r="X129" s="160">
        <f t="shared" si="81"/>
        <v>1.0000090291400052</v>
      </c>
      <c r="Y129" s="160">
        <f t="shared" si="82"/>
        <v>-4.2494875144981799E-3</v>
      </c>
      <c r="Z129" s="98" t="str">
        <f t="shared" si="71"/>
        <v>0.999998615886318-0.000317086534846062i</v>
      </c>
      <c r="AA129" s="160">
        <f t="shared" si="83"/>
        <v>0.99999866615832156</v>
      </c>
      <c r="AB129" s="160">
        <f t="shared" si="84"/>
        <v>-3.1708696310340134E-4</v>
      </c>
      <c r="AC129" s="171" t="str">
        <f t="shared" si="85"/>
        <v>20.0142502753838-3.78401494922522i</v>
      </c>
      <c r="AD129" s="190">
        <f t="shared" si="86"/>
        <v>26.179319029187205</v>
      </c>
      <c r="AE129" s="169">
        <f t="shared" si="87"/>
        <v>-10.706310503882511</v>
      </c>
      <c r="AF129" s="98" t="str">
        <f t="shared" si="72"/>
        <v>-0.0000897803247373448</v>
      </c>
      <c r="AG129" s="98" t="str">
        <f t="shared" si="73"/>
        <v>0.0016188621310358i</v>
      </c>
      <c r="AH129" s="98">
        <f t="shared" si="88"/>
        <v>1.6188621310358E-3</v>
      </c>
      <c r="AI129" s="98">
        <f t="shared" si="89"/>
        <v>1.5707963267948966</v>
      </c>
      <c r="AJ129" s="98" t="str">
        <f t="shared" si="74"/>
        <v>1+0.190216300396706i</v>
      </c>
      <c r="AK129" s="98">
        <f t="shared" si="90"/>
        <v>1.0179303713597556</v>
      </c>
      <c r="AL129" s="98">
        <f t="shared" si="91"/>
        <v>0.18797070224596857</v>
      </c>
      <c r="AM129" s="98" t="str">
        <f t="shared" si="75"/>
        <v>1+0.380432600793413i</v>
      </c>
      <c r="AN129" s="98">
        <f t="shared" si="92"/>
        <v>1.0699200735318692</v>
      </c>
      <c r="AO129" s="98">
        <f t="shared" si="93"/>
        <v>0.36352497100912295</v>
      </c>
      <c r="AP129" s="168" t="str">
        <f t="shared" si="94"/>
        <v>-0.0101808231601254+0.0573954657428492i</v>
      </c>
      <c r="AQ129" s="98">
        <f t="shared" si="95"/>
        <v>-24.687908574643458</v>
      </c>
      <c r="AR129" s="169">
        <f t="shared" si="96"/>
        <v>100.05851867563413</v>
      </c>
      <c r="AS129" s="168" t="str">
        <f t="shared" si="97"/>
        <v>0.0134237576525118+1.18725160308293i</v>
      </c>
      <c r="AT129" s="190">
        <f t="shared" si="98"/>
        <v>1.4914104545437152</v>
      </c>
      <c r="AU129" s="169">
        <f t="shared" si="99"/>
        <v>89.352208171751627</v>
      </c>
      <c r="AV129" s="225"/>
      <c r="AX129">
        <f t="shared" si="100"/>
        <v>0</v>
      </c>
      <c r="AY129">
        <f t="shared" si="101"/>
        <v>0</v>
      </c>
    </row>
    <row r="130" spans="14:51" x14ac:dyDescent="0.3">
      <c r="N130" s="170">
        <v>12</v>
      </c>
      <c r="O130" s="199">
        <f t="shared" si="102"/>
        <v>131.82567385564084</v>
      </c>
      <c r="P130" s="189" t="str">
        <f t="shared" si="67"/>
        <v>20.7142857142857</v>
      </c>
      <c r="Q130" s="160" t="str">
        <f t="shared" si="68"/>
        <v>1+0.189322317046585i</v>
      </c>
      <c r="R130" s="160">
        <f t="shared" si="77"/>
        <v>1.0177636954283089</v>
      </c>
      <c r="S130" s="160">
        <f t="shared" si="78"/>
        <v>0.18710779432246197</v>
      </c>
      <c r="T130" s="160" t="str">
        <f t="shared" si="69"/>
        <v>1+0.0000165657027415762i</v>
      </c>
      <c r="U130" s="160">
        <f t="shared" si="79"/>
        <v>1.0000000001372111</v>
      </c>
      <c r="V130" s="160">
        <f t="shared" si="80"/>
        <v>1.6565702740060863E-5</v>
      </c>
      <c r="W130" s="98" t="str">
        <f t="shared" si="70"/>
        <v>1-0.00434849696966375i</v>
      </c>
      <c r="X130" s="160">
        <f t="shared" si="81"/>
        <v>1.0000094546682521</v>
      </c>
      <c r="Y130" s="160">
        <f t="shared" si="82"/>
        <v>-4.3484695607809865E-3</v>
      </c>
      <c r="Z130" s="98" t="str">
        <f t="shared" si="71"/>
        <v>0.99999855065505-0.000324472429054563i</v>
      </c>
      <c r="AA130" s="160">
        <f t="shared" si="83"/>
        <v>0.99999860329630341</v>
      </c>
      <c r="AB130" s="160">
        <f t="shared" si="84"/>
        <v>-3.2447288794059824E-4</v>
      </c>
      <c r="AC130" s="171" t="str">
        <f t="shared" si="85"/>
        <v>19.9824002203103-3.86612605856457i</v>
      </c>
      <c r="AD130" s="190">
        <f t="shared" si="86"/>
        <v>26.172554396485552</v>
      </c>
      <c r="AE130" s="169">
        <f t="shared" si="87"/>
        <v>-10.950095809955627</v>
      </c>
      <c r="AF130" s="98" t="str">
        <f t="shared" si="72"/>
        <v>-0.0000897803247373448</v>
      </c>
      <c r="AG130" s="98" t="str">
        <f t="shared" si="73"/>
        <v>0.00165657027415762i</v>
      </c>
      <c r="AH130" s="98">
        <f t="shared" si="88"/>
        <v>1.65657027415762E-3</v>
      </c>
      <c r="AI130" s="98">
        <f t="shared" si="89"/>
        <v>1.5707963267948966</v>
      </c>
      <c r="AJ130" s="98" t="str">
        <f t="shared" si="74"/>
        <v>1+0.194647007213521i</v>
      </c>
      <c r="AK130" s="98">
        <f t="shared" si="90"/>
        <v>1.0187676169849436</v>
      </c>
      <c r="AL130" s="98">
        <f t="shared" si="91"/>
        <v>0.19224319298978884</v>
      </c>
      <c r="AM130" s="98" t="str">
        <f t="shared" si="75"/>
        <v>1+0.389294014427042i</v>
      </c>
      <c r="AN130" s="98">
        <f t="shared" si="92"/>
        <v>1.0731028979872907</v>
      </c>
      <c r="AO130" s="98">
        <f t="shared" si="93"/>
        <v>0.37124314593896263</v>
      </c>
      <c r="AP130" s="168" t="str">
        <f t="shared" si="94"/>
        <v>-0.0101640963875698+0.0561749193179821i</v>
      </c>
      <c r="AQ130" s="98">
        <f t="shared" si="95"/>
        <v>-24.869249124330217</v>
      </c>
      <c r="AR130" s="169">
        <f t="shared" si="96"/>
        <v>100.25594183702789</v>
      </c>
      <c r="AS130" s="168" t="str">
        <f t="shared" si="97"/>
        <v>0.014076277518783+1.1618053980613i</v>
      </c>
      <c r="AT130" s="190">
        <f t="shared" si="98"/>
        <v>1.3033052721552965</v>
      </c>
      <c r="AU130" s="169">
        <f t="shared" si="99"/>
        <v>89.305846027072263</v>
      </c>
      <c r="AV130" s="225"/>
      <c r="AX130">
        <f t="shared" si="100"/>
        <v>0</v>
      </c>
      <c r="AY130">
        <f t="shared" si="101"/>
        <v>0</v>
      </c>
    </row>
    <row r="131" spans="14:51" x14ac:dyDescent="0.3">
      <c r="N131" s="170">
        <v>13</v>
      </c>
      <c r="O131" s="199">
        <f t="shared" si="102"/>
        <v>134.89628825916537</v>
      </c>
      <c r="P131" s="189" t="str">
        <f t="shared" si="67"/>
        <v>20.7142857142857</v>
      </c>
      <c r="Q131" s="160" t="str">
        <f t="shared" si="68"/>
        <v>1+0.193732200316126i</v>
      </c>
      <c r="R131" s="160">
        <f t="shared" si="77"/>
        <v>1.0185932286439605</v>
      </c>
      <c r="S131" s="160">
        <f t="shared" si="78"/>
        <v>0.19136162955151736</v>
      </c>
      <c r="T131" s="160" t="str">
        <f t="shared" si="69"/>
        <v>1+0.000016951567527661i</v>
      </c>
      <c r="U131" s="160">
        <f t="shared" si="79"/>
        <v>1.000000000143678</v>
      </c>
      <c r="V131" s="160">
        <f t="shared" si="80"/>
        <v>1.6951567526037291E-5</v>
      </c>
      <c r="W131" s="98" t="str">
        <f t="shared" si="70"/>
        <v>1-0.004449786476011i</v>
      </c>
      <c r="X131" s="160">
        <f t="shared" si="81"/>
        <v>1.0000099002508336</v>
      </c>
      <c r="Y131" s="160">
        <f t="shared" si="82"/>
        <v>-4.4497571068796878E-3</v>
      </c>
      <c r="Z131" s="98" t="str">
        <f t="shared" si="71"/>
        <v>0.999998482349527-0.000332030362839848i</v>
      </c>
      <c r="AA131" s="160">
        <f t="shared" si="83"/>
        <v>0.9999985374716901</v>
      </c>
      <c r="AB131" s="160">
        <f t="shared" si="84"/>
        <v>-3.320308545451255E-4</v>
      </c>
      <c r="AC131" s="171" t="str">
        <f t="shared" si="85"/>
        <v>19.9491552735408-3.94973909120376i</v>
      </c>
      <c r="AD131" s="190">
        <f t="shared" si="86"/>
        <v>26.165482245744055</v>
      </c>
      <c r="AE131" s="169">
        <f t="shared" si="87"/>
        <v>-11.199170816221544</v>
      </c>
      <c r="AF131" s="98" t="str">
        <f t="shared" si="72"/>
        <v>-0.0000897803247373448</v>
      </c>
      <c r="AG131" s="98" t="str">
        <f t="shared" si="73"/>
        <v>0.0016951567527661i</v>
      </c>
      <c r="AH131" s="98">
        <f t="shared" si="88"/>
        <v>1.6951567527661001E-3</v>
      </c>
      <c r="AI131" s="98">
        <f t="shared" si="89"/>
        <v>1.5707963267948966</v>
      </c>
      <c r="AJ131" s="98" t="str">
        <f t="shared" si="74"/>
        <v>1+0.199180918450017i</v>
      </c>
      <c r="AK131" s="98">
        <f t="shared" si="90"/>
        <v>1.019643583942248</v>
      </c>
      <c r="AL131" s="98">
        <f t="shared" si="91"/>
        <v>0.19660785752385684</v>
      </c>
      <c r="AM131" s="98" t="str">
        <f t="shared" si="75"/>
        <v>1+0.398361836900034i</v>
      </c>
      <c r="AN131" s="98">
        <f t="shared" si="92"/>
        <v>1.0764256375144403</v>
      </c>
      <c r="AO131" s="98">
        <f t="shared" si="93"/>
        <v>0.37909337029859846</v>
      </c>
      <c r="AP131" s="168" t="str">
        <f t="shared" si="94"/>
        <v>-0.0101466401149973+0.0549838623272896i</v>
      </c>
      <c r="AQ131" s="98">
        <f t="shared" si="95"/>
        <v>-25.049860999668866</v>
      </c>
      <c r="AR131" s="169">
        <f t="shared" si="96"/>
        <v>100.45564970427343</v>
      </c>
      <c r="AS131" s="168" t="str">
        <f t="shared" si="97"/>
        <v>0.0147550112606425+1.13695818821267i</v>
      </c>
      <c r="AT131" s="190">
        <f t="shared" si="98"/>
        <v>1.1156212460751778</v>
      </c>
      <c r="AU131" s="169">
        <f t="shared" si="99"/>
        <v>89.256478888051888</v>
      </c>
      <c r="AV131" s="225"/>
      <c r="AX131">
        <f t="shared" si="100"/>
        <v>0</v>
      </c>
      <c r="AY131">
        <f t="shared" si="101"/>
        <v>0</v>
      </c>
    </row>
    <row r="132" spans="14:51" x14ac:dyDescent="0.3">
      <c r="N132" s="170">
        <v>14</v>
      </c>
      <c r="O132" s="199">
        <f t="shared" si="102"/>
        <v>138.0384264602886</v>
      </c>
      <c r="P132" s="189" t="str">
        <f t="shared" si="67"/>
        <v>20.7142857142857</v>
      </c>
      <c r="Q132" s="160" t="str">
        <f t="shared" si="68"/>
        <v>1+0.198244802962623i</v>
      </c>
      <c r="R132" s="160">
        <f t="shared" si="77"/>
        <v>1.0194611331000751</v>
      </c>
      <c r="S132" s="160">
        <f t="shared" si="78"/>
        <v>0.19570730214334306</v>
      </c>
      <c r="T132" s="160" t="str">
        <f t="shared" si="69"/>
        <v>1+0.0000173464202592295i</v>
      </c>
      <c r="U132" s="160">
        <f t="shared" si="79"/>
        <v>1.000000000150449</v>
      </c>
      <c r="V132" s="160">
        <f t="shared" si="80"/>
        <v>1.7346420257489663E-5</v>
      </c>
      <c r="W132" s="98" t="str">
        <f t="shared" si="70"/>
        <v>1-0.00455343531804773i</v>
      </c>
      <c r="X132" s="160">
        <f t="shared" si="81"/>
        <v>1.0000103668328622</v>
      </c>
      <c r="Y132" s="160">
        <f t="shared" si="82"/>
        <v>-4.5534038484741704E-3</v>
      </c>
      <c r="Z132" s="98" t="str">
        <f t="shared" si="71"/>
        <v>0.999998410824864-0.000339764343518453i</v>
      </c>
      <c r="AA132" s="160">
        <f t="shared" si="83"/>
        <v>0.99999846854485852</v>
      </c>
      <c r="AB132" s="160">
        <f t="shared" si="84"/>
        <v>-3.3976487039018614E-4</v>
      </c>
      <c r="AC132" s="171" t="str">
        <f t="shared" si="85"/>
        <v>19.9144593695556-4.03486205595416i</v>
      </c>
      <c r="AD132" s="190">
        <f t="shared" si="86"/>
        <v>26.158089132952789</v>
      </c>
      <c r="AE132" s="169">
        <f t="shared" si="87"/>
        <v>-11.453632285870764</v>
      </c>
      <c r="AF132" s="98" t="str">
        <f t="shared" si="72"/>
        <v>-0.0000897803247373448</v>
      </c>
      <c r="AG132" s="98" t="str">
        <f t="shared" si="73"/>
        <v>0.00173464202592295i</v>
      </c>
      <c r="AH132" s="98">
        <f t="shared" si="88"/>
        <v>1.73464202592295E-3</v>
      </c>
      <c r="AI132" s="98">
        <f t="shared" si="89"/>
        <v>1.5707963267948966</v>
      </c>
      <c r="AJ132" s="98" t="str">
        <f t="shared" si="74"/>
        <v>1+0.203820438045947i</v>
      </c>
      <c r="AK132" s="98">
        <f t="shared" si="90"/>
        <v>1.020560028104786</v>
      </c>
      <c r="AL132" s="98">
        <f t="shared" si="91"/>
        <v>0.20106634454711805</v>
      </c>
      <c r="AM132" s="98" t="str">
        <f t="shared" si="75"/>
        <v>1+0.407640876091894i</v>
      </c>
      <c r="AN132" s="98">
        <f t="shared" si="92"/>
        <v>1.0798940151056338</v>
      </c>
      <c r="AO132" s="98">
        <f t="shared" si="93"/>
        <v>0.38707593512585442</v>
      </c>
      <c r="AP132" s="168" t="str">
        <f t="shared" si="94"/>
        <v>-0.0101284253039956+0.0538216437686565i</v>
      </c>
      <c r="AQ132" s="98">
        <f t="shared" si="95"/>
        <v>-25.229722246184451</v>
      </c>
      <c r="AR132" s="169">
        <f t="shared" si="96"/>
        <v>100.657564489118</v>
      </c>
      <c r="AS132" s="168" t="str">
        <f t="shared" si="97"/>
        <v>0.0154607940372346+1.11269573697926i</v>
      </c>
      <c r="AT132" s="190">
        <f t="shared" si="98"/>
        <v>0.9283668867683138</v>
      </c>
      <c r="AU132" s="169">
        <f t="shared" si="99"/>
        <v>89.203932203247234</v>
      </c>
      <c r="AV132" s="225"/>
      <c r="AX132">
        <f t="shared" si="100"/>
        <v>0</v>
      </c>
      <c r="AY132">
        <f t="shared" si="101"/>
        <v>0</v>
      </c>
    </row>
    <row r="133" spans="14:51" x14ac:dyDescent="0.3">
      <c r="N133" s="170">
        <v>15</v>
      </c>
      <c r="O133" s="199">
        <f t="shared" si="102"/>
        <v>141.25375446227542</v>
      </c>
      <c r="P133" s="189" t="str">
        <f t="shared" si="67"/>
        <v>20.7142857142857</v>
      </c>
      <c r="Q133" s="160" t="str">
        <f t="shared" si="68"/>
        <v>1+0.202862517627731i</v>
      </c>
      <c r="R133" s="160">
        <f t="shared" si="77"/>
        <v>1.0203691494053813</v>
      </c>
      <c r="S133" s="160">
        <f t="shared" si="78"/>
        <v>0.20014645937622577</v>
      </c>
      <c r="T133" s="160" t="str">
        <f t="shared" si="69"/>
        <v>1+0.0000177504702924264i</v>
      </c>
      <c r="U133" s="160">
        <f t="shared" si="79"/>
        <v>1.0000000001575398</v>
      </c>
      <c r="V133" s="160">
        <f t="shared" si="80"/>
        <v>1.775047029056213E-5</v>
      </c>
      <c r="W133" s="98" t="str">
        <f t="shared" si="70"/>
        <v>1-0.00465949845176193i</v>
      </c>
      <c r="X133" s="160">
        <f t="shared" si="81"/>
        <v>1.000010855403991</v>
      </c>
      <c r="Y133" s="160">
        <f t="shared" si="82"/>
        <v>-4.6594647315261022E-3</v>
      </c>
      <c r="Z133" s="98" t="str">
        <f t="shared" si="71"/>
        <v>0.999998335929347-0.000347678471749303i</v>
      </c>
      <c r="AA133" s="160">
        <f t="shared" si="83"/>
        <v>0.99999839636960552</v>
      </c>
      <c r="AB133" s="160">
        <f t="shared" si="84"/>
        <v>-3.4767903630257682E-4</v>
      </c>
      <c r="AC133" s="171" t="str">
        <f t="shared" si="85"/>
        <v>19.878254654041-4.12150149254987i</v>
      </c>
      <c r="AD133" s="190">
        <f t="shared" si="86"/>
        <v>26.150361075958436</v>
      </c>
      <c r="AE133" s="169">
        <f t="shared" si="87"/>
        <v>-11.713577502213498</v>
      </c>
      <c r="AF133" s="98" t="str">
        <f t="shared" si="72"/>
        <v>-0.0000897803247373448</v>
      </c>
      <c r="AG133" s="98" t="str">
        <f t="shared" si="73"/>
        <v>0.00177504702924264i</v>
      </c>
      <c r="AH133" s="98">
        <f t="shared" si="88"/>
        <v>1.7750470292426401E-3</v>
      </c>
      <c r="AI133" s="98">
        <f t="shared" si="89"/>
        <v>1.5707963267948966</v>
      </c>
      <c r="AJ133" s="98" t="str">
        <f t="shared" si="74"/>
        <v>1+0.208568025936011i</v>
      </c>
      <c r="AK133" s="98">
        <f t="shared" si="90"/>
        <v>1.0215187817376852</v>
      </c>
      <c r="AL133" s="98">
        <f t="shared" si="91"/>
        <v>0.20562030866136544</v>
      </c>
      <c r="AM133" s="98" t="str">
        <f t="shared" si="75"/>
        <v>1+0.417136051872022i</v>
      </c>
      <c r="AN133" s="98">
        <f t="shared" si="92"/>
        <v>1.0835139527349789</v>
      </c>
      <c r="AO133" s="98">
        <f t="shared" si="93"/>
        <v>0.3951910025637993</v>
      </c>
      <c r="AP133" s="168" t="str">
        <f t="shared" si="94"/>
        <v>-0.0101094220164927+0.0526876267225873i</v>
      </c>
      <c r="AQ133" s="98">
        <f t="shared" si="95"/>
        <v>-25.408810797773405</v>
      </c>
      <c r="AR133" s="169">
        <f t="shared" si="96"/>
        <v>100.86160067997592</v>
      </c>
      <c r="AS133" s="168" t="str">
        <f t="shared" si="97"/>
        <v>0.0161944669270434+1.08900405903844i</v>
      </c>
      <c r="AT133" s="190">
        <f t="shared" si="98"/>
        <v>0.74155027818505515</v>
      </c>
      <c r="AU133" s="169">
        <f t="shared" si="99"/>
        <v>89.148023177762425</v>
      </c>
      <c r="AV133" s="225"/>
      <c r="AX133">
        <f t="shared" si="100"/>
        <v>0</v>
      </c>
      <c r="AY133">
        <f t="shared" si="101"/>
        <v>0</v>
      </c>
    </row>
    <row r="134" spans="14:51" x14ac:dyDescent="0.3">
      <c r="N134" s="170">
        <v>16</v>
      </c>
      <c r="O134" s="199">
        <f t="shared" si="102"/>
        <v>144.54397707459285</v>
      </c>
      <c r="P134" s="189" t="str">
        <f t="shared" si="67"/>
        <v>20.7142857142857</v>
      </c>
      <c r="Q134" s="160" t="str">
        <f t="shared" si="68"/>
        <v>1+0.207587792684888i</v>
      </c>
      <c r="R134" s="160">
        <f t="shared" si="77"/>
        <v>1.0213190939524159</v>
      </c>
      <c r="S134" s="160">
        <f t="shared" si="78"/>
        <v>0.20468075478863593</v>
      </c>
      <c r="T134" s="160" t="str">
        <f t="shared" si="69"/>
        <v>1+0.0000181639318599277i</v>
      </c>
      <c r="U134" s="160">
        <f t="shared" si="79"/>
        <v>1.0000000001649643</v>
      </c>
      <c r="V134" s="160">
        <f t="shared" si="80"/>
        <v>1.8163931857930103E-5</v>
      </c>
      <c r="W134" s="98" t="str">
        <f t="shared" si="70"/>
        <v>1-0.00476803211323101i</v>
      </c>
      <c r="X134" s="160">
        <f t="shared" si="81"/>
        <v>1.000011367000512</v>
      </c>
      <c r="Y134" s="160">
        <f t="shared" si="82"/>
        <v>-4.7679959813695253E-3</v>
      </c>
      <c r="Z134" s="98" t="str">
        <f t="shared" si="71"/>
        <v>0.999998257504113-0.000355776943707944i</v>
      </c>
      <c r="AA134" s="160">
        <f t="shared" si="83"/>
        <v>0.99999832079283801</v>
      </c>
      <c r="AB134" s="160">
        <f t="shared" si="84"/>
        <v>-3.5577754863772091E-4</v>
      </c>
      <c r="AC134" s="171" t="str">
        <f t="shared" si="85"/>
        <v>19.8404814709384-4.20966234931107i</v>
      </c>
      <c r="AD134" s="190">
        <f t="shared" si="86"/>
        <v>26.142283537506007</v>
      </c>
      <c r="AE134" s="169">
        <f t="shared" si="87"/>
        <v>-11.979104174791464</v>
      </c>
      <c r="AF134" s="98" t="str">
        <f t="shared" si="72"/>
        <v>-0.0000897803247373448</v>
      </c>
      <c r="AG134" s="98" t="str">
        <f t="shared" si="73"/>
        <v>0.00181639318599277i</v>
      </c>
      <c r="AH134" s="98">
        <f t="shared" si="88"/>
        <v>1.8163931859927699E-3</v>
      </c>
      <c r="AI134" s="98">
        <f t="shared" si="89"/>
        <v>1.5707963267948966</v>
      </c>
      <c r="AJ134" s="98" t="str">
        <f t="shared" si="74"/>
        <v>1+0.21342619935415i</v>
      </c>
      <c r="AK134" s="98">
        <f t="shared" si="90"/>
        <v>1.0225217565268512</v>
      </c>
      <c r="AL134" s="98">
        <f t="shared" si="91"/>
        <v>0.21027140854067297</v>
      </c>
      <c r="AM134" s="98" t="str">
        <f t="shared" si="75"/>
        <v>1+0.426852398708302i</v>
      </c>
      <c r="AN134" s="98">
        <f t="shared" si="92"/>
        <v>1.0872915755596708</v>
      </c>
      <c r="AO134" s="98">
        <f t="shared" si="93"/>
        <v>0.40343859898301077</v>
      </c>
      <c r="AP134" s="168" t="str">
        <f t="shared" si="94"/>
        <v>-0.0100895994112157+0.051581187948687i</v>
      </c>
      <c r="AQ134" s="98">
        <f t="shared" si="95"/>
        <v>-25.587104528283675</v>
      </c>
      <c r="AR134" s="169">
        <f t="shared" si="96"/>
        <v>101.06766475274571</v>
      </c>
      <c r="AS134" s="168" t="str">
        <f t="shared" si="97"/>
        <v>0.0169568746729095+1.06586941050594i</v>
      </c>
      <c r="AT134" s="190">
        <f t="shared" si="98"/>
        <v>0.55517900922232433</v>
      </c>
      <c r="AU134" s="169">
        <f t="shared" si="99"/>
        <v>89.088560577954269</v>
      </c>
      <c r="AV134" s="225"/>
      <c r="AX134">
        <f t="shared" si="100"/>
        <v>0</v>
      </c>
      <c r="AY134">
        <f t="shared" si="101"/>
        <v>0</v>
      </c>
    </row>
    <row r="135" spans="14:51" x14ac:dyDescent="0.3">
      <c r="N135" s="170">
        <v>17</v>
      </c>
      <c r="O135" s="199">
        <f t="shared" si="102"/>
        <v>147.91083881682084</v>
      </c>
      <c r="P135" s="189" t="str">
        <f t="shared" si="67"/>
        <v>20.7142857142857</v>
      </c>
      <c r="Q135" s="160" t="str">
        <f t="shared" si="68"/>
        <v>1+0.212423133537476i</v>
      </c>
      <c r="R135" s="160">
        <f t="shared" si="77"/>
        <v>1.0223128619272479</v>
      </c>
      <c r="S135" s="160">
        <f t="shared" si="78"/>
        <v>0.20931184637736944</v>
      </c>
      <c r="T135" s="160" t="str">
        <f t="shared" si="69"/>
        <v>1+0.0000185870241845291i</v>
      </c>
      <c r="U135" s="160">
        <f t="shared" si="79"/>
        <v>1.0000000001727387</v>
      </c>
      <c r="V135" s="160">
        <f t="shared" si="80"/>
        <v>1.8587024182388636E-5</v>
      </c>
      <c r="W135" s="98" t="str">
        <f t="shared" si="70"/>
        <v>1-0.00487909384843889i</v>
      </c>
      <c r="X135" s="160">
        <f t="shared" si="81"/>
        <v>1.0000119027075538</v>
      </c>
      <c r="Y135" s="160">
        <f t="shared" si="82"/>
        <v>-4.8790551324766635E-3</v>
      </c>
      <c r="Z135" s="98" t="str">
        <f t="shared" si="71"/>
        <v>0.999998175382812-0.000364064053311404i</v>
      </c>
      <c r="AA135" s="160">
        <f t="shared" si="83"/>
        <v>0.99999824165424822</v>
      </c>
      <c r="AB135" s="160">
        <f t="shared" si="84"/>
        <v>-3.6406470150538887E-4</v>
      </c>
      <c r="AC135" s="171" t="str">
        <f t="shared" si="85"/>
        <v>19.8010783542966-4.29934785485312i</v>
      </c>
      <c r="AD135" s="190">
        <f t="shared" si="86"/>
        <v>26.13384140818162</v>
      </c>
      <c r="AE135" s="169">
        <f t="shared" si="87"/>
        <v>-12.250310337711191</v>
      </c>
      <c r="AF135" s="98" t="str">
        <f t="shared" si="72"/>
        <v>-0.0000897803247373448</v>
      </c>
      <c r="AG135" s="98" t="str">
        <f t="shared" si="73"/>
        <v>0.00185870241845291i</v>
      </c>
      <c r="AH135" s="98">
        <f t="shared" si="88"/>
        <v>1.85870241845291E-3</v>
      </c>
      <c r="AI135" s="98">
        <f t="shared" si="89"/>
        <v>1.5707963267948966</v>
      </c>
      <c r="AJ135" s="98" t="str">
        <f t="shared" si="74"/>
        <v>1+0.218397534168217i</v>
      </c>
      <c r="AK135" s="98">
        <f t="shared" si="90"/>
        <v>1.0235709467011838</v>
      </c>
      <c r="AL135" s="98">
        <f t="shared" si="91"/>
        <v>0.21502130495655852</v>
      </c>
      <c r="AM135" s="98" t="str">
        <f t="shared" si="75"/>
        <v>1+0.436795068336436i</v>
      </c>
      <c r="AN135" s="98">
        <f t="shared" si="92"/>
        <v>1.0912332160097729</v>
      </c>
      <c r="AO135" s="98">
        <f t="shared" si="93"/>
        <v>0.41181860811724219</v>
      </c>
      <c r="AP135" s="168" t="str">
        <f t="shared" si="94"/>
        <v>-0.0100689257428857+0.0505017174868611i</v>
      </c>
      <c r="AQ135" s="98">
        <f t="shared" si="95"/>
        <v>-25.764581307556238</v>
      </c>
      <c r="AR135" s="169">
        <f t="shared" si="96"/>
        <v>101.27565489066367</v>
      </c>
      <c r="AS135" s="168" t="str">
        <f t="shared" si="97"/>
        <v>0.0177488631650607+1.04327827927724i</v>
      </c>
      <c r="AT135" s="190">
        <f t="shared" si="98"/>
        <v>0.36926010062539527</v>
      </c>
      <c r="AU135" s="169">
        <f t="shared" si="99"/>
        <v>89.02534455295249</v>
      </c>
      <c r="AV135" s="225"/>
      <c r="AX135">
        <f t="shared" si="100"/>
        <v>0</v>
      </c>
      <c r="AY135">
        <f t="shared" si="101"/>
        <v>0</v>
      </c>
    </row>
    <row r="136" spans="14:51" x14ac:dyDescent="0.3">
      <c r="N136" s="170">
        <v>18</v>
      </c>
      <c r="O136" s="199">
        <f t="shared" si="102"/>
        <v>151.3561248436209</v>
      </c>
      <c r="P136" s="189" t="str">
        <f t="shared" si="67"/>
        <v>20.7142857142857</v>
      </c>
      <c r="Q136" s="160" t="str">
        <f t="shared" si="68"/>
        <v>1+0.217371103947218i</v>
      </c>
      <c r="R136" s="160">
        <f t="shared" si="77"/>
        <v>1.0233524304125301</v>
      </c>
      <c r="S136" s="160">
        <f t="shared" si="78"/>
        <v>0.21404139465275765</v>
      </c>
      <c r="T136" s="160" t="str">
        <f t="shared" si="69"/>
        <v>1+0.0000190199715953816i</v>
      </c>
      <c r="U136" s="160">
        <f t="shared" si="79"/>
        <v>1.0000000001808798</v>
      </c>
      <c r="V136" s="160">
        <f t="shared" si="80"/>
        <v>1.901997159308805E-5</v>
      </c>
      <c r="W136" s="98" t="str">
        <f t="shared" si="70"/>
        <v>1-0.00499274254378765i</v>
      </c>
      <c r="X136" s="160">
        <f t="shared" si="81"/>
        <v>1.0000124636613827</v>
      </c>
      <c r="Y136" s="160">
        <f t="shared" si="82"/>
        <v>-4.9927010589146288E-3</v>
      </c>
      <c r="Z136" s="98" t="str">
        <f t="shared" si="71"/>
        <v>0.999998089391253-0.000372544194494886i</v>
      </c>
      <c r="AA136" s="160">
        <f t="shared" si="83"/>
        <v>0.99999815878597165</v>
      </c>
      <c r="AB136" s="160">
        <f t="shared" si="84"/>
        <v>-3.7254488904731118E-4</v>
      </c>
      <c r="AC136" s="171" t="str">
        <f t="shared" si="85"/>
        <v>19.7599820254847-4.39055938379041i</v>
      </c>
      <c r="AD136" s="190">
        <f t="shared" si="86"/>
        <v>26.125018989303207</v>
      </c>
      <c r="AE136" s="169">
        <f t="shared" si="87"/>
        <v>-12.527294239823025</v>
      </c>
      <c r="AF136" s="98" t="str">
        <f t="shared" si="72"/>
        <v>-0.0000897803247373448</v>
      </c>
      <c r="AG136" s="98" t="str">
        <f t="shared" si="73"/>
        <v>0.00190199715953816i</v>
      </c>
      <c r="AH136" s="98">
        <f t="shared" si="88"/>
        <v>1.9019971595381599E-3</v>
      </c>
      <c r="AI136" s="98">
        <f t="shared" si="89"/>
        <v>1.5707963267948966</v>
      </c>
      <c r="AJ136" s="98" t="str">
        <f t="shared" si="74"/>
        <v>1+0.223484666245733i</v>
      </c>
      <c r="AK136" s="98">
        <f t="shared" si="90"/>
        <v>1.0246684322486794</v>
      </c>
      <c r="AL136" s="98">
        <f t="shared" si="91"/>
        <v>0.21987165865232206</v>
      </c>
      <c r="AM136" s="98" t="str">
        <f t="shared" si="75"/>
        <v>1+0.446969332491468i</v>
      </c>
      <c r="AN136" s="98">
        <f t="shared" si="92"/>
        <v>1.0953454177508886</v>
      </c>
      <c r="AO136" s="98">
        <f t="shared" si="93"/>
        <v>0.42033076424833571</v>
      </c>
      <c r="AP136" s="168" t="str">
        <f t="shared" si="94"/>
        <v>-0.0100473683644461+0.0494486182630482i</v>
      </c>
      <c r="AQ136" s="98">
        <f t="shared" si="95"/>
        <v>-25.941219062024437</v>
      </c>
      <c r="AR136" s="169">
        <f t="shared" si="96"/>
        <v>101.48546071561894</v>
      </c>
      <c r="AS136" s="168" t="str">
        <f t="shared" si="97"/>
        <v>0.0185712766454176+1.0212173755178i</v>
      </c>
      <c r="AT136" s="190">
        <f t="shared" si="98"/>
        <v>0.18379992727873029</v>
      </c>
      <c r="AU136" s="169">
        <f t="shared" si="99"/>
        <v>88.958166475795935</v>
      </c>
      <c r="AV136" s="225"/>
      <c r="AX136">
        <f t="shared" si="100"/>
        <v>151.3561248436209</v>
      </c>
      <c r="AY136">
        <f t="shared" si="101"/>
        <v>88.958166475795935</v>
      </c>
    </row>
    <row r="137" spans="14:51" x14ac:dyDescent="0.3">
      <c r="N137" s="170">
        <v>19</v>
      </c>
      <c r="O137" s="199">
        <f t="shared" si="102"/>
        <v>154.8816618912482</v>
      </c>
      <c r="P137" s="189" t="str">
        <f t="shared" si="67"/>
        <v>20.7142857142857</v>
      </c>
      <c r="Q137" s="160" t="str">
        <f t="shared" si="68"/>
        <v>1+0.222434327393519i</v>
      </c>
      <c r="R137" s="160">
        <f t="shared" si="77"/>
        <v>1.0244398615843719</v>
      </c>
      <c r="S137" s="160">
        <f t="shared" si="78"/>
        <v>0.21887106054439953</v>
      </c>
      <c r="T137" s="160" t="str">
        <f t="shared" si="69"/>
        <v>1+0.0000194630036469329i</v>
      </c>
      <c r="U137" s="160">
        <f t="shared" si="79"/>
        <v>1.0000000001894043</v>
      </c>
      <c r="V137" s="160">
        <f t="shared" si="80"/>
        <v>1.9463003644475316E-5</v>
      </c>
      <c r="W137" s="98" t="str">
        <f t="shared" si="70"/>
        <v>1-0.00510903845731988i</v>
      </c>
      <c r="X137" s="160">
        <f t="shared" si="81"/>
        <v>1.0000130510518142</v>
      </c>
      <c r="Y137" s="160">
        <f t="shared" si="82"/>
        <v>-5.1089940055088949E-3</v>
      </c>
      <c r="Z137" s="98" t="str">
        <f t="shared" si="71"/>
        <v>0.999997999347037-0.000381221863541495i</v>
      </c>
      <c r="AA137" s="160">
        <f t="shared" si="83"/>
        <v>0.99999807201223456</v>
      </c>
      <c r="AB137" s="160">
        <f t="shared" si="84"/>
        <v>-3.8122260776789083E-4</v>
      </c>
      <c r="AC137" s="171" t="str">
        <f t="shared" si="85"/>
        <v>19.7171273963671-4.48329631641947i</v>
      </c>
      <c r="AD137" s="190">
        <f t="shared" si="86"/>
        <v>26.115799975815275</v>
      </c>
      <c r="AE137" s="169">
        <f t="shared" si="87"/>
        <v>-12.810154226374177</v>
      </c>
      <c r="AF137" s="98" t="str">
        <f t="shared" si="72"/>
        <v>-0.0000897803247373448</v>
      </c>
      <c r="AG137" s="98" t="str">
        <f t="shared" si="73"/>
        <v>0.00194630036469329i</v>
      </c>
      <c r="AH137" s="98">
        <f t="shared" si="88"/>
        <v>1.9463003646932901E-3</v>
      </c>
      <c r="AI137" s="98">
        <f t="shared" si="89"/>
        <v>1.5707963267948966</v>
      </c>
      <c r="AJ137" s="98" t="str">
        <f t="shared" si="74"/>
        <v>1+0.228690292851462i</v>
      </c>
      <c r="AK137" s="98">
        <f t="shared" si="90"/>
        <v>1.0258163822266086</v>
      </c>
      <c r="AL137" s="98">
        <f t="shared" si="91"/>
        <v>0.22482412806002586</v>
      </c>
      <c r="AM137" s="98" t="str">
        <f t="shared" si="75"/>
        <v>1+0.457380585702925i</v>
      </c>
      <c r="AN137" s="98">
        <f t="shared" si="92"/>
        <v>1.099634939503993</v>
      </c>
      <c r="AO137" s="98">
        <f t="shared" si="93"/>
        <v>0.42897464547907932</v>
      </c>
      <c r="AP137" s="168" t="str">
        <f t="shared" si="94"/>
        <v>-0.010024893732645+0.0484213056993349i</v>
      </c>
      <c r="AQ137" s="98">
        <f t="shared" si="95"/>
        <v>-26.116995839940017</v>
      </c>
      <c r="AR137" s="169">
        <f t="shared" si="96"/>
        <v>101.69696303352367</v>
      </c>
      <c r="AS137" s="168" t="str">
        <f t="shared" si="97"/>
        <v>0.0194249546164457+0.999673622316287i</v>
      </c>
      <c r="AT137" s="190">
        <f t="shared" si="98"/>
        <v>-1.1958641247393239E-3</v>
      </c>
      <c r="AU137" s="169">
        <f t="shared" si="99"/>
        <v>88.886808807149507</v>
      </c>
      <c r="AV137" s="225"/>
      <c r="AX137">
        <f t="shared" si="100"/>
        <v>0</v>
      </c>
      <c r="AY137">
        <f t="shared" si="101"/>
        <v>0</v>
      </c>
    </row>
    <row r="138" spans="14:51" x14ac:dyDescent="0.3">
      <c r="N138" s="170">
        <v>20</v>
      </c>
      <c r="O138" s="199">
        <f t="shared" si="102"/>
        <v>158.48931924611153</v>
      </c>
      <c r="P138" s="189" t="str">
        <f t="shared" si="67"/>
        <v>20.7142857142857</v>
      </c>
      <c r="Q138" s="160" t="str">
        <f t="shared" si="68"/>
        <v>1+0.227615488464472i</v>
      </c>
      <c r="R138" s="160">
        <f t="shared" si="77"/>
        <v>1.0255773060032678</v>
      </c>
      <c r="S138" s="160">
        <f t="shared" si="78"/>
        <v>0.22380250315086736</v>
      </c>
      <c r="T138" s="160" t="str">
        <f t="shared" si="69"/>
        <v>1+0.0000199163552406413i</v>
      </c>
      <c r="U138" s="160">
        <f t="shared" si="79"/>
        <v>1.0000000001983307</v>
      </c>
      <c r="V138" s="160">
        <f t="shared" si="80"/>
        <v>1.9916355238007952E-5</v>
      </c>
      <c r="W138" s="98" t="str">
        <f t="shared" si="70"/>
        <v>1-0.00522804325066832i</v>
      </c>
      <c r="X138" s="160">
        <f t="shared" si="81"/>
        <v>1.0000136661247339</v>
      </c>
      <c r="Y138" s="160">
        <f t="shared" si="82"/>
        <v>-5.2279956197298525E-3</v>
      </c>
      <c r="Z138" s="98" t="str">
        <f t="shared" si="71"/>
        <v>0.999997905059168-0.000390101661466222i</v>
      </c>
      <c r="AA138" s="160">
        <f t="shared" si="83"/>
        <v>0.99999798114897753</v>
      </c>
      <c r="AB138" s="160">
        <f t="shared" si="84"/>
        <v>-3.90102458919244E-4</v>
      </c>
      <c r="AC138" s="171" t="str">
        <f t="shared" si="85"/>
        <v>19.6724475790653-4.57755589239733i</v>
      </c>
      <c r="AD138" s="190">
        <f t="shared" si="86"/>
        <v>26.106167439243858</v>
      </c>
      <c r="AE138" s="169">
        <f t="shared" si="87"/>
        <v>-13.098988611759273</v>
      </c>
      <c r="AF138" s="98" t="str">
        <f t="shared" si="72"/>
        <v>-0.0000897803247373448</v>
      </c>
      <c r="AG138" s="98" t="str">
        <f t="shared" si="73"/>
        <v>0.00199163552406413i</v>
      </c>
      <c r="AH138" s="98">
        <f t="shared" si="88"/>
        <v>1.99163552406413E-3</v>
      </c>
      <c r="AI138" s="98">
        <f t="shared" si="89"/>
        <v>1.5707963267948966</v>
      </c>
      <c r="AJ138" s="98" t="str">
        <f t="shared" si="74"/>
        <v>1+0.234017174077535i</v>
      </c>
      <c r="AK138" s="98">
        <f t="shared" si="90"/>
        <v>1.0270170581656544</v>
      </c>
      <c r="AL138" s="98">
        <f t="shared" si="91"/>
        <v>0.2298803668536118</v>
      </c>
      <c r="AM138" s="98" t="str">
        <f t="shared" si="75"/>
        <v>1+0.468034348155071i</v>
      </c>
      <c r="AN138" s="98">
        <f t="shared" si="92"/>
        <v>1.1041087587067417</v>
      </c>
      <c r="AO138" s="98">
        <f t="shared" si="93"/>
        <v>0.43774966713555524</v>
      </c>
      <c r="AP138" s="168" t="str">
        <f t="shared" si="94"/>
        <v>-0.0100014674173088+0.0474192073283075i</v>
      </c>
      <c r="AQ138" s="98">
        <f t="shared" si="95"/>
        <v>-26.291889881269608</v>
      </c>
      <c r="AR138" s="169">
        <f t="shared" si="96"/>
        <v>101.91003359649297</v>
      </c>
      <c r="AS138" s="168" t="str">
        <f t="shared" si="97"/>
        <v>0.0203107284377677+0.97863414651568i</v>
      </c>
      <c r="AT138" s="190">
        <f t="shared" si="98"/>
        <v>-0.18572244202574922</v>
      </c>
      <c r="AU138" s="169">
        <f t="shared" si="99"/>
        <v>88.811044984733684</v>
      </c>
      <c r="AV138" s="225"/>
      <c r="AX138">
        <f t="shared" si="100"/>
        <v>0</v>
      </c>
      <c r="AY138">
        <f t="shared" si="101"/>
        <v>0</v>
      </c>
    </row>
    <row r="139" spans="14:51" x14ac:dyDescent="0.3">
      <c r="N139" s="170">
        <v>21</v>
      </c>
      <c r="O139" s="199">
        <f t="shared" si="102"/>
        <v>162.18100973589304</v>
      </c>
      <c r="P139" s="189" t="str">
        <f t="shared" si="67"/>
        <v>20.7142857142857</v>
      </c>
      <c r="Q139" s="160" t="str">
        <f t="shared" si="68"/>
        <v>1+0.232917334280254i</v>
      </c>
      <c r="R139" s="160">
        <f t="shared" si="77"/>
        <v>1.0267670059990337</v>
      </c>
      <c r="S139" s="160">
        <f t="shared" si="78"/>
        <v>0.2288373773268661</v>
      </c>
      <c r="T139" s="160" t="str">
        <f t="shared" si="69"/>
        <v>1+0.0000203802667495222i</v>
      </c>
      <c r="U139" s="160">
        <f t="shared" si="79"/>
        <v>1.0000000002076777</v>
      </c>
      <c r="V139" s="160">
        <f t="shared" si="80"/>
        <v>2.0380266746700518E-5</v>
      </c>
      <c r="W139" s="98" t="str">
        <f t="shared" si="70"/>
        <v>1-0.00534982002174956i</v>
      </c>
      <c r="X139" s="160">
        <f t="shared" si="81"/>
        <v>1.0000143101847419</v>
      </c>
      <c r="Y139" s="160">
        <f t="shared" si="82"/>
        <v>-5.3497689843189106E-3</v>
      </c>
      <c r="Z139" s="98" t="str">
        <f t="shared" si="71"/>
        <v>0.999997806327648-0.000399188296455463i</v>
      </c>
      <c r="AA139" s="160">
        <f t="shared" si="83"/>
        <v>0.99999788600346773</v>
      </c>
      <c r="AB139" s="160">
        <f t="shared" si="84"/>
        <v>-3.9918915094185151E-4</v>
      </c>
      <c r="AC139" s="171" t="str">
        <f t="shared" si="85"/>
        <v>19.6258739029797-4.67333305847588i</v>
      </c>
      <c r="AD139" s="190">
        <f t="shared" si="86"/>
        <v>26.096103810779624</v>
      </c>
      <c r="AE139" s="169">
        <f t="shared" si="87"/>
        <v>-13.393895542997361</v>
      </c>
      <c r="AF139" s="98" t="str">
        <f t="shared" si="72"/>
        <v>-0.0000897803247373448</v>
      </c>
      <c r="AG139" s="98" t="str">
        <f t="shared" si="73"/>
        <v>0.00203802667495223i</v>
      </c>
      <c r="AH139" s="98">
        <f t="shared" si="88"/>
        <v>2.03802667495223E-3</v>
      </c>
      <c r="AI139" s="98">
        <f t="shared" si="89"/>
        <v>1.5707963267948966</v>
      </c>
      <c r="AJ139" s="98" t="str">
        <f t="shared" si="74"/>
        <v>1+0.239468134306886i</v>
      </c>
      <c r="AK139" s="98">
        <f t="shared" si="90"/>
        <v>1.0282728175676048</v>
      </c>
      <c r="AL139" s="98">
        <f t="shared" si="91"/>
        <v>0.23504202133176705</v>
      </c>
      <c r="AM139" s="98" t="str">
        <f t="shared" si="75"/>
        <v>1+0.478936268613773i</v>
      </c>
      <c r="AN139" s="98">
        <f t="shared" si="92"/>
        <v>1.1087740750007118</v>
      </c>
      <c r="AO139" s="98">
        <f t="shared" si="93"/>
        <v>0.44665507534320492</v>
      </c>
      <c r="AP139" s="168" t="str">
        <f t="shared" si="94"/>
        <v>-0.00997705411465841+0.0464417624115501i</v>
      </c>
      <c r="AQ139" s="98">
        <f t="shared" si="95"/>
        <v>-26.465879692268309</v>
      </c>
      <c r="AR139" s="169">
        <f t="shared" si="96"/>
        <v>102.12453488472931</v>
      </c>
      <c r="AS139" s="168" t="str">
        <f t="shared" si="97"/>
        <v>0.0212294175942888+0.958086269741461i</v>
      </c>
      <c r="AT139" s="190">
        <f t="shared" si="98"/>
        <v>-0.36977588148868157</v>
      </c>
      <c r="AU139" s="169">
        <f t="shared" si="99"/>
        <v>88.730639341731958</v>
      </c>
      <c r="AV139" s="225"/>
      <c r="AX139">
        <f t="shared" si="100"/>
        <v>0</v>
      </c>
      <c r="AY139">
        <f t="shared" si="101"/>
        <v>0</v>
      </c>
    </row>
    <row r="140" spans="14:51" x14ac:dyDescent="0.3">
      <c r="N140" s="170">
        <v>22</v>
      </c>
      <c r="O140" s="199">
        <f t="shared" si="102"/>
        <v>165.95869074375622</v>
      </c>
      <c r="P140" s="189" t="str">
        <f t="shared" si="67"/>
        <v>20.7142857142857</v>
      </c>
      <c r="Q140" s="160" t="str">
        <f t="shared" si="68"/>
        <v>1+0.238342675949698i</v>
      </c>
      <c r="R140" s="160">
        <f t="shared" si="77"/>
        <v>1.0280112991494124</v>
      </c>
      <c r="S140" s="160">
        <f t="shared" si="78"/>
        <v>0.23397733110145791</v>
      </c>
      <c r="T140" s="160" t="str">
        <f t="shared" si="69"/>
        <v>1+0.0000208549841455986i</v>
      </c>
      <c r="U140" s="160">
        <f t="shared" si="79"/>
        <v>1.0000000002174652</v>
      </c>
      <c r="V140" s="160">
        <f t="shared" si="80"/>
        <v>2.0854984142575112E-5</v>
      </c>
      <c r="W140" s="98" t="str">
        <f t="shared" si="70"/>
        <v>1-0.00547443333821962i</v>
      </c>
      <c r="X140" s="160">
        <f t="shared" si="81"/>
        <v>1.0000149845979183</v>
      </c>
      <c r="Y140" s="160">
        <f t="shared" si="82"/>
        <v>-5.474378650671647E-3</v>
      </c>
      <c r="Z140" s="98" t="str">
        <f t="shared" si="71"/>
        <v>0.999997702943055-0.000408486586363369i</v>
      </c>
      <c r="AA140" s="160">
        <f t="shared" si="83"/>
        <v>0.99999778637388881</v>
      </c>
      <c r="AB140" s="160">
        <f t="shared" si="84"/>
        <v>-4.0848750196212049E-4</v>
      </c>
      <c r="AC140" s="171" t="str">
        <f t="shared" si="85"/>
        <v>19.5773359397723-4.77062031039752i</v>
      </c>
      <c r="AD140" s="190">
        <f t="shared" si="86"/>
        <v>26.08559086456011</v>
      </c>
      <c r="AE140" s="169">
        <f t="shared" si="87"/>
        <v>-13.694972853569167</v>
      </c>
      <c r="AF140" s="98" t="str">
        <f t="shared" si="72"/>
        <v>-0.0000897803247373448</v>
      </c>
      <c r="AG140" s="98" t="str">
        <f t="shared" si="73"/>
        <v>0.00208549841455986i</v>
      </c>
      <c r="AH140" s="98">
        <f t="shared" si="88"/>
        <v>2.0854984145598598E-3</v>
      </c>
      <c r="AI140" s="98">
        <f t="shared" si="89"/>
        <v>1.5707963267948966</v>
      </c>
      <c r="AJ140" s="98" t="str">
        <f t="shared" si="74"/>
        <v>1+0.245046063710784i</v>
      </c>
      <c r="AK140" s="98">
        <f t="shared" si="90"/>
        <v>1.0295861174958361</v>
      </c>
      <c r="AL140" s="98">
        <f t="shared" si="91"/>
        <v>0.240310727624306</v>
      </c>
      <c r="AM140" s="98" t="str">
        <f t="shared" si="75"/>
        <v>1+0.490092127421568i</v>
      </c>
      <c r="AN140" s="98">
        <f t="shared" si="92"/>
        <v>1.1136383135293966</v>
      </c>
      <c r="AO140" s="98">
        <f t="shared" si="93"/>
        <v>0.4556899408234128</v>
      </c>
      <c r="AP140" s="168" t="str">
        <f t="shared" si="94"/>
        <v>-0.00995161766504319+0.0454884215621958i</v>
      </c>
      <c r="AQ140" s="98">
        <f t="shared" si="95"/>
        <v>-26.638944124706345</v>
      </c>
      <c r="AR140" s="169">
        <f t="shared" si="96"/>
        <v>102.34031991115715</v>
      </c>
      <c r="AS140" s="168" t="str">
        <f t="shared" si="97"/>
        <v>0.0221818256198128+0.938017499647255i</v>
      </c>
      <c r="AT140" s="190">
        <f t="shared" si="98"/>
        <v>-0.55335326014623409</v>
      </c>
      <c r="AU140" s="169">
        <f t="shared" si="99"/>
        <v>88.645347057587983</v>
      </c>
      <c r="AV140" s="225"/>
      <c r="AX140">
        <f t="shared" si="100"/>
        <v>0</v>
      </c>
      <c r="AY140">
        <f t="shared" si="101"/>
        <v>0</v>
      </c>
    </row>
    <row r="141" spans="14:51" x14ac:dyDescent="0.3">
      <c r="N141" s="170">
        <v>23</v>
      </c>
      <c r="O141" s="199">
        <f t="shared" si="102"/>
        <v>169.82436524617444</v>
      </c>
      <c r="P141" s="189" t="str">
        <f t="shared" si="67"/>
        <v>20.7142857142857</v>
      </c>
      <c r="Q141" s="160" t="str">
        <f t="shared" si="68"/>
        <v>1+0.243894390060768i</v>
      </c>
      <c r="R141" s="160">
        <f t="shared" si="77"/>
        <v>1.0293126218516482</v>
      </c>
      <c r="S141" s="160">
        <f t="shared" si="78"/>
        <v>0.23922400292103307</v>
      </c>
      <c r="T141" s="160" t="str">
        <f t="shared" si="69"/>
        <v>1+0.0000213407591303172i</v>
      </c>
      <c r="U141" s="160">
        <f t="shared" si="79"/>
        <v>1.0000000002277138</v>
      </c>
      <c r="V141" s="160">
        <f t="shared" si="80"/>
        <v>2.1340759127077475E-5</v>
      </c>
      <c r="W141" s="98" t="str">
        <f t="shared" si="70"/>
        <v>1-0.00560194927170825i</v>
      </c>
      <c r="X141" s="160">
        <f t="shared" si="81"/>
        <v>1.0000156907947209</v>
      </c>
      <c r="Y141" s="160">
        <f t="shared" si="82"/>
        <v>-5.6018906729944987E-3</v>
      </c>
      <c r="Z141" s="98" t="str">
        <f t="shared" si="71"/>
        <v>0.999997594686097-0.000418001461266321i</v>
      </c>
      <c r="AA141" s="160">
        <f t="shared" si="83"/>
        <v>0.99999768204891404</v>
      </c>
      <c r="AB141" s="160">
        <f t="shared" si="84"/>
        <v>-4.1800244234815989E-4</v>
      </c>
      <c r="AC141" s="171" t="str">
        <f t="shared" si="85"/>
        <v>19.5267615370476-4.86940752910885i</v>
      </c>
      <c r="AD141" s="190">
        <f t="shared" si="86"/>
        <v>26.074609701229914</v>
      </c>
      <c r="AE141" s="169">
        <f t="shared" si="87"/>
        <v>-14.002317907254424</v>
      </c>
      <c r="AF141" s="98" t="str">
        <f t="shared" si="72"/>
        <v>-0.0000897803247373448</v>
      </c>
      <c r="AG141" s="98" t="str">
        <f t="shared" si="73"/>
        <v>0.00213407591303173i</v>
      </c>
      <c r="AH141" s="98">
        <f t="shared" si="88"/>
        <v>2.1340759130317301E-3</v>
      </c>
      <c r="AI141" s="98">
        <f t="shared" si="89"/>
        <v>1.5707963267948966</v>
      </c>
      <c r="AJ141" s="98" t="str">
        <f t="shared" si="74"/>
        <v>1+0.250753919781227i</v>
      </c>
      <c r="AK141" s="98">
        <f t="shared" si="90"/>
        <v>1.030959518257458</v>
      </c>
      <c r="AL141" s="98">
        <f t="shared" si="91"/>
        <v>0.24568810871601737</v>
      </c>
      <c r="AM141" s="98" t="str">
        <f t="shared" si="75"/>
        <v>1+0.501507839562455i</v>
      </c>
      <c r="AN141" s="98">
        <f t="shared" si="92"/>
        <v>1.1187091280322161</v>
      </c>
      <c r="AO141" s="98">
        <f t="shared" si="93"/>
        <v>0.46485315295964713</v>
      </c>
      <c r="AP141" s="168" t="str">
        <f t="shared" si="94"/>
        <v>-0.00992512107547623+0.0445586463715022i</v>
      </c>
      <c r="AQ141" s="98">
        <f t="shared" si="95"/>
        <v>-26.811062459679739</v>
      </c>
      <c r="AR141" s="169">
        <f t="shared" si="96"/>
        <v>102.55723205195791</v>
      </c>
      <c r="AS141" s="168" t="str">
        <f t="shared" si="97"/>
        <v>0.0231687356611418+0.918415521402196i</v>
      </c>
      <c r="AT141" s="190">
        <f t="shared" si="98"/>
        <v>-0.73645275844982216</v>
      </c>
      <c r="AU141" s="169">
        <f t="shared" si="99"/>
        <v>88.554914144703503</v>
      </c>
      <c r="AV141" s="225"/>
      <c r="AX141">
        <f t="shared" si="100"/>
        <v>0</v>
      </c>
      <c r="AY141">
        <f t="shared" si="101"/>
        <v>0</v>
      </c>
    </row>
    <row r="142" spans="14:51" x14ac:dyDescent="0.3">
      <c r="N142" s="170">
        <v>24</v>
      </c>
      <c r="O142" s="199">
        <f t="shared" si="102"/>
        <v>173.78008287493768</v>
      </c>
      <c r="P142" s="189" t="str">
        <f t="shared" si="67"/>
        <v>20.7142857142857</v>
      </c>
      <c r="Q142" s="160" t="str">
        <f t="shared" si="68"/>
        <v>1+0.249575420205774i</v>
      </c>
      <c r="R142" s="160">
        <f t="shared" si="77"/>
        <v>1.0306735129859934</v>
      </c>
      <c r="S142" s="160">
        <f t="shared" si="78"/>
        <v>0.24457901871099785</v>
      </c>
      <c r="T142" s="160" t="str">
        <f t="shared" si="69"/>
        <v>1+0.0000218378492680052i</v>
      </c>
      <c r="U142" s="160">
        <f t="shared" si="79"/>
        <v>1.0000000002384457</v>
      </c>
      <c r="V142" s="160">
        <f t="shared" si="80"/>
        <v>2.183784926453377E-5</v>
      </c>
      <c r="W142" s="98" t="str">
        <f t="shared" si="70"/>
        <v>1-0.00573243543285135i</v>
      </c>
      <c r="X142" s="160">
        <f t="shared" si="81"/>
        <v>1.000016430273019</v>
      </c>
      <c r="Y142" s="160">
        <f t="shared" si="82"/>
        <v>-5.7323726432540216E-3</v>
      </c>
      <c r="Z142" s="98" t="str">
        <f t="shared" si="71"/>
        <v>0.999997481327145-0.000427737966076943i</v>
      </c>
      <c r="AA142" s="160">
        <f t="shared" si="83"/>
        <v>0.9999975728072551</v>
      </c>
      <c r="AB142" s="160">
        <f t="shared" si="84"/>
        <v>-4.2773901732518681E-4</v>
      </c>
      <c r="AC142" s="171" t="str">
        <f t="shared" si="85"/>
        <v>19.4740768615016-4.96968181150802i</v>
      </c>
      <c r="AD142" s="190">
        <f t="shared" si="86"/>
        <v>26.063140731864788</v>
      </c>
      <c r="AE142" s="169">
        <f t="shared" si="87"/>
        <v>-14.316027431623748</v>
      </c>
      <c r="AF142" s="98" t="str">
        <f t="shared" si="72"/>
        <v>-0.0000897803247373448</v>
      </c>
      <c r="AG142" s="98" t="str">
        <f t="shared" si="73"/>
        <v>0.00218378492680052i</v>
      </c>
      <c r="AH142" s="98">
        <f t="shared" si="88"/>
        <v>2.1837849268005198E-3</v>
      </c>
      <c r="AI142" s="98">
        <f t="shared" si="89"/>
        <v>1.5707963267948966</v>
      </c>
      <c r="AJ142" s="98" t="str">
        <f t="shared" si="74"/>
        <v>1+0.256594728899061i</v>
      </c>
      <c r="AK142" s="98">
        <f t="shared" si="90"/>
        <v>1.0323956871756015</v>
      </c>
      <c r="AL142" s="98">
        <f t="shared" si="91"/>
        <v>0.25117577128228302</v>
      </c>
      <c r="AM142" s="98" t="str">
        <f t="shared" si="75"/>
        <v>1+0.513189457798124i</v>
      </c>
      <c r="AN142" s="98">
        <f t="shared" si="92"/>
        <v>1.1239944037205578</v>
      </c>
      <c r="AO142" s="98">
        <f t="shared" si="93"/>
        <v>0.4741434141843614</v>
      </c>
      <c r="AP142" s="168" t="str">
        <f t="shared" si="94"/>
        <v>-0.00989752654737546+0.0436519090394362i</v>
      </c>
      <c r="AQ142" s="98">
        <f t="shared" si="95"/>
        <v>-26.982214495896098</v>
      </c>
      <c r="AR142" s="169">
        <f t="shared" si="96"/>
        <v>102.77510490626912</v>
      </c>
      <c r="AS142" s="168" t="str">
        <f t="shared" si="97"/>
        <v>0.0241909056685464+0.899268189446667i</v>
      </c>
      <c r="AT142" s="190">
        <f t="shared" si="98"/>
        <v>-0.91907376403130736</v>
      </c>
      <c r="AU142" s="169">
        <f t="shared" si="99"/>
        <v>88.459077474645383</v>
      </c>
      <c r="AV142" s="225"/>
      <c r="AX142">
        <f t="shared" si="100"/>
        <v>0</v>
      </c>
      <c r="AY142">
        <f t="shared" si="101"/>
        <v>0</v>
      </c>
    </row>
    <row r="143" spans="14:51" x14ac:dyDescent="0.3">
      <c r="N143" s="170">
        <v>25</v>
      </c>
      <c r="O143" s="199">
        <f t="shared" si="102"/>
        <v>177.82794100389242</v>
      </c>
      <c r="P143" s="189" t="str">
        <f t="shared" si="67"/>
        <v>20.7142857142857</v>
      </c>
      <c r="Q143" s="160" t="str">
        <f t="shared" si="68"/>
        <v>1+0.255388778542094i</v>
      </c>
      <c r="R143" s="160">
        <f t="shared" si="77"/>
        <v>1.032096617669694</v>
      </c>
      <c r="S143" s="160">
        <f t="shared" si="78"/>
        <v>0.25004398875033435</v>
      </c>
      <c r="T143" s="160" t="str">
        <f t="shared" si="69"/>
        <v>1+0.0000223465181224332i</v>
      </c>
      <c r="U143" s="160">
        <f t="shared" si="79"/>
        <v>1.0000000002496834</v>
      </c>
      <c r="V143" s="160">
        <f t="shared" si="80"/>
        <v>2.2346518118713497E-5</v>
      </c>
      <c r="W143" s="98" t="str">
        <f t="shared" si="70"/>
        <v>1-0.0058659610071387i</v>
      </c>
      <c r="X143" s="160">
        <f t="shared" si="81"/>
        <v>1.0000172046012694</v>
      </c>
      <c r="Y143" s="160">
        <f t="shared" si="82"/>
        <v>-5.8658937269355097E-3</v>
      </c>
      <c r="Z143" s="98" t="str">
        <f t="shared" si="71"/>
        <v>0.99999736262575-0.00043770126321896i</v>
      </c>
      <c r="AA143" s="160">
        <f t="shared" si="83"/>
        <v>0.99999745841719589</v>
      </c>
      <c r="AB143" s="160">
        <f t="shared" si="84"/>
        <v>-4.3770238965187521E-4</v>
      </c>
      <c r="AC143" s="171" t="str">
        <f t="shared" si="85"/>
        <v>19.4192064523406-5.07142729600449i</v>
      </c>
      <c r="AD143" s="190">
        <f t="shared" si="86"/>
        <v>26.051163662353481</v>
      </c>
      <c r="AE143" s="169">
        <f t="shared" si="87"/>
        <v>-14.636197340851629</v>
      </c>
      <c r="AF143" s="98" t="str">
        <f t="shared" si="72"/>
        <v>-0.0000897803247373448</v>
      </c>
      <c r="AG143" s="98" t="str">
        <f t="shared" si="73"/>
        <v>0.00223465181224331i</v>
      </c>
      <c r="AH143" s="98">
        <f t="shared" si="88"/>
        <v>2.2346518122433102E-3</v>
      </c>
      <c r="AI143" s="98">
        <f t="shared" si="89"/>
        <v>1.5707963267948966</v>
      </c>
      <c r="AJ143" s="98" t="str">
        <f t="shared" si="74"/>
        <v>1+0.26257158793859i</v>
      </c>
      <c r="AK143" s="98">
        <f t="shared" si="90"/>
        <v>1.0338974024498722</v>
      </c>
      <c r="AL143" s="98">
        <f t="shared" si="91"/>
        <v>0.25677530233102236</v>
      </c>
      <c r="AM143" s="98" t="str">
        <f t="shared" si="75"/>
        <v>1+0.525143175877182i</v>
      </c>
      <c r="AN143" s="98">
        <f t="shared" si="92"/>
        <v>1.1295022599226496</v>
      </c>
      <c r="AO143" s="98">
        <f t="shared" si="93"/>
        <v>0.48355923473941831</v>
      </c>
      <c r="AP143" s="168" t="str">
        <f t="shared" si="94"/>
        <v>-0.00986879550992479+0.0427676920093035i</v>
      </c>
      <c r="AQ143" s="98">
        <f t="shared" si="95"/>
        <v>-27.152380642277638</v>
      </c>
      <c r="AR143" s="169">
        <f t="shared" si="96"/>
        <v>102.9937621883812</v>
      </c>
      <c r="AS143" s="168" t="str">
        <f t="shared" si="97"/>
        <v>0.0252490631999334+0.880563519546501i</v>
      </c>
      <c r="AT143" s="190">
        <f t="shared" si="98"/>
        <v>-1.1012169799241605</v>
      </c>
      <c r="AU143" s="169">
        <f t="shared" si="99"/>
        <v>88.357564847529574</v>
      </c>
      <c r="AV143" s="225"/>
      <c r="AX143">
        <f t="shared" si="100"/>
        <v>0</v>
      </c>
      <c r="AY143">
        <f t="shared" si="101"/>
        <v>0</v>
      </c>
    </row>
    <row r="144" spans="14:51" x14ac:dyDescent="0.3">
      <c r="N144" s="170">
        <v>26</v>
      </c>
      <c r="O144" s="199">
        <f t="shared" si="102"/>
        <v>181.9700858609983</v>
      </c>
      <c r="P144" s="189" t="str">
        <f t="shared" si="67"/>
        <v>20.7142857142857</v>
      </c>
      <c r="Q144" s="160" t="str">
        <f t="shared" si="68"/>
        <v>1+0.261337547389264i</v>
      </c>
      <c r="R144" s="160">
        <f t="shared" si="77"/>
        <v>1.0335846910995905</v>
      </c>
      <c r="S144" s="160">
        <f t="shared" si="78"/>
        <v>0.25562050435360045</v>
      </c>
      <c r="T144" s="160" t="str">
        <f t="shared" si="69"/>
        <v>1+0.0000228670353965606i</v>
      </c>
      <c r="U144" s="160">
        <f t="shared" si="79"/>
        <v>1.0000000002614506</v>
      </c>
      <c r="V144" s="160">
        <f t="shared" si="80"/>
        <v>2.2867035392574867E-5</v>
      </c>
      <c r="W144" s="98" t="str">
        <f t="shared" si="70"/>
        <v>1-0.00600259679159714i</v>
      </c>
      <c r="X144" s="160">
        <f t="shared" si="81"/>
        <v>1.0000180154218437</v>
      </c>
      <c r="Y144" s="160">
        <f t="shared" si="82"/>
        <v>-6.0025246996307053E-3</v>
      </c>
      <c r="Z144" s="98" t="str">
        <f t="shared" si="71"/>
        <v>0.999997238330131-0.000447896635364393i</v>
      </c>
      <c r="AA144" s="160">
        <f t="shared" si="83"/>
        <v>0.99999733863610085</v>
      </c>
      <c r="AB144" s="160">
        <f t="shared" si="84"/>
        <v>-4.4789784235915037E-4</v>
      </c>
      <c r="AC144" s="171" t="str">
        <f t="shared" si="85"/>
        <v>19.362073285795-5.17462498324076i</v>
      </c>
      <c r="AD144" s="190">
        <f t="shared" si="86"/>
        <v>26.038657478337278</v>
      </c>
      <c r="AE144" s="169">
        <f t="shared" si="87"/>
        <v>-14.962922547540478</v>
      </c>
      <c r="AF144" s="98" t="str">
        <f t="shared" si="72"/>
        <v>-0.0000897803247373448</v>
      </c>
      <c r="AG144" s="98" t="str">
        <f t="shared" si="73"/>
        <v>0.00228670353965606i</v>
      </c>
      <c r="AH144" s="98">
        <f t="shared" si="88"/>
        <v>2.28670353965606E-3</v>
      </c>
      <c r="AI144" s="98">
        <f t="shared" si="89"/>
        <v>1.5707963267948966</v>
      </c>
      <c r="AJ144" s="98" t="str">
        <f t="shared" si="74"/>
        <v>1+0.268687665909587i</v>
      </c>
      <c r="AK144" s="98">
        <f t="shared" si="90"/>
        <v>1.0354675571025591</v>
      </c>
      <c r="AL144" s="98">
        <f t="shared" si="91"/>
        <v>0.26248826564607242</v>
      </c>
      <c r="AM144" s="98" t="str">
        <f t="shared" si="75"/>
        <v>1+0.537375331819175i</v>
      </c>
      <c r="AN144" s="98">
        <f t="shared" si="92"/>
        <v>1.1352410524852281</v>
      </c>
      <c r="AO144" s="98">
        <f t="shared" si="93"/>
        <v>0.49309892786428722</v>
      </c>
      <c r="AP144" s="168" t="str">
        <f t="shared" si="94"/>
        <v>-0.00983888865948319+0.0419054876064973i</v>
      </c>
      <c r="AQ144" s="98">
        <f t="shared" si="95"/>
        <v>-27.321542014673724</v>
      </c>
      <c r="AR144" s="169">
        <f t="shared" si="96"/>
        <v>103.21301765582076</v>
      </c>
      <c r="AS144" s="168" t="str">
        <f t="shared" si="97"/>
        <v>0.0263438998277761+0.862289681178661i</v>
      </c>
      <c r="AT144" s="190">
        <f t="shared" si="98"/>
        <v>-1.2828845363364487</v>
      </c>
      <c r="AU144" s="169">
        <f t="shared" si="99"/>
        <v>88.250095108280306</v>
      </c>
      <c r="AV144" s="225"/>
      <c r="AX144">
        <f t="shared" si="100"/>
        <v>0</v>
      </c>
      <c r="AY144">
        <f t="shared" si="101"/>
        <v>0</v>
      </c>
    </row>
    <row r="145" spans="14:51" x14ac:dyDescent="0.3">
      <c r="N145" s="170">
        <v>27</v>
      </c>
      <c r="O145" s="199">
        <f t="shared" si="102"/>
        <v>186.20871366628685</v>
      </c>
      <c r="P145" s="189" t="str">
        <f t="shared" si="67"/>
        <v>20.7142857142857</v>
      </c>
      <c r="Q145" s="160" t="str">
        <f t="shared" si="68"/>
        <v>1+0.267424880863273i</v>
      </c>
      <c r="R145" s="160">
        <f t="shared" si="77"/>
        <v>1.0351406024810039</v>
      </c>
      <c r="S145" s="160">
        <f t="shared" si="78"/>
        <v>0.2613101343553188</v>
      </c>
      <c r="T145" s="160" t="str">
        <f t="shared" si="69"/>
        <v>1+0.0000233996770755364i</v>
      </c>
      <c r="U145" s="160">
        <f t="shared" si="79"/>
        <v>1.0000000002737726</v>
      </c>
      <c r="V145" s="160">
        <f t="shared" si="80"/>
        <v>2.3399677071265608E-5</v>
      </c>
      <c r="W145" s="98" t="str">
        <f t="shared" si="70"/>
        <v>1-0.00614241523232829i</v>
      </c>
      <c r="X145" s="160">
        <f t="shared" si="81"/>
        <v>1.0000188644545094</v>
      </c>
      <c r="Y145" s="160">
        <f t="shared" si="82"/>
        <v>-6.1423379844732047E-3</v>
      </c>
      <c r="Z145" s="98" t="str">
        <f t="shared" si="71"/>
        <v>0.99999710817664-0.000458329488234511i</v>
      </c>
      <c r="AA145" s="160">
        <f t="shared" si="83"/>
        <v>0.99999721320989809</v>
      </c>
      <c r="AB145" s="160">
        <f t="shared" si="84"/>
        <v>-4.5833078155285494E-4</v>
      </c>
      <c r="AC145" s="171" t="str">
        <f t="shared" si="85"/>
        <v>19.302598851583-5.2792525524034i</v>
      </c>
      <c r="AD145" s="190">
        <f t="shared" si="86"/>
        <v>26.025600430817612</v>
      </c>
      <c r="AE145" s="169">
        <f t="shared" si="87"/>
        <v>-15.296296763267407</v>
      </c>
      <c r="AF145" s="98" t="str">
        <f t="shared" si="72"/>
        <v>-0.0000897803247373448</v>
      </c>
      <c r="AG145" s="98" t="str">
        <f t="shared" si="73"/>
        <v>0.00233996770755365i</v>
      </c>
      <c r="AH145" s="98">
        <f t="shared" si="88"/>
        <v>2.3399677075536499E-3</v>
      </c>
      <c r="AI145" s="98">
        <f t="shared" si="89"/>
        <v>1.5707963267948966</v>
      </c>
      <c r="AJ145" s="98" t="str">
        <f t="shared" si="74"/>
        <v>1+0.274946205637553i</v>
      </c>
      <c r="AK145" s="98">
        <f t="shared" si="90"/>
        <v>1.0371091630076785</v>
      </c>
      <c r="AL145" s="98">
        <f t="shared" si="91"/>
        <v>0.26831619802756623</v>
      </c>
      <c r="AM145" s="98" t="str">
        <f t="shared" si="75"/>
        <v>1+0.549892411275107i</v>
      </c>
      <c r="AN145" s="98">
        <f t="shared" si="92"/>
        <v>1.1412193759211906</v>
      </c>
      <c r="AO145" s="98">
        <f t="shared" si="93"/>
        <v>0.50276060546703383</v>
      </c>
      <c r="AP145" s="168" t="str">
        <f t="shared" si="94"/>
        <v>-0.00980776600547734+0.041064797681487i</v>
      </c>
      <c r="AQ145" s="98">
        <f t="shared" si="95"/>
        <v>-27.489680536421716</v>
      </c>
      <c r="AR145" s="169">
        <f t="shared" si="96"/>
        <v>103.43267507672694</v>
      </c>
      <c r="AS145" s="168" t="str">
        <f t="shared" si="97"/>
        <v>0.0274760651399978+0.844434990284951i</v>
      </c>
      <c r="AT145" s="190">
        <f t="shared" si="98"/>
        <v>-1.4640801056040995</v>
      </c>
      <c r="AU145" s="169">
        <f t="shared" si="99"/>
        <v>88.136378313459531</v>
      </c>
      <c r="AV145" s="225"/>
      <c r="AX145">
        <f t="shared" si="100"/>
        <v>0</v>
      </c>
      <c r="AY145">
        <f t="shared" si="101"/>
        <v>0</v>
      </c>
    </row>
    <row r="146" spans="14:51" x14ac:dyDescent="0.3">
      <c r="N146" s="170">
        <v>28</v>
      </c>
      <c r="O146" s="199">
        <f t="shared" si="102"/>
        <v>190.54607179632498</v>
      </c>
      <c r="P146" s="189" t="str">
        <f t="shared" si="67"/>
        <v>20.7142857142857</v>
      </c>
      <c r="Q146" s="160" t="str">
        <f t="shared" si="68"/>
        <v>1+0.273654006548905i</v>
      </c>
      <c r="R146" s="160">
        <f t="shared" si="77"/>
        <v>1.0367673390400896</v>
      </c>
      <c r="S146" s="160">
        <f t="shared" si="78"/>
        <v>0.26711442139219893</v>
      </c>
      <c r="T146" s="160" t="str">
        <f t="shared" si="69"/>
        <v>1+0.0000239447255730292i</v>
      </c>
      <c r="U146" s="160">
        <f t="shared" si="79"/>
        <v>1.0000000002866749</v>
      </c>
      <c r="V146" s="160">
        <f t="shared" si="80"/>
        <v>2.3944725568452965E-5</v>
      </c>
      <c r="W146" s="98" t="str">
        <f t="shared" si="70"/>
        <v>1-0.00628549046292015i</v>
      </c>
      <c r="X146" s="160">
        <f t="shared" si="81"/>
        <v>1.0000197535000792</v>
      </c>
      <c r="Y146" s="160">
        <f t="shared" si="82"/>
        <v>-6.2854076904404425E-3</v>
      </c>
      <c r="Z146" s="98" t="str">
        <f t="shared" si="71"/>
        <v>0.999996971889204-0.000469005353466003i</v>
      </c>
      <c r="AA146" s="160">
        <f t="shared" si="83"/>
        <v>0.99999708187254177</v>
      </c>
      <c r="AB146" s="160">
        <f t="shared" si="84"/>
        <v>-4.6900673928175599E-4</v>
      </c>
      <c r="AC146" s="171" t="str">
        <f t="shared" si="85"/>
        <v>19.2407032421944-5.38528417363297i</v>
      </c>
      <c r="AD146" s="190">
        <f t="shared" si="86"/>
        <v>26.011970022548393</v>
      </c>
      <c r="AE146" s="169">
        <f t="shared" si="87"/>
        <v>-15.636412287592604</v>
      </c>
      <c r="AF146" s="98" t="str">
        <f t="shared" si="72"/>
        <v>-0.0000897803247373448</v>
      </c>
      <c r="AG146" s="98" t="str">
        <f t="shared" si="73"/>
        <v>0.00239447255730291i</v>
      </c>
      <c r="AH146" s="98">
        <f t="shared" si="88"/>
        <v>2.3944725573029099E-3</v>
      </c>
      <c r="AI146" s="98">
        <f t="shared" si="89"/>
        <v>1.5707963267948966</v>
      </c>
      <c r="AJ146" s="98" t="str">
        <f t="shared" si="74"/>
        <v>1+0.281350525483093i</v>
      </c>
      <c r="AK146" s="98">
        <f t="shared" si="90"/>
        <v>1.038825354999392</v>
      </c>
      <c r="AL146" s="98">
        <f t="shared" si="91"/>
        <v>0.27426060532549629</v>
      </c>
      <c r="AM146" s="98" t="str">
        <f t="shared" si="75"/>
        <v>1+0.562701050966188i</v>
      </c>
      <c r="AN146" s="98">
        <f t="shared" si="92"/>
        <v>1.1474460652938998</v>
      </c>
      <c r="AO146" s="98">
        <f t="shared" si="93"/>
        <v>0.51254217433349314</v>
      </c>
      <c r="AP146" s="168" t="str">
        <f t="shared" si="94"/>
        <v>-0.00977538692322065+0.0402451332572186i</v>
      </c>
      <c r="AQ146" s="98">
        <f t="shared" si="95"/>
        <v>-27.656779042438373</v>
      </c>
      <c r="AR146" s="169">
        <f t="shared" si="96"/>
        <v>103.65252823991349</v>
      </c>
      <c r="AS146" s="168" t="str">
        <f t="shared" si="97"/>
        <v>0.0286461603285329+0.826987902433471i</v>
      </c>
      <c r="AT146" s="190">
        <f t="shared" si="98"/>
        <v>-1.6448090198899732</v>
      </c>
      <c r="AU146" s="169">
        <f t="shared" si="99"/>
        <v>88.016115952320902</v>
      </c>
      <c r="AV146" s="225"/>
      <c r="AX146">
        <f t="shared" si="100"/>
        <v>0</v>
      </c>
      <c r="AY146">
        <f t="shared" si="101"/>
        <v>0</v>
      </c>
    </row>
    <row r="147" spans="14:51" x14ac:dyDescent="0.3">
      <c r="N147" s="170">
        <v>29</v>
      </c>
      <c r="O147" s="199">
        <f t="shared" si="102"/>
        <v>194.98445997580458</v>
      </c>
      <c r="P147" s="189" t="str">
        <f t="shared" ref="P147:P210" si="103">COMPLEX(Adc,0)</f>
        <v>20.7142857142857</v>
      </c>
      <c r="Q147" s="160" t="str">
        <f t="shared" ref="Q147:Q210" si="104">IMSUM(COMPLEX(1,0),IMDIV(COMPLEX(0,2*PI()*O147),COMPLEX(wp_lf,0)))</f>
        <v>1+0.280028227211045i</v>
      </c>
      <c r="R147" s="160">
        <f t="shared" si="77"/>
        <v>1.0384680101163255</v>
      </c>
      <c r="S147" s="160">
        <f t="shared" si="78"/>
        <v>0.27303487797929421</v>
      </c>
      <c r="T147" s="160" t="str">
        <f t="shared" ref="T147:T210" si="105">IMSUM(COMPLEX(1,0),IMDIV(COMPLEX(0,2*PI()*O147),COMPLEX(wz_esr,0)))</f>
        <v>1+0.0000245024698809664i</v>
      </c>
      <c r="U147" s="160">
        <f t="shared" si="79"/>
        <v>1.0000000003001857</v>
      </c>
      <c r="V147" s="160">
        <f t="shared" si="80"/>
        <v>2.4502469876062877E-5</v>
      </c>
      <c r="W147" s="98" t="str">
        <f t="shared" ref="W147:W210" si="106">IMSUB(COMPLEX(1,0),IMDIV(COMPLEX(0,2*PI()*O147),COMPLEX(wz_rhp,0)))</f>
        <v>1-0.00643189834375366i</v>
      </c>
      <c r="X147" s="160">
        <f t="shared" si="81"/>
        <v>1.000020684444229</v>
      </c>
      <c r="Y147" s="160">
        <f t="shared" si="82"/>
        <v>-6.4318096515427912E-3</v>
      </c>
      <c r="Z147" s="98" t="str">
        <f t="shared" ref="Z147:Z210" si="107">IF(Dc_Mode_Loop="CCM",IMSUM(COMPLEX(1,0),IMDIV(COMPLEX(0,2*PI()*O147),COMPLEX(Q*(wsl/2),0)),IMDIV(IMPOWER(COMPLEX(0,2*PI()*O147),2),IMPOWER(COMPLEX(wsl/2,0),2))),COMPLEX(1,0))</f>
        <v>0.999996829178738-0.000479929891543916i</v>
      </c>
      <c r="AA147" s="160">
        <f t="shared" si="83"/>
        <v>0.99999694434544695</v>
      </c>
      <c r="AB147" s="160">
        <f t="shared" si="84"/>
        <v>-4.7993137647245083E-4</v>
      </c>
      <c r="AC147" s="171" t="str">
        <f t="shared" si="85"/>
        <v>19.1763052558765-5.49269031713489i</v>
      </c>
      <c r="AD147" s="190">
        <f t="shared" si="86"/>
        <v>25.997742995337148</v>
      </c>
      <c r="AE147" s="169">
        <f t="shared" si="87"/>
        <v>-15.983359785308579</v>
      </c>
      <c r="AF147" s="98" t="str">
        <f t="shared" ref="AF147:AF210" si="108">COMPLEX(Adc_ea,0)</f>
        <v>-0.0000897803247373448</v>
      </c>
      <c r="AG147" s="98" t="str">
        <f t="shared" ref="AG147:AG210" si="109">COMPLEX(0,2*PI()*O147*wp0_ea)</f>
        <v>0.00245024698809664i</v>
      </c>
      <c r="AH147" s="98">
        <f t="shared" si="88"/>
        <v>2.4502469880966402E-3</v>
      </c>
      <c r="AI147" s="98">
        <f t="shared" si="89"/>
        <v>1.5707963267948966</v>
      </c>
      <c r="AJ147" s="98" t="str">
        <f t="shared" ref="AJ147:AJ210" si="110">IMSUM(COMPLEX(1,0),IMDIV(COMPLEX(0,2*PI()*O147),COMPLEX(wp1_ea,0)))</f>
        <v>1+0.287904021101355i</v>
      </c>
      <c r="AK147" s="98">
        <f t="shared" si="90"/>
        <v>1.0406193950558147</v>
      </c>
      <c r="AL147" s="98">
        <f t="shared" si="91"/>
        <v>0.28032295826343567</v>
      </c>
      <c r="AM147" s="98" t="str">
        <f t="shared" ref="AM147:AM210" si="111">IMSUM(COMPLEX(1,0),IMDIV(COMPLEX(0,2*PI()*O147),COMPLEX(wz_ea,0)))</f>
        <v>1+0.575808042202712i</v>
      </c>
      <c r="AN147" s="98">
        <f t="shared" si="92"/>
        <v>1.1539301978305794</v>
      </c>
      <c r="AO147" s="98">
        <f t="shared" si="93"/>
        <v>0.52244133292993522</v>
      </c>
      <c r="AP147" s="168" t="str">
        <f t="shared" si="94"/>
        <v>-0.00974171021410296+0.0394460141811465i</v>
      </c>
      <c r="AQ147" s="98">
        <f t="shared" si="95"/>
        <v>-27.822821386466842</v>
      </c>
      <c r="AR147" s="169">
        <f t="shared" si="96"/>
        <v>103.87236101095765</v>
      </c>
      <c r="AS147" s="168" t="str">
        <f t="shared" si="97"/>
        <v>0.0298547313624206+0.809937006430636i</v>
      </c>
      <c r="AT147" s="190">
        <f t="shared" si="98"/>
        <v>-1.8250783911296977</v>
      </c>
      <c r="AU147" s="169">
        <f t="shared" si="99"/>
        <v>87.889001225649082</v>
      </c>
      <c r="AV147" s="225"/>
      <c r="AX147">
        <f t="shared" si="100"/>
        <v>0</v>
      </c>
      <c r="AY147">
        <f t="shared" si="101"/>
        <v>0</v>
      </c>
    </row>
    <row r="148" spans="14:51" x14ac:dyDescent="0.3">
      <c r="N148" s="170">
        <v>30</v>
      </c>
      <c r="O148" s="199">
        <f t="shared" si="102"/>
        <v>199.52623149688802</v>
      </c>
      <c r="P148" s="189" t="str">
        <f t="shared" si="103"/>
        <v>20.7142857142857</v>
      </c>
      <c r="Q148" s="160" t="str">
        <f t="shared" si="104"/>
        <v>1+0.286550922545865i</v>
      </c>
      <c r="R148" s="160">
        <f t="shared" ref="R148:R211" si="112">IMABS(Q148)</f>
        <v>1.0402458513312545</v>
      </c>
      <c r="S148" s="160">
        <f t="shared" ref="S148:S211" si="113">IMARGUMENT(Q148)</f>
        <v>0.27907298237688227</v>
      </c>
      <c r="T148" s="160" t="str">
        <f t="shared" si="105"/>
        <v>1+0.0000250732057227632i</v>
      </c>
      <c r="U148" s="160">
        <f t="shared" ref="U148:U211" si="114">IMABS(T148)</f>
        <v>1.0000000003143328</v>
      </c>
      <c r="V148" s="160">
        <f t="shared" ref="V148:V211" si="115">IMARGUMENT(T148)</f>
        <v>2.5073205717508981E-5</v>
      </c>
      <c r="W148" s="98" t="str">
        <f t="shared" si="106"/>
        <v>1-0.00658171650222532i</v>
      </c>
      <c r="X148" s="160">
        <f t="shared" ref="X148:X211" si="116">IMABS(W148)</f>
        <v>1.0000216592614961</v>
      </c>
      <c r="Y148" s="160">
        <f t="shared" ref="Y148:Y211" si="117">IMARGUMENT(W148)</f>
        <v>-6.5816214669203186E-3</v>
      </c>
      <c r="Z148" s="98" t="str">
        <f t="shared" si="107"/>
        <v>0.999996679742536-0.000491108894802953i</v>
      </c>
      <c r="AA148" s="160">
        <f t="shared" ref="AA148:AA211" si="118">IMABS(Z148)</f>
        <v>0.99999680033690241</v>
      </c>
      <c r="AB148" s="160">
        <f t="shared" ref="AB148:AB211" si="119">IMARGUMENT(Z148)</f>
        <v>-4.9111048593277113E-4</v>
      </c>
      <c r="AC148" s="171" t="str">
        <f t="shared" ref="AC148:AC211" si="120">(IMDIV(IMPRODUCT(P148,T148,W148),IMPRODUCT(Q148,Z148)))</f>
        <v>19.1093225142204-5.60143755969237i</v>
      </c>
      <c r="AD148" s="190">
        <f t="shared" ref="AD148:AD211" si="121">20*LOG(IMABS(AC148))</f>
        <v>25.982895318391556</v>
      </c>
      <c r="AE148" s="169">
        <f t="shared" ref="AE148:AE211" si="122">(180/PI())*IMARGUMENT(AC148)</f>
        <v>-16.33722805174644</v>
      </c>
      <c r="AF148" s="98" t="str">
        <f t="shared" si="108"/>
        <v>-0.0000897803247373448</v>
      </c>
      <c r="AG148" s="98" t="str">
        <f t="shared" si="109"/>
        <v>0.00250732057227632i</v>
      </c>
      <c r="AH148" s="98">
        <f t="shared" ref="AH148:AH211" si="123">IMABS(AG148)</f>
        <v>2.50732057227632E-3</v>
      </c>
      <c r="AI148" s="98">
        <f t="shared" ref="AI148:AI211" si="124">IMARGUMENT(AG148)</f>
        <v>1.5707963267948966</v>
      </c>
      <c r="AJ148" s="98" t="str">
        <f t="shared" si="110"/>
        <v>1+0.294610167242468i</v>
      </c>
      <c r="AK148" s="98">
        <f t="shared" ref="AK148:AK211" si="125">IMABS(AJ148)</f>
        <v>1.0424946765536192</v>
      </c>
      <c r="AL148" s="98">
        <f t="shared" ref="AL148:AL211" si="126">IMARGUMENT(AJ148)</f>
        <v>0.28650468805019752</v>
      </c>
      <c r="AM148" s="98" t="str">
        <f t="shared" si="111"/>
        <v>1+0.589220334484937i</v>
      </c>
      <c r="AN148" s="98">
        <f t="shared" ref="AN148:AN211" si="127">IMABS(AM148)</f>
        <v>1.160681094259117</v>
      </c>
      <c r="AO148" s="98">
        <f t="shared" ref="AO148:AO211" si="128">IMARGUMENT(AM148)</f>
        <v>0.53245556885368617</v>
      </c>
      <c r="AP148" s="168" t="str">
        <f t="shared" ref="AP148:AP211" si="129">IMPRODUCT(AF148,IMDIV(AM148,IMPRODUCT(AG148,AJ148)))</f>
        <v>-0.00970669417359856+0.0386669687821805i</v>
      </c>
      <c r="AQ148" s="98">
        <f t="shared" ref="AQ148:AQ211" si="130">20*LOG(IMABS(AP148))</f>
        <v>-27.98779255104229</v>
      </c>
      <c r="AR148" s="169">
        <f t="shared" ref="AR148:AR211" si="131">(180/PI())*IMARGUMENT(AP148)</f>
        <v>104.09194743756505</v>
      </c>
      <c r="AS148" s="168" t="str">
        <f t="shared" ref="AS148:AS211" si="132">IMPRODUCT(AC148,AP148)</f>
        <v>0.0311022617457593+0.793271018430421i</v>
      </c>
      <c r="AT148" s="190">
        <f t="shared" ref="AT148:AT211" si="133">20*LOG(IMABS(AS148))</f>
        <v>-2.0048972326507379</v>
      </c>
      <c r="AU148" s="169">
        <f t="shared" ref="AU148:AU211" si="134">(180/PI())*IMARGUMENT(AS148)</f>
        <v>87.754719385818618</v>
      </c>
      <c r="AV148" s="225"/>
      <c r="AX148">
        <f t="shared" ref="AX148:AX211" si="135">SUM((AT149&lt;0)*(AT148&gt;0))*O148</f>
        <v>0</v>
      </c>
      <c r="AY148">
        <f t="shared" ref="AY148:AY211" si="136">IF(AX148&gt;0,AU148,0)</f>
        <v>0</v>
      </c>
    </row>
    <row r="149" spans="14:51" x14ac:dyDescent="0.3">
      <c r="N149" s="170">
        <v>31</v>
      </c>
      <c r="O149" s="199">
        <f t="shared" si="102"/>
        <v>204.17379446695315</v>
      </c>
      <c r="P149" s="189" t="str">
        <f t="shared" si="103"/>
        <v>20.7142857142857</v>
      </c>
      <c r="Q149" s="160" t="str">
        <f t="shared" si="104"/>
        <v>1+0.293225550972768i</v>
      </c>
      <c r="R149" s="160">
        <f t="shared" si="112"/>
        <v>1.0421042288289992</v>
      </c>
      <c r="S149" s="160">
        <f t="shared" si="113"/>
        <v>0.28523017424561942</v>
      </c>
      <c r="T149" s="160" t="str">
        <f t="shared" si="105"/>
        <v>1+0.0000256572357101172i</v>
      </c>
      <c r="U149" s="160">
        <f t="shared" si="114"/>
        <v>1.0000000003291469</v>
      </c>
      <c r="V149" s="160">
        <f t="shared" si="115"/>
        <v>2.5657235704487204E-5</v>
      </c>
      <c r="W149" s="98" t="str">
        <f t="shared" si="106"/>
        <v>1-0.00673502437390575i</v>
      </c>
      <c r="X149" s="160">
        <f t="shared" si="116"/>
        <v>1.0000226800194669</v>
      </c>
      <c r="Y149" s="160">
        <f t="shared" si="117"/>
        <v>-6.7349225418664952E-3</v>
      </c>
      <c r="Z149" s="98" t="str">
        <f t="shared" si="107"/>
        <v>0.999996523263623-0.000502548290498606i</v>
      </c>
      <c r="AA149" s="160">
        <f t="shared" si="118"/>
        <v>0.99999664954144629</v>
      </c>
      <c r="AB149" s="160">
        <f t="shared" si="119"/>
        <v>-5.0254999542517689E-4</v>
      </c>
      <c r="AC149" s="171" t="str">
        <f t="shared" si="120"/>
        <v>19.0396715952365-5.7114883893838i</v>
      </c>
      <c r="AD149" s="190">
        <f t="shared" si="121"/>
        <v>25.967402177851767</v>
      </c>
      <c r="AE149" s="169">
        <f t="shared" si="122"/>
        <v>-16.698103765999598</v>
      </c>
      <c r="AF149" s="98" t="str">
        <f t="shared" si="108"/>
        <v>-0.0000897803247373448</v>
      </c>
      <c r="AG149" s="98" t="str">
        <f t="shared" si="109"/>
        <v>0.00256572357101173i</v>
      </c>
      <c r="AH149" s="98">
        <f t="shared" si="123"/>
        <v>2.5657235710117299E-3</v>
      </c>
      <c r="AI149" s="98">
        <f t="shared" si="124"/>
        <v>1.5707963267948966</v>
      </c>
      <c r="AJ149" s="98" t="str">
        <f t="shared" si="110"/>
        <v>1+0.301472519593877i</v>
      </c>
      <c r="AK149" s="98">
        <f t="shared" si="125"/>
        <v>1.0444547285882144</v>
      </c>
      <c r="AL149" s="98">
        <f t="shared" si="126"/>
        <v>0.29280718177812415</v>
      </c>
      <c r="AM149" s="98" t="str">
        <f t="shared" si="111"/>
        <v>1+0.602945039187756i</v>
      </c>
      <c r="AN149" s="98">
        <f t="shared" si="127"/>
        <v>1.1677083198646503</v>
      </c>
      <c r="AO149" s="98">
        <f t="shared" si="128"/>
        <v>0.54258215698462275</v>
      </c>
      <c r="AP149" s="168" t="str">
        <f t="shared" si="129"/>
        <v>-0.00967029666752837+0.0379075335328831i</v>
      </c>
      <c r="AQ149" s="98">
        <f t="shared" si="130"/>
        <v>-28.151678759680188</v>
      </c>
      <c r="AR149" s="169">
        <f t="shared" si="131"/>
        <v>104.31105190731716</v>
      </c>
      <c r="AS149" s="168" t="str">
        <f t="shared" si="132"/>
        <v>0.0323891648649888+0.776978776589994i</v>
      </c>
      <c r="AT149" s="190">
        <f t="shared" si="133"/>
        <v>-2.1842765818284318</v>
      </c>
      <c r="AU149" s="169">
        <f t="shared" si="134"/>
        <v>87.612948141317574</v>
      </c>
      <c r="AV149" s="225"/>
      <c r="AX149">
        <f t="shared" si="135"/>
        <v>0</v>
      </c>
      <c r="AY149">
        <f t="shared" si="136"/>
        <v>0</v>
      </c>
    </row>
    <row r="150" spans="14:51" x14ac:dyDescent="0.3">
      <c r="N150" s="170">
        <v>32</v>
      </c>
      <c r="O150" s="199">
        <f t="shared" si="102"/>
        <v>208.92961308540396</v>
      </c>
      <c r="P150" s="189" t="str">
        <f t="shared" si="103"/>
        <v>20.7142857142857</v>
      </c>
      <c r="Q150" s="160" t="str">
        <f t="shared" si="104"/>
        <v>1+0.300055651468098i</v>
      </c>
      <c r="R150" s="160">
        <f t="shared" si="112"/>
        <v>1.044046643583487</v>
      </c>
      <c r="S150" s="160">
        <f t="shared" si="113"/>
        <v>0.29150785008855856</v>
      </c>
      <c r="T150" s="160" t="str">
        <f t="shared" si="105"/>
        <v>1+0.0000262548695034586i</v>
      </c>
      <c r="U150" s="160">
        <f t="shared" si="114"/>
        <v>1.000000000344659</v>
      </c>
      <c r="V150" s="160">
        <f t="shared" si="115"/>
        <v>2.6254869497425946E-5</v>
      </c>
      <c r="W150" s="98" t="str">
        <f t="shared" si="106"/>
        <v>1-0.00689190324465786i</v>
      </c>
      <c r="X150" s="160">
        <f t="shared" si="116"/>
        <v>1.0000237488831623</v>
      </c>
      <c r="Y150" s="160">
        <f t="shared" si="117"/>
        <v>-6.8917941298018599E-3</v>
      </c>
      <c r="Z150" s="98" t="str">
        <f t="shared" si="107"/>
        <v>0.999996359410085-0.000514254143949899i</v>
      </c>
      <c r="AA150" s="160">
        <f t="shared" si="118"/>
        <v>0.99999649163922</v>
      </c>
      <c r="AB150" s="160">
        <f t="shared" si="119"/>
        <v>-5.1425597081191884E-4</v>
      </c>
      <c r="AC150" s="171" t="str">
        <f t="shared" si="120"/>
        <v>18.9672681828018-5.82280100942198i</v>
      </c>
      <c r="AD150" s="190">
        <f t="shared" si="121"/>
        <v>25.951237967658955</v>
      </c>
      <c r="AE150" s="169">
        <f t="shared" si="122"/>
        <v>-17.06607123198653</v>
      </c>
      <c r="AF150" s="98" t="str">
        <f t="shared" si="108"/>
        <v>-0.0000897803247373448</v>
      </c>
      <c r="AG150" s="98" t="str">
        <f t="shared" si="109"/>
        <v>0.00262548695034585i</v>
      </c>
      <c r="AH150" s="98">
        <f t="shared" si="123"/>
        <v>2.62548695034585E-3</v>
      </c>
      <c r="AI150" s="98">
        <f t="shared" si="124"/>
        <v>1.5707963267948966</v>
      </c>
      <c r="AJ150" s="98" t="str">
        <f t="shared" si="110"/>
        <v>1+0.308494716665639i</v>
      </c>
      <c r="AK150" s="98">
        <f t="shared" si="125"/>
        <v>1.0465032203536753</v>
      </c>
      <c r="AL150" s="98">
        <f t="shared" si="126"/>
        <v>0.29923177760791336</v>
      </c>
      <c r="AM150" s="98" t="str">
        <f t="shared" si="111"/>
        <v>1+0.616989433331279i</v>
      </c>
      <c r="AN150" s="98">
        <f t="shared" si="127"/>
        <v>1.1750216852647668</v>
      </c>
      <c r="AO150" s="98">
        <f t="shared" si="128"/>
        <v>0.55281815838854254</v>
      </c>
      <c r="AP150" s="168" t="str">
        <f t="shared" si="129"/>
        <v>-0.00963247521700683+0.0371672527173185i</v>
      </c>
      <c r="AQ150" s="98">
        <f t="shared" si="130"/>
        <v>-28.314467590729052</v>
      </c>
      <c r="AR150" s="169">
        <f t="shared" si="131"/>
        <v>104.52942936072748</v>
      </c>
      <c r="AS150" s="168" t="str">
        <f t="shared" si="132"/>
        <v>0.0337157759346835+0.761049236324168i</v>
      </c>
      <c r="AT150" s="190">
        <f t="shared" si="133"/>
        <v>-2.3632296230701004</v>
      </c>
      <c r="AU150" s="169">
        <f t="shared" si="134"/>
        <v>87.46335812874095</v>
      </c>
      <c r="AV150" s="225"/>
      <c r="AX150">
        <f t="shared" si="135"/>
        <v>0</v>
      </c>
      <c r="AY150">
        <f t="shared" si="136"/>
        <v>0</v>
      </c>
    </row>
    <row r="151" spans="14:51" x14ac:dyDescent="0.3">
      <c r="N151" s="170">
        <v>33</v>
      </c>
      <c r="O151" s="199">
        <f t="shared" si="102"/>
        <v>213.79620895022339</v>
      </c>
      <c r="P151" s="189" t="str">
        <f t="shared" si="103"/>
        <v>20.7142857142857</v>
      </c>
      <c r="Q151" s="160" t="str">
        <f t="shared" si="104"/>
        <v>1+0.307044845441541i</v>
      </c>
      <c r="R151" s="160">
        <f t="shared" si="112"/>
        <v>1.0460767357666549</v>
      </c>
      <c r="S151" s="160">
        <f t="shared" si="113"/>
        <v>0.29790735847958172</v>
      </c>
      <c r="T151" s="160" t="str">
        <f t="shared" si="105"/>
        <v>1+0.0000268664239761348i</v>
      </c>
      <c r="U151" s="160">
        <f t="shared" si="114"/>
        <v>1.0000000003609024</v>
      </c>
      <c r="V151" s="160">
        <f t="shared" si="115"/>
        <v>2.6866423969670694E-5</v>
      </c>
      <c r="W151" s="98" t="str">
        <f t="shared" si="106"/>
        <v>1-0.00705243629373537i</v>
      </c>
      <c r="X151" s="160">
        <f t="shared" si="116"/>
        <v>1.0000248681196269</v>
      </c>
      <c r="Y151" s="160">
        <f t="shared" si="117"/>
        <v>-7.0523193752177063E-3</v>
      </c>
      <c r="Z151" s="98" t="str">
        <f t="shared" si="107"/>
        <v>0.999996187834369-0.000526232661755268i</v>
      </c>
      <c r="AA151" s="160">
        <f t="shared" si="118"/>
        <v>0.99999632629529445</v>
      </c>
      <c r="AB151" s="160">
        <f t="shared" si="119"/>
        <v>-5.2623461927350931E-4</v>
      </c>
      <c r="AC151" s="171" t="str">
        <f t="shared" si="120"/>
        <v>18.8920272333491-5.93532914214932i</v>
      </c>
      <c r="AD151" s="190">
        <f t="shared" si="121"/>
        <v>25.934376281921313</v>
      </c>
      <c r="AE151" s="169">
        <f t="shared" si="122"/>
        <v>-17.441212107327193</v>
      </c>
      <c r="AF151" s="98" t="str">
        <f t="shared" si="108"/>
        <v>-0.0000897803247373448</v>
      </c>
      <c r="AG151" s="98" t="str">
        <f t="shared" si="109"/>
        <v>0.00268664239761348i</v>
      </c>
      <c r="AH151" s="98">
        <f t="shared" si="123"/>
        <v>2.6866423976134798E-3</v>
      </c>
      <c r="AI151" s="98">
        <f t="shared" si="124"/>
        <v>1.5707963267948966</v>
      </c>
      <c r="AJ151" s="98" t="str">
        <f t="shared" si="110"/>
        <v>1+0.315680481719584i</v>
      </c>
      <c r="AK151" s="98">
        <f t="shared" si="125"/>
        <v>1.0486439655758806</v>
      </c>
      <c r="AL151" s="98">
        <f t="shared" si="126"/>
        <v>0.30577975974094262</v>
      </c>
      <c r="AM151" s="98" t="str">
        <f t="shared" si="111"/>
        <v>1+0.631360963439169i</v>
      </c>
      <c r="AN151" s="98">
        <f t="shared" si="127"/>
        <v>1.182631246904476</v>
      </c>
      <c r="AO151" s="98">
        <f t="shared" si="128"/>
        <v>0.5631604200202921</v>
      </c>
      <c r="AP151" s="168" t="str">
        <f t="shared" si="129"/>
        <v>-0.00959318709248641+0.0364456781050202i</v>
      </c>
      <c r="AQ151" s="98">
        <f t="shared" si="130"/>
        <v>-28.476148092268389</v>
      </c>
      <c r="AR151" s="169">
        <f t="shared" si="131"/>
        <v>104.7468255622971</v>
      </c>
      <c r="AS151" s="168" t="str">
        <f t="shared" si="132"/>
        <v>0.0350823435562535+0.745471466214042i</v>
      </c>
      <c r="AT151" s="190">
        <f t="shared" si="133"/>
        <v>-2.541771810347075</v>
      </c>
      <c r="AU151" s="169">
        <f t="shared" si="134"/>
        <v>87.305613454969915</v>
      </c>
      <c r="AV151" s="225"/>
      <c r="AX151">
        <f t="shared" si="135"/>
        <v>0</v>
      </c>
      <c r="AY151">
        <f t="shared" si="136"/>
        <v>0</v>
      </c>
    </row>
    <row r="152" spans="14:51" x14ac:dyDescent="0.3">
      <c r="N152" s="170">
        <v>34</v>
      </c>
      <c r="O152" s="199">
        <f t="shared" si="102"/>
        <v>218.77616239495524</v>
      </c>
      <c r="P152" s="189" t="str">
        <f t="shared" si="103"/>
        <v>20.7142857142857</v>
      </c>
      <c r="Q152" s="160" t="str">
        <f t="shared" si="104"/>
        <v>1+0.314196838656256i</v>
      </c>
      <c r="R152" s="160">
        <f t="shared" si="112"/>
        <v>1.0481982891712738</v>
      </c>
      <c r="S152" s="160">
        <f t="shared" si="113"/>
        <v>0.30442999507907581</v>
      </c>
      <c r="T152" s="160" t="str">
        <f t="shared" si="105"/>
        <v>1+0.0000274922233824224i</v>
      </c>
      <c r="U152" s="160">
        <f t="shared" si="114"/>
        <v>1.000000000377911</v>
      </c>
      <c r="V152" s="160">
        <f t="shared" si="115"/>
        <v>2.7492223375495988E-5</v>
      </c>
      <c r="W152" s="98" t="str">
        <f t="shared" si="106"/>
        <v>1-0.00721670863788586i</v>
      </c>
      <c r="X152" s="160">
        <f t="shared" si="116"/>
        <v>1.0000260401027385</v>
      </c>
      <c r="Y152" s="160">
        <f t="shared" si="117"/>
        <v>-7.2165833576132328E-3</v>
      </c>
      <c r="Z152" s="98" t="str">
        <f t="shared" si="107"/>
        <v>0.999996008172538-0.000538490195083415i</v>
      </c>
      <c r="AA152" s="160">
        <f t="shared" si="118"/>
        <v>0.99999615315895141</v>
      </c>
      <c r="AB152" s="160">
        <f t="shared" si="119"/>
        <v>-5.3849229260235956E-4</v>
      </c>
      <c r="AC152" s="171" t="str">
        <f t="shared" si="120"/>
        <v>18.8138631606274-6.0490218343451i</v>
      </c>
      <c r="AD152" s="190">
        <f t="shared" si="121"/>
        <v>25.916789908941851</v>
      </c>
      <c r="AE152" s="169">
        <f t="shared" si="122"/>
        <v>-17.823605120079783</v>
      </c>
      <c r="AF152" s="98" t="str">
        <f t="shared" si="108"/>
        <v>-0.0000897803247373448</v>
      </c>
      <c r="AG152" s="98" t="str">
        <f t="shared" si="109"/>
        <v>0.00274922233824224i</v>
      </c>
      <c r="AH152" s="98">
        <f t="shared" si="123"/>
        <v>2.7492223382422402E-3</v>
      </c>
      <c r="AI152" s="98">
        <f t="shared" si="124"/>
        <v>1.5707963267948966</v>
      </c>
      <c r="AJ152" s="98" t="str">
        <f t="shared" si="110"/>
        <v>1+0.323033624743463i</v>
      </c>
      <c r="AK152" s="98">
        <f t="shared" si="125"/>
        <v>1.0508809269916837</v>
      </c>
      <c r="AL152" s="98">
        <f t="shared" si="126"/>
        <v>0.31245235318158948</v>
      </c>
      <c r="AM152" s="98" t="str">
        <f t="shared" si="111"/>
        <v>1+0.646067249486928i</v>
      </c>
      <c r="AN152" s="98">
        <f t="shared" si="127"/>
        <v>1.1905473072749375</v>
      </c>
      <c r="AO152" s="98">
        <f t="shared" si="128"/>
        <v>0.57360557527115308</v>
      </c>
      <c r="AP152" s="168" t="str">
        <f t="shared" si="129"/>
        <v>-0.0095523894172897+0.035742368631611i</v>
      </c>
      <c r="AQ152" s="98">
        <f t="shared" si="130"/>
        <v>-28.636710897373678</v>
      </c>
      <c r="AR152" s="169">
        <f t="shared" si="131"/>
        <v>104.96297743197464</v>
      </c>
      <c r="AS152" s="168" t="str">
        <f t="shared" si="132"/>
        <v>0.0364890209099126+0.730234644627183i</v>
      </c>
      <c r="AT152" s="190">
        <f t="shared" si="133"/>
        <v>-2.7199209884318218</v>
      </c>
      <c r="AU152" s="169">
        <f t="shared" si="134"/>
        <v>87.13937231189486</v>
      </c>
      <c r="AV152" s="225"/>
      <c r="AX152">
        <f t="shared" si="135"/>
        <v>0</v>
      </c>
      <c r="AY152">
        <f t="shared" si="136"/>
        <v>0</v>
      </c>
    </row>
    <row r="153" spans="14:51" x14ac:dyDescent="0.3">
      <c r="N153" s="170">
        <v>35</v>
      </c>
      <c r="O153" s="199">
        <f t="shared" si="102"/>
        <v>223.87211385683412</v>
      </c>
      <c r="P153" s="189" t="str">
        <f t="shared" si="103"/>
        <v>20.7142857142857</v>
      </c>
      <c r="Q153" s="160" t="str">
        <f t="shared" si="104"/>
        <v>1+0.321515423193714i</v>
      </c>
      <c r="R153" s="160">
        <f t="shared" si="112"/>
        <v>1.0504152356813152</v>
      </c>
      <c r="S153" s="160">
        <f t="shared" si="113"/>
        <v>0.31107699743893258</v>
      </c>
      <c r="T153" s="160" t="str">
        <f t="shared" si="105"/>
        <v>1+0.00002813259952945i</v>
      </c>
      <c r="U153" s="160">
        <f t="shared" si="114"/>
        <v>1.0000000003957215</v>
      </c>
      <c r="V153" s="160">
        <f t="shared" si="115"/>
        <v>2.8132599522028218E-5</v>
      </c>
      <c r="W153" s="98" t="str">
        <f t="shared" si="106"/>
        <v>1-0.0073848073764806i</v>
      </c>
      <c r="X153" s="160">
        <f t="shared" si="116"/>
        <v>1.0000272673182404</v>
      </c>
      <c r="Y153" s="160">
        <f t="shared" si="117"/>
        <v>-7.3846731364476011E-3</v>
      </c>
      <c r="Z153" s="98" t="str">
        <f t="shared" si="107"/>
        <v>0.999995820043505-0.000551033243040756i</v>
      </c>
      <c r="AA153" s="160">
        <f t="shared" si="118"/>
        <v>0.99999597186294553</v>
      </c>
      <c r="AB153" s="160">
        <f t="shared" si="119"/>
        <v>-5.5103549057320084E-4</v>
      </c>
      <c r="AC153" s="171" t="str">
        <f t="shared" si="120"/>
        <v>18.7326900393307-6.16382326513379i</v>
      </c>
      <c r="AD153" s="190">
        <f t="shared" si="121"/>
        <v>25.898450827085266</v>
      </c>
      <c r="AE153" s="169">
        <f t="shared" si="122"/>
        <v>-18.213325773463794</v>
      </c>
      <c r="AF153" s="98" t="str">
        <f t="shared" si="108"/>
        <v>-0.0000897803247373448</v>
      </c>
      <c r="AG153" s="98" t="str">
        <f t="shared" si="109"/>
        <v>0.00281325995294499i</v>
      </c>
      <c r="AH153" s="98">
        <f t="shared" si="123"/>
        <v>2.8132599529449901E-3</v>
      </c>
      <c r="AI153" s="98">
        <f t="shared" si="124"/>
        <v>1.5707963267948966</v>
      </c>
      <c r="AJ153" s="98" t="str">
        <f t="shared" si="110"/>
        <v>1+0.330558044471038i</v>
      </c>
      <c r="AK153" s="98">
        <f t="shared" si="125"/>
        <v>1.0532182208661778</v>
      </c>
      <c r="AL153" s="98">
        <f t="shared" si="126"/>
        <v>0.31925071829337442</v>
      </c>
      <c r="AM153" s="98" t="str">
        <f t="shared" si="111"/>
        <v>1+0.661116088942077i</v>
      </c>
      <c r="AN153" s="98">
        <f t="shared" si="127"/>
        <v>1.1987804148625669</v>
      </c>
      <c r="AO153" s="98">
        <f t="shared" si="128"/>
        <v>0.58415004540039495</v>
      </c>
      <c r="AP153" s="168" t="str">
        <f t="shared" si="129"/>
        <v>-0.00951003928098814+0.0350568900866769i</v>
      </c>
      <c r="AQ153" s="98">
        <f t="shared" si="130"/>
        <v>-28.796148339013598</v>
      </c>
      <c r="AR153" s="169">
        <f t="shared" si="131"/>
        <v>105.17761343908768</v>
      </c>
      <c r="AS153" s="168" t="str">
        <f t="shared" si="132"/>
        <v>0.037935856606887+0.715328057109095i</v>
      </c>
      <c r="AT153" s="190">
        <f t="shared" si="133"/>
        <v>-2.8976975119283246</v>
      </c>
      <c r="AU153" s="169">
        <f t="shared" si="134"/>
        <v>86.9642876656239</v>
      </c>
      <c r="AV153" s="225"/>
      <c r="AX153">
        <f t="shared" si="135"/>
        <v>0</v>
      </c>
      <c r="AY153">
        <f t="shared" si="136"/>
        <v>0</v>
      </c>
    </row>
    <row r="154" spans="14:51" x14ac:dyDescent="0.3">
      <c r="N154" s="170">
        <v>36</v>
      </c>
      <c r="O154" s="199">
        <f t="shared" si="102"/>
        <v>229.08676527677744</v>
      </c>
      <c r="P154" s="189" t="str">
        <f t="shared" si="103"/>
        <v>20.7142857142857</v>
      </c>
      <c r="Q154" s="160" t="str">
        <f t="shared" si="104"/>
        <v>1+0.329004479464309i</v>
      </c>
      <c r="R154" s="160">
        <f t="shared" si="112"/>
        <v>1.0527316597821028</v>
      </c>
      <c r="S154" s="160">
        <f t="shared" si="113"/>
        <v>0.31784953960048323</v>
      </c>
      <c r="T154" s="160" t="str">
        <f t="shared" si="105"/>
        <v>1+0.000028787891953127i</v>
      </c>
      <c r="U154" s="160">
        <f t="shared" si="114"/>
        <v>1.0000000004143712</v>
      </c>
      <c r="V154" s="160">
        <f t="shared" si="115"/>
        <v>2.8787891945174414E-5</v>
      </c>
      <c r="W154" s="98" t="str">
        <f t="shared" si="106"/>
        <v>1-0.00755682163769582i</v>
      </c>
      <c r="X154" s="160">
        <f t="shared" si="116"/>
        <v>1.0000285523690131</v>
      </c>
      <c r="Y154" s="160">
        <f t="shared" si="117"/>
        <v>-7.5566777971307324E-3</v>
      </c>
      <c r="Z154" s="98" t="str">
        <f t="shared" si="107"/>
        <v>0.999995623048225-0.000563868456117343i</v>
      </c>
      <c r="AA154" s="160">
        <f t="shared" si="118"/>
        <v>0.99999578202272621</v>
      </c>
      <c r="AB154" s="160">
        <f t="shared" si="119"/>
        <v>-5.6387086439219785E-4</v>
      </c>
      <c r="AC154" s="171" t="str">
        <f t="shared" si="120"/>
        <v>18.6484218283268-6.27967255791032i</v>
      </c>
      <c r="AD154" s="190">
        <f t="shared" si="121"/>
        <v>25.879330202663414</v>
      </c>
      <c r="AE154" s="169">
        <f t="shared" si="122"/>
        <v>-18.610446038770103</v>
      </c>
      <c r="AF154" s="98" t="str">
        <f t="shared" si="108"/>
        <v>-0.0000897803247373448</v>
      </c>
      <c r="AG154" s="98" t="str">
        <f t="shared" si="109"/>
        <v>0.00287878919531269i</v>
      </c>
      <c r="AH154" s="98">
        <f t="shared" si="123"/>
        <v>2.8787891953126902E-3</v>
      </c>
      <c r="AI154" s="98">
        <f t="shared" si="124"/>
        <v>1.5707963267948966</v>
      </c>
      <c r="AJ154" s="98" t="str">
        <f t="shared" si="110"/>
        <v>1+0.338257730449242i</v>
      </c>
      <c r="AK154" s="98">
        <f t="shared" si="125"/>
        <v>1.0556601215394432</v>
      </c>
      <c r="AL154" s="98">
        <f t="shared" si="126"/>
        <v>0.32617594515453568</v>
      </c>
      <c r="AM154" s="98" t="str">
        <f t="shared" si="111"/>
        <v>1+0.676515460898486i</v>
      </c>
      <c r="AN154" s="98">
        <f t="shared" si="127"/>
        <v>1.2073413638382025</v>
      </c>
      <c r="AO154" s="98">
        <f t="shared" si="128"/>
        <v>0.59479004188596152</v>
      </c>
      <c r="AP154" s="168" t="str">
        <f t="shared" si="129"/>
        <v>-0.00946609386295218+0.0343888148095688i</v>
      </c>
      <c r="AQ154" s="98">
        <f t="shared" si="130"/>
        <v>-28.95445456379074</v>
      </c>
      <c r="AR154" s="169">
        <f t="shared" si="131"/>
        <v>105.3904540604296</v>
      </c>
      <c r="AS154" s="168" t="str">
        <f t="shared" si="132"/>
        <v>0.0394227852358414+0.700741094606835i</v>
      </c>
      <c r="AT154" s="190">
        <f t="shared" si="133"/>
        <v>-3.0751243611273198</v>
      </c>
      <c r="AU154" s="169">
        <f t="shared" si="134"/>
        <v>86.780008021659498</v>
      </c>
      <c r="AV154" s="225"/>
      <c r="AX154">
        <f t="shared" si="135"/>
        <v>0</v>
      </c>
      <c r="AY154">
        <f t="shared" si="136"/>
        <v>0</v>
      </c>
    </row>
    <row r="155" spans="14:51" x14ac:dyDescent="0.3">
      <c r="N155" s="170">
        <v>37</v>
      </c>
      <c r="O155" s="199">
        <f t="shared" si="102"/>
        <v>234.42288153199232</v>
      </c>
      <c r="P155" s="189" t="str">
        <f t="shared" si="103"/>
        <v>20.7142857142857</v>
      </c>
      <c r="Q155" s="160" t="str">
        <f t="shared" si="104"/>
        <v>1+0.336667978264802i</v>
      </c>
      <c r="R155" s="160">
        <f t="shared" si="112"/>
        <v>1.0551518031017666</v>
      </c>
      <c r="S155" s="160">
        <f t="shared" si="113"/>
        <v>0.32474872649057268</v>
      </c>
      <c r="T155" s="160" t="str">
        <f t="shared" si="105"/>
        <v>1+0.0000294584480981702i</v>
      </c>
      <c r="U155" s="160">
        <f t="shared" si="114"/>
        <v>1.0000000004339</v>
      </c>
      <c r="V155" s="160">
        <f t="shared" si="115"/>
        <v>2.9458448089648853E-5</v>
      </c>
      <c r="W155" s="98" t="str">
        <f t="shared" si="106"/>
        <v>1-0.00773284262576966i</v>
      </c>
      <c r="X155" s="160">
        <f t="shared" si="116"/>
        <v>1.0000298979805928</v>
      </c>
      <c r="Y155" s="160">
        <f t="shared" si="117"/>
        <v>-7.7326884980761634E-3</v>
      </c>
      <c r="Z155" s="98" t="str">
        <f t="shared" si="107"/>
        <v>0.999995416768843-0.000577002639713042i</v>
      </c>
      <c r="AA155" s="160">
        <f t="shared" si="118"/>
        <v>0.99999558323561533</v>
      </c>
      <c r="AB155" s="160">
        <f t="shared" si="119"/>
        <v>-5.7700522022654784E-4</v>
      </c>
      <c r="AC155" s="171" t="str">
        <f t="shared" si="120"/>
        <v>18.5609726141555-6.39650359784218i</v>
      </c>
      <c r="AD155" s="190">
        <f t="shared" si="121"/>
        <v>25.859398390031117</v>
      </c>
      <c r="AE155" s="169">
        <f t="shared" si="122"/>
        <v>-19.015034036764703</v>
      </c>
      <c r="AF155" s="98" t="str">
        <f t="shared" si="108"/>
        <v>-0.0000897803247373448</v>
      </c>
      <c r="AG155" s="98" t="str">
        <f t="shared" si="109"/>
        <v>0.00294584480981703i</v>
      </c>
      <c r="AH155" s="98">
        <f t="shared" si="123"/>
        <v>2.9458448098170298E-3</v>
      </c>
      <c r="AI155" s="98">
        <f t="shared" si="124"/>
        <v>1.5707963267948966</v>
      </c>
      <c r="AJ155" s="98" t="str">
        <f t="shared" si="110"/>
        <v>1+0.3461367651535i</v>
      </c>
      <c r="AK155" s="98">
        <f t="shared" si="125"/>
        <v>1.0582110659934194</v>
      </c>
      <c r="AL155" s="98">
        <f t="shared" si="126"/>
        <v>0.33322904772039108</v>
      </c>
      <c r="AM155" s="98" t="str">
        <f t="shared" si="111"/>
        <v>1+0.692273530307001i</v>
      </c>
      <c r="AN155" s="98">
        <f t="shared" si="127"/>
        <v>1.2162411934989368</v>
      </c>
      <c r="AO155" s="98">
        <f t="shared" si="128"/>
        <v>0.60552156972328608</v>
      </c>
      <c r="AP155" s="168" t="str">
        <f t="shared" si="129"/>
        <v>-0.00942051056634823+0.0337377213938804i</v>
      </c>
      <c r="AQ155" s="98">
        <f t="shared" si="130"/>
        <v>-29.111625643687574</v>
      </c>
      <c r="AR155" s="169">
        <f t="shared" si="131"/>
        <v>105.601212303739</v>
      </c>
      <c r="AS155" s="168" t="str">
        <f t="shared" si="132"/>
        <v>0.040949617645601+0.686463252586979i</v>
      </c>
      <c r="AT155" s="190">
        <f t="shared" si="133"/>
        <v>-3.2522272536564563</v>
      </c>
      <c r="AU155" s="169">
        <f t="shared" si="134"/>
        <v>86.586178266974315</v>
      </c>
      <c r="AV155" s="225"/>
      <c r="AX155">
        <f t="shared" si="135"/>
        <v>0</v>
      </c>
      <c r="AY155">
        <f t="shared" si="136"/>
        <v>0</v>
      </c>
    </row>
    <row r="156" spans="14:51" x14ac:dyDescent="0.3">
      <c r="N156" s="170">
        <v>38</v>
      </c>
      <c r="O156" s="199">
        <f t="shared" si="102"/>
        <v>239.88329190194912</v>
      </c>
      <c r="P156" s="189" t="str">
        <f t="shared" si="103"/>
        <v>20.7142857142857</v>
      </c>
      <c r="Q156" s="160" t="str">
        <f t="shared" si="104"/>
        <v>1+0.344509982883703i</v>
      </c>
      <c r="R156" s="160">
        <f t="shared" si="112"/>
        <v>1.0576800689747961</v>
      </c>
      <c r="S156" s="160">
        <f t="shared" si="113"/>
        <v>0.33177558812276392</v>
      </c>
      <c r="T156" s="160" t="str">
        <f t="shared" si="105"/>
        <v>1+0.000030144623502324i</v>
      </c>
      <c r="U156" s="160">
        <f t="shared" si="114"/>
        <v>1.000000000454349</v>
      </c>
      <c r="V156" s="160">
        <f t="shared" si="115"/>
        <v>3.0144623493193213E-5</v>
      </c>
      <c r="W156" s="98" t="str">
        <f t="shared" si="106"/>
        <v>1-0.00791296366936003i</v>
      </c>
      <c r="X156" s="160">
        <f t="shared" si="116"/>
        <v>1.000031307006952</v>
      </c>
      <c r="Y156" s="160">
        <f t="shared" si="117"/>
        <v>-7.9127985188402125E-3</v>
      </c>
      <c r="Z156" s="98" t="str">
        <f t="shared" si="107"/>
        <v>0.999995200767813-0.000590442757745855i</v>
      </c>
      <c r="AA156" s="160">
        <f t="shared" si="118"/>
        <v>0.99999537507995961</v>
      </c>
      <c r="AB156" s="160">
        <f t="shared" si="119"/>
        <v>-5.9044552281646231E-4</v>
      </c>
      <c r="AC156" s="171" t="str">
        <f t="shared" si="120"/>
        <v>18.4702568753656-6.51424485663801i</v>
      </c>
      <c r="AD156" s="190">
        <f t="shared" si="121"/>
        <v>25.838624934083469</v>
      </c>
      <c r="AE156" s="169">
        <f t="shared" si="122"/>
        <v>-19.427153707981063</v>
      </c>
      <c r="AF156" s="98" t="str">
        <f t="shared" si="108"/>
        <v>-0.0000897803247373448</v>
      </c>
      <c r="AG156" s="98" t="str">
        <f t="shared" si="109"/>
        <v>0.0030144623502324i</v>
      </c>
      <c r="AH156" s="98">
        <f t="shared" si="123"/>
        <v>3.0144623502323998E-3</v>
      </c>
      <c r="AI156" s="98">
        <f t="shared" si="124"/>
        <v>1.5707963267948966</v>
      </c>
      <c r="AJ156" s="98" t="str">
        <f t="shared" si="110"/>
        <v>1+0.354199326152307i</v>
      </c>
      <c r="AK156" s="98">
        <f t="shared" si="125"/>
        <v>1.0608756584288039</v>
      </c>
      <c r="AL156" s="98">
        <f t="shared" si="126"/>
        <v>0.34041095780177177</v>
      </c>
      <c r="AM156" s="98" t="str">
        <f t="shared" si="111"/>
        <v>1+0.708398652304616i</v>
      </c>
      <c r="AN156" s="98">
        <f t="shared" si="127"/>
        <v>1.2254911874783092</v>
      </c>
      <c r="AO156" s="98">
        <f t="shared" si="128"/>
        <v>0.61634043169469077</v>
      </c>
      <c r="AP156" s="168" t="str">
        <f t="shared" si="129"/>
        <v>-0.00937324716280573+0.0331031944014158i</v>
      </c>
      <c r="AQ156" s="98">
        <f t="shared" si="130"/>
        <v>-29.267659684937101</v>
      </c>
      <c r="AR156" s="169">
        <f t="shared" si="131"/>
        <v>105.80959429732943</v>
      </c>
      <c r="AS156" s="168" t="str">
        <f t="shared" si="132"/>
        <v>0.0425160310143974+0.672484131109618i</v>
      </c>
      <c r="AT156" s="190">
        <f t="shared" si="133"/>
        <v>-3.4290347508536358</v>
      </c>
      <c r="AU156" s="169">
        <f t="shared" si="134"/>
        <v>86.382440589348377</v>
      </c>
      <c r="AV156" s="225"/>
      <c r="AX156">
        <f t="shared" si="135"/>
        <v>0</v>
      </c>
      <c r="AY156">
        <f t="shared" si="136"/>
        <v>0</v>
      </c>
    </row>
    <row r="157" spans="14:51" x14ac:dyDescent="0.3">
      <c r="N157" s="170">
        <v>39</v>
      </c>
      <c r="O157" s="199">
        <f t="shared" si="102"/>
        <v>245.4708915685033</v>
      </c>
      <c r="P157" s="189" t="str">
        <f t="shared" si="103"/>
        <v>20.7142857142857</v>
      </c>
      <c r="Q157" s="160" t="str">
        <f t="shared" si="104"/>
        <v>1+0.352534651255655i</v>
      </c>
      <c r="R157" s="160">
        <f t="shared" si="112"/>
        <v>1.0603210270177359</v>
      </c>
      <c r="S157" s="160">
        <f t="shared" si="113"/>
        <v>0.33893107361252295</v>
      </c>
      <c r="T157" s="160" t="str">
        <f t="shared" si="105"/>
        <v>1+0.0000308467819848698i</v>
      </c>
      <c r="U157" s="160">
        <f t="shared" si="114"/>
        <v>1.0000000004757619</v>
      </c>
      <c r="V157" s="160">
        <f t="shared" si="115"/>
        <v>3.0846781975085978E-5</v>
      </c>
      <c r="W157" s="98" t="str">
        <f t="shared" si="106"/>
        <v>1-0.0080972802710283i</v>
      </c>
      <c r="X157" s="160">
        <f t="shared" si="116"/>
        <v>1.0000327824365496</v>
      </c>
      <c r="Y157" s="160">
        <f t="shared" si="117"/>
        <v>-8.0971033093713528E-3</v>
      </c>
      <c r="Z157" s="98" t="str">
        <f t="shared" si="107"/>
        <v>0.999994974586968-0.000604195936344255i</v>
      </c>
      <c r="AA157" s="160">
        <f t="shared" si="118"/>
        <v>0.99999515711423326</v>
      </c>
      <c r="AB157" s="160">
        <f t="shared" si="119"/>
        <v>-6.0419889917142874E-4</v>
      </c>
      <c r="AC157" s="171" t="str">
        <f t="shared" si="120"/>
        <v>18.3761897681644-6.63281922641773i</v>
      </c>
      <c r="AD157" s="190">
        <f t="shared" si="121"/>
        <v>25.816978575356874</v>
      </c>
      <c r="AE157" s="169">
        <f t="shared" si="122"/>
        <v>-19.84686447241598</v>
      </c>
      <c r="AF157" s="98" t="str">
        <f t="shared" si="108"/>
        <v>-0.0000897803247373448</v>
      </c>
      <c r="AG157" s="98" t="str">
        <f t="shared" si="109"/>
        <v>0.00308467819848699i</v>
      </c>
      <c r="AH157" s="98">
        <f t="shared" si="123"/>
        <v>3.0846781984869899E-3</v>
      </c>
      <c r="AI157" s="98">
        <f t="shared" si="124"/>
        <v>1.5707963267948966</v>
      </c>
      <c r="AJ157" s="98" t="str">
        <f t="shared" si="110"/>
        <v>1+0.36244968832222i</v>
      </c>
      <c r="AK157" s="98">
        <f t="shared" si="125"/>
        <v>1.0636586748411703</v>
      </c>
      <c r="AL157" s="98">
        <f t="shared" si="126"/>
        <v>0.34772251887094469</v>
      </c>
      <c r="AM157" s="98" t="str">
        <f t="shared" si="111"/>
        <v>1+0.724899376644442i</v>
      </c>
      <c r="AN157" s="98">
        <f t="shared" si="127"/>
        <v>1.2351028727436029</v>
      </c>
      <c r="AO157" s="98">
        <f t="shared" si="128"/>
        <v>0.62724223362457165</v>
      </c>
      <c r="AP157" s="168" t="str">
        <f t="shared" si="129"/>
        <v>-0.00932426194790886+0.032484824086536i</v>
      </c>
      <c r="AQ157" s="98">
        <f t="shared" si="130"/>
        <v>-29.422556933099919</v>
      </c>
      <c r="AR157" s="169">
        <f t="shared" si="131"/>
        <v>106.01529994608345</v>
      </c>
      <c r="AS157" s="168" t="str">
        <f t="shared" si="132"/>
        <v>0.0441215587651263+0.658793435919868i</v>
      </c>
      <c r="AT157" s="190">
        <f t="shared" si="133"/>
        <v>-3.6055783577430516</v>
      </c>
      <c r="AU157" s="169">
        <f t="shared" si="134"/>
        <v>86.168435473667472</v>
      </c>
      <c r="AV157" s="225"/>
      <c r="AX157">
        <f t="shared" si="135"/>
        <v>0</v>
      </c>
      <c r="AY157">
        <f t="shared" si="136"/>
        <v>0</v>
      </c>
    </row>
    <row r="158" spans="14:51" x14ac:dyDescent="0.3">
      <c r="N158" s="170">
        <v>40</v>
      </c>
      <c r="O158" s="199">
        <f t="shared" si="102"/>
        <v>251.18864315095806</v>
      </c>
      <c r="P158" s="189" t="str">
        <f t="shared" si="103"/>
        <v>20.7142857142857</v>
      </c>
      <c r="Q158" s="160" t="str">
        <f t="shared" si="104"/>
        <v>1+0.360746238166053i</v>
      </c>
      <c r="R158" s="160">
        <f t="shared" si="112"/>
        <v>1.0630794177063907</v>
      </c>
      <c r="S158" s="160">
        <f t="shared" si="113"/>
        <v>0.34621604501743253</v>
      </c>
      <c r="T158" s="160" t="str">
        <f t="shared" si="105"/>
        <v>1+0.0000315652958395296i</v>
      </c>
      <c r="U158" s="160">
        <f t="shared" si="114"/>
        <v>1.0000000004981839</v>
      </c>
      <c r="V158" s="160">
        <f t="shared" si="115"/>
        <v>3.1565295829046047E-5</v>
      </c>
      <c r="W158" s="98" t="str">
        <f t="shared" si="106"/>
        <v>1-0.0082858901578765i</v>
      </c>
      <c r="X158" s="160">
        <f t="shared" si="116"/>
        <v>1.0000343273986689</v>
      </c>
      <c r="Y158" s="160">
        <f t="shared" si="117"/>
        <v>-8.2857005403963301E-3</v>
      </c>
      <c r="Z158" s="98" t="str">
        <f t="shared" si="107"/>
        <v>0.999994737746548-0.000618269467625587i</v>
      </c>
      <c r="AA158" s="160">
        <f t="shared" si="118"/>
        <v>0.99999492887610275</v>
      </c>
      <c r="AB158" s="160">
        <f t="shared" si="119"/>
        <v>-6.1827264235281743E-4</v>
      </c>
      <c r="AC158" s="171" t="str">
        <f t="shared" si="120"/>
        <v>18.2786874337195-6.75214386465223i</v>
      </c>
      <c r="AD158" s="190">
        <f t="shared" si="121"/>
        <v>25.79442725793556</v>
      </c>
      <c r="AE158" s="169">
        <f t="shared" si="122"/>
        <v>-20.274220879258774</v>
      </c>
      <c r="AF158" s="98" t="str">
        <f t="shared" si="108"/>
        <v>-0.0000897803247373448</v>
      </c>
      <c r="AG158" s="98" t="str">
        <f t="shared" si="109"/>
        <v>0.00315652958395295i</v>
      </c>
      <c r="AH158" s="98">
        <f t="shared" si="123"/>
        <v>3.1565295839529502E-3</v>
      </c>
      <c r="AI158" s="98">
        <f t="shared" si="124"/>
        <v>1.5707963267948966</v>
      </c>
      <c r="AJ158" s="98" t="str">
        <f t="shared" si="110"/>
        <v>1+0.370892226114473i</v>
      </c>
      <c r="AK158" s="98">
        <f t="shared" si="125"/>
        <v>1.0665650675847906</v>
      </c>
      <c r="AL158" s="98">
        <f t="shared" si="126"/>
        <v>0.35516447970870796</v>
      </c>
      <c r="AM158" s="98" t="str">
        <f t="shared" si="111"/>
        <v>1+0.741784452228947i</v>
      </c>
      <c r="AN158" s="98">
        <f t="shared" si="127"/>
        <v>1.2450880184021524</v>
      </c>
      <c r="AO158" s="98">
        <f t="shared" si="128"/>
        <v>0.63822239062785913</v>
      </c>
      <c r="AP158" s="168" t="str">
        <f t="shared" si="129"/>
        <v>-0.00927351390759736+0.0318822061318403i</v>
      </c>
      <c r="AQ158" s="98">
        <f t="shared" si="130"/>
        <v>-29.57631987340012</v>
      </c>
      <c r="AR158" s="169">
        <f t="shared" si="131"/>
        <v>106.21802365345735</v>
      </c>
      <c r="AS158" s="168" t="str">
        <f t="shared" si="132"/>
        <v>0.0457655803954603+0.645380980616275i</v>
      </c>
      <c r="AT158" s="190">
        <f t="shared" si="133"/>
        <v>-3.7818926154645589</v>
      </c>
      <c r="AU158" s="169">
        <f t="shared" si="134"/>
        <v>85.943802774198588</v>
      </c>
      <c r="AV158" s="225"/>
      <c r="AX158">
        <f t="shared" si="135"/>
        <v>0</v>
      </c>
      <c r="AY158">
        <f t="shared" si="136"/>
        <v>0</v>
      </c>
    </row>
    <row r="159" spans="14:51" x14ac:dyDescent="0.3">
      <c r="N159" s="170">
        <v>41</v>
      </c>
      <c r="O159" s="199">
        <f t="shared" si="102"/>
        <v>257.03957827688663</v>
      </c>
      <c r="P159" s="189" t="str">
        <f t="shared" si="103"/>
        <v>20.7142857142857</v>
      </c>
      <c r="Q159" s="160" t="str">
        <f t="shared" si="104"/>
        <v>1+0.369149097506965i</v>
      </c>
      <c r="R159" s="160">
        <f t="shared" si="112"/>
        <v>1.0659601569431227</v>
      </c>
      <c r="S159" s="160">
        <f t="shared" si="113"/>
        <v>0.35363127101552527</v>
      </c>
      <c r="T159" s="160" t="str">
        <f t="shared" si="105"/>
        <v>1+0.0000323005460318594i</v>
      </c>
      <c r="U159" s="160">
        <f t="shared" si="114"/>
        <v>1.0000000005216625</v>
      </c>
      <c r="V159" s="160">
        <f t="shared" si="115"/>
        <v>3.2300546020626078E-5</v>
      </c>
      <c r="W159" s="98" t="str">
        <f t="shared" si="106"/>
        <v>1-0.00847889333336307i</v>
      </c>
      <c r="X159" s="160">
        <f t="shared" si="116"/>
        <v>1.0000359451700516</v>
      </c>
      <c r="Y159" s="160">
        <f t="shared" si="117"/>
        <v>-8.4786901549668819E-3</v>
      </c>
      <c r="Z159" s="98" t="str">
        <f t="shared" si="107"/>
        <v>0.999994489744184-0.000632670813562414i</v>
      </c>
      <c r="AA159" s="160">
        <f t="shared" si="118"/>
        <v>0.99999468988144602</v>
      </c>
      <c r="AB159" s="160">
        <f t="shared" si="119"/>
        <v>-6.3267421534473256E-4</v>
      </c>
      <c r="AC159" s="171" t="str">
        <f t="shared" si="120"/>
        <v>18.1776673273118-6.87213005227391i</v>
      </c>
      <c r="AD159" s="190">
        <f t="shared" si="121"/>
        <v>25.770938140370472</v>
      </c>
      <c r="AE159" s="169">
        <f t="shared" si="122"/>
        <v>-20.709272247406325</v>
      </c>
      <c r="AF159" s="98" t="str">
        <f t="shared" si="108"/>
        <v>-0.0000897803247373448</v>
      </c>
      <c r="AG159" s="98" t="str">
        <f t="shared" si="109"/>
        <v>0.00323005460318594i</v>
      </c>
      <c r="AH159" s="98">
        <f t="shared" si="123"/>
        <v>3.23005460318594E-3</v>
      </c>
      <c r="AI159" s="98">
        <f t="shared" si="124"/>
        <v>1.5707963267948966</v>
      </c>
      <c r="AJ159" s="98" t="str">
        <f t="shared" si="110"/>
        <v>1+0.379531415874348i</v>
      </c>
      <c r="AK159" s="98">
        <f t="shared" si="125"/>
        <v>1.0695999699119234</v>
      </c>
      <c r="AL159" s="98">
        <f t="shared" si="126"/>
        <v>0.36273748790863986</v>
      </c>
      <c r="AM159" s="98" t="str">
        <f t="shared" si="111"/>
        <v>1+0.759062831748698i</v>
      </c>
      <c r="AN159" s="98">
        <f t="shared" si="127"/>
        <v>1.2554586343413916</v>
      </c>
      <c r="AO159" s="98">
        <f t="shared" si="128"/>
        <v>0.64927613435071541</v>
      </c>
      <c r="AP159" s="168" t="str">
        <f t="shared" si="129"/>
        <v>-0.00922096289547067+0.0312949413962023i</v>
      </c>
      <c r="AQ159" s="98">
        <f t="shared" si="130"/>
        <v>-29.728953325352592</v>
      </c>
      <c r="AR159" s="169">
        <f t="shared" si="131"/>
        <v>106.41745510852216</v>
      </c>
      <c r="AS159" s="168" t="str">
        <f t="shared" si="132"/>
        <v>0.047447311301641+0.632236689952751i</v>
      </c>
      <c r="AT159" s="190">
        <f t="shared" si="133"/>
        <v>-3.9580151849821172</v>
      </c>
      <c r="AU159" s="169">
        <f t="shared" si="134"/>
        <v>85.708182861115858</v>
      </c>
      <c r="AV159" s="225"/>
      <c r="AX159">
        <f t="shared" si="135"/>
        <v>0</v>
      </c>
      <c r="AY159">
        <f t="shared" si="136"/>
        <v>0</v>
      </c>
    </row>
    <row r="160" spans="14:51" x14ac:dyDescent="0.3">
      <c r="N160" s="170">
        <v>42</v>
      </c>
      <c r="O160" s="199">
        <f t="shared" si="102"/>
        <v>263.02679918953817</v>
      </c>
      <c r="P160" s="189" t="str">
        <f t="shared" si="103"/>
        <v>20.7142857142857</v>
      </c>
      <c r="Q160" s="160" t="str">
        <f t="shared" si="104"/>
        <v>1+0.377747684585641i</v>
      </c>
      <c r="R160" s="160">
        <f t="shared" si="112"/>
        <v>1.0689683406021961</v>
      </c>
      <c r="S160" s="160">
        <f t="shared" si="113"/>
        <v>0.36117742043735934</v>
      </c>
      <c r="T160" s="160" t="str">
        <f t="shared" si="105"/>
        <v>1+0.0000330529224012436i</v>
      </c>
      <c r="U160" s="160">
        <f t="shared" si="114"/>
        <v>1.0000000005462477</v>
      </c>
      <c r="V160" s="160">
        <f t="shared" si="115"/>
        <v>3.3052922389206872E-5</v>
      </c>
      <c r="W160" s="98" t="str">
        <f t="shared" si="106"/>
        <v>1-0.00867639213032642i</v>
      </c>
      <c r="X160" s="160">
        <f t="shared" si="116"/>
        <v>1.0000376391818455</v>
      </c>
      <c r="Y160" s="160">
        <f t="shared" si="117"/>
        <v>-8.6761744211950494E-3</v>
      </c>
      <c r="Z160" s="98" t="str">
        <f t="shared" si="107"/>
        <v>0.999994230053828-0.000647407609938981i</v>
      </c>
      <c r="AA160" s="160">
        <f t="shared" si="118"/>
        <v>0.99999443962332202</v>
      </c>
      <c r="AB160" s="160">
        <f t="shared" si="119"/>
        <v>-6.474112550153081E-4</v>
      </c>
      <c r="AC160" s="171" t="str">
        <f t="shared" si="120"/>
        <v>18.0730485693666-6.99268306718845i</v>
      </c>
      <c r="AD160" s="190">
        <f t="shared" si="121"/>
        <v>25.746477609816839</v>
      </c>
      <c r="AE160" s="169">
        <f t="shared" si="122"/>
        <v>-21.152062297661427</v>
      </c>
      <c r="AF160" s="98" t="str">
        <f t="shared" si="108"/>
        <v>-0.0000897803247373448</v>
      </c>
      <c r="AG160" s="98" t="str">
        <f t="shared" si="109"/>
        <v>0.00330529224012436i</v>
      </c>
      <c r="AH160" s="98">
        <f t="shared" si="123"/>
        <v>3.3052922401243601E-3</v>
      </c>
      <c r="AI160" s="98">
        <f t="shared" si="124"/>
        <v>1.5707963267948966</v>
      </c>
      <c r="AJ160" s="98" t="str">
        <f t="shared" si="110"/>
        <v>1+0.388371838214612i</v>
      </c>
      <c r="AK160" s="98">
        <f t="shared" si="125"/>
        <v>1.0727687004747093</v>
      </c>
      <c r="AL160" s="98">
        <f t="shared" si="126"/>
        <v>0.37044208325712846</v>
      </c>
      <c r="AM160" s="98" t="str">
        <f t="shared" si="111"/>
        <v>1+0.776743676429226i</v>
      </c>
      <c r="AN160" s="98">
        <f t="shared" si="127"/>
        <v>1.2662269697304627</v>
      </c>
      <c r="AO160" s="98">
        <f t="shared" si="128"/>
        <v>0.66039852119389175</v>
      </c>
      <c r="AP160" s="168" t="str">
        <f t="shared" si="129"/>
        <v>-0.00916656982089556+0.0307226356762434i</v>
      </c>
      <c r="AQ160" s="98">
        <f t="shared" si="130"/>
        <v>-29.880464530702334</v>
      </c>
      <c r="AR160" s="169">
        <f t="shared" si="131"/>
        <v>106.61328013642353</v>
      </c>
      <c r="AS160" s="168" t="str">
        <f t="shared" si="132"/>
        <v>0.0491657926851315+0.619350604326479i</v>
      </c>
      <c r="AT160" s="190">
        <f t="shared" si="133"/>
        <v>-4.1339869208854942</v>
      </c>
      <c r="AU160" s="169">
        <f t="shared" si="134"/>
        <v>85.461217838762096</v>
      </c>
      <c r="AV160" s="225"/>
      <c r="AX160">
        <f t="shared" si="135"/>
        <v>0</v>
      </c>
      <c r="AY160">
        <f t="shared" si="136"/>
        <v>0</v>
      </c>
    </row>
    <row r="161" spans="14:51" x14ac:dyDescent="0.3">
      <c r="N161" s="170">
        <v>43</v>
      </c>
      <c r="O161" s="199">
        <f t="shared" si="102"/>
        <v>269.15348039269179</v>
      </c>
      <c r="P161" s="189" t="str">
        <f t="shared" si="103"/>
        <v>20.7142857142857</v>
      </c>
      <c r="Q161" s="160" t="str">
        <f t="shared" si="104"/>
        <v>1+0.386546558486768i</v>
      </c>
      <c r="R161" s="160">
        <f t="shared" si="112"/>
        <v>1.0721092490403972</v>
      </c>
      <c r="S161" s="160">
        <f t="shared" si="113"/>
        <v>0.36885505566980842</v>
      </c>
      <c r="T161" s="160" t="str">
        <f t="shared" si="105"/>
        <v>1+0.0000338228238675922i</v>
      </c>
      <c r="U161" s="160">
        <f t="shared" si="114"/>
        <v>1.0000000005719916</v>
      </c>
      <c r="V161" s="160">
        <f t="shared" si="115"/>
        <v>3.3822823854694618E-5</v>
      </c>
      <c r="W161" s="98" t="str">
        <f t="shared" si="106"/>
        <v>1-0.00887849126524293i</v>
      </c>
      <c r="X161" s="160">
        <f t="shared" si="116"/>
        <v>1.0000394130268802</v>
      </c>
      <c r="Y161" s="160">
        <f t="shared" si="117"/>
        <v>-8.8782579862022905E-3</v>
      </c>
      <c r="Z161" s="98" t="str">
        <f t="shared" si="107"/>
        <v>0.999993958124642-0.000662487670399792i</v>
      </c>
      <c r="AA161" s="160">
        <f t="shared" si="118"/>
        <v>0.99999417757090048</v>
      </c>
      <c r="AB161" s="160">
        <f t="shared" si="119"/>
        <v>-6.6249157617045648E-4</v>
      </c>
      <c r="AC161" s="171" t="str">
        <f t="shared" si="120"/>
        <v>17.964752318204-7.11370207553437i</v>
      </c>
      <c r="AD161" s="190">
        <f t="shared" si="121"/>
        <v>25.721011299597578</v>
      </c>
      <c r="AE161" s="169">
        <f t="shared" si="122"/>
        <v>-21.602628777645219</v>
      </c>
      <c r="AF161" s="98" t="str">
        <f t="shared" si="108"/>
        <v>-0.0000897803247373448</v>
      </c>
      <c r="AG161" s="98" t="str">
        <f t="shared" si="109"/>
        <v>0.00338228238675922i</v>
      </c>
      <c r="AH161" s="98">
        <f t="shared" si="123"/>
        <v>3.38228238675922E-3</v>
      </c>
      <c r="AI161" s="98">
        <f t="shared" si="124"/>
        <v>1.5707963267948966</v>
      </c>
      <c r="AJ161" s="98" t="str">
        <f t="shared" si="110"/>
        <v>1+0.397418180444208i</v>
      </c>
      <c r="AK161" s="98">
        <f t="shared" si="125"/>
        <v>1.0760767677761587</v>
      </c>
      <c r="AL161" s="98">
        <f t="shared" si="126"/>
        <v>0.37827869101031814</v>
      </c>
      <c r="AM161" s="98" t="str">
        <f t="shared" si="111"/>
        <v>1+0.794836360888419i</v>
      </c>
      <c r="AN161" s="98">
        <f t="shared" si="127"/>
        <v>1.2774055114137974</v>
      </c>
      <c r="AO161" s="98">
        <f t="shared" si="128"/>
        <v>0.67158444149992902</v>
      </c>
      <c r="AP161" s="168" t="str">
        <f t="shared" si="129"/>
        <v>-0.00911029684770749+0.0301648994823769i</v>
      </c>
      <c r="AQ161" s="98">
        <f t="shared" si="130"/>
        <v>-30.030863233697147</v>
      </c>
      <c r="AR161" s="169">
        <f t="shared" si="131"/>
        <v>106.80518160997194</v>
      </c>
      <c r="AS161" s="168" t="str">
        <f t="shared" si="132"/>
        <v>0.0509198816416905+0.606712885498692i</v>
      </c>
      <c r="AT161" s="190">
        <f t="shared" si="133"/>
        <v>-4.3098519340995747</v>
      </c>
      <c r="AU161" s="169">
        <f t="shared" si="134"/>
        <v>85.202552832326731</v>
      </c>
      <c r="AV161" s="225"/>
      <c r="AX161">
        <f t="shared" si="135"/>
        <v>0</v>
      </c>
      <c r="AY161">
        <f t="shared" si="136"/>
        <v>0</v>
      </c>
    </row>
    <row r="162" spans="14:51" x14ac:dyDescent="0.3">
      <c r="N162" s="170">
        <v>44</v>
      </c>
      <c r="O162" s="199">
        <f t="shared" si="102"/>
        <v>275.42287033381683</v>
      </c>
      <c r="P162" s="189" t="str">
        <f t="shared" si="103"/>
        <v>20.7142857142857</v>
      </c>
      <c r="Q162" s="160" t="str">
        <f t="shared" si="104"/>
        <v>1+0.395550384489753i</v>
      </c>
      <c r="R162" s="160">
        <f t="shared" si="112"/>
        <v>1.0753883515595617</v>
      </c>
      <c r="S162" s="160">
        <f t="shared" si="113"/>
        <v>0.37666462595224187</v>
      </c>
      <c r="T162" s="160" t="str">
        <f t="shared" si="105"/>
        <v>1+0.0000346106586428534i</v>
      </c>
      <c r="U162" s="160">
        <f t="shared" si="114"/>
        <v>1.0000000005989489</v>
      </c>
      <c r="V162" s="160">
        <f t="shared" si="115"/>
        <v>3.4610658629033395E-5</v>
      </c>
      <c r="W162" s="98" t="str">
        <f t="shared" si="106"/>
        <v>1-0.00908529789374899i</v>
      </c>
      <c r="X162" s="160">
        <f t="shared" si="116"/>
        <v>1.0000412704672834</v>
      </c>
      <c r="Y162" s="160">
        <f t="shared" si="117"/>
        <v>-9.0850479313105709E-3</v>
      </c>
      <c r="Z162" s="98" t="str">
        <f t="shared" si="107"/>
        <v>0.999993673379829-0.000677918990592511i</v>
      </c>
      <c r="AA162" s="160">
        <f t="shared" si="118"/>
        <v>0.99999390316833536</v>
      </c>
      <c r="AB162" s="160">
        <f t="shared" si="119"/>
        <v>-6.7792317570231368E-4</v>
      </c>
      <c r="AC162" s="171" t="str">
        <f t="shared" si="120"/>
        <v>17.8527021641331-7.23508004314316i</v>
      </c>
      <c r="AD162" s="190">
        <f t="shared" si="121"/>
        <v>25.694504110395108</v>
      </c>
      <c r="AE162" s="169">
        <f t="shared" si="122"/>
        <v>-22.061003080608018</v>
      </c>
      <c r="AF162" s="98" t="str">
        <f t="shared" si="108"/>
        <v>-0.0000897803247373448</v>
      </c>
      <c r="AG162" s="98" t="str">
        <f t="shared" si="109"/>
        <v>0.00346106586428533i</v>
      </c>
      <c r="AH162" s="98">
        <f t="shared" si="123"/>
        <v>3.4610658642853301E-3</v>
      </c>
      <c r="AI162" s="98">
        <f t="shared" si="124"/>
        <v>1.5707963267948966</v>
      </c>
      <c r="AJ162" s="98" t="str">
        <f t="shared" si="110"/>
        <v>1+0.406675239053527i</v>
      </c>
      <c r="AK162" s="98">
        <f t="shared" si="125"/>
        <v>1.0795298745561623</v>
      </c>
      <c r="AL162" s="98">
        <f t="shared" si="126"/>
        <v>0.38624761509194538</v>
      </c>
      <c r="AM162" s="98" t="str">
        <f t="shared" si="111"/>
        <v>1+0.813350478107057i</v>
      </c>
      <c r="AN162" s="98">
        <f t="shared" si="127"/>
        <v>1.2890069822297232</v>
      </c>
      <c r="AO162" s="98">
        <f t="shared" si="128"/>
        <v>0.68282862967622415</v>
      </c>
      <c r="AP162" s="168" t="str">
        <f t="shared" si="129"/>
        <v>-0.00905210760317727+0.0296213478306048i</v>
      </c>
      <c r="AQ162" s="98">
        <f t="shared" si="130"/>
        <v>-30.180161752724757</v>
      </c>
      <c r="AR162" s="169">
        <f t="shared" si="131"/>
        <v>106.99284041938709</v>
      </c>
      <c r="AS162" s="168" t="str">
        <f t="shared" si="132"/>
        <v>0.0527082415430022+0.59431382358811i</v>
      </c>
      <c r="AT162" s="190">
        <f t="shared" si="133"/>
        <v>-4.4856576423296524</v>
      </c>
      <c r="AU162" s="169">
        <f t="shared" si="134"/>
        <v>84.93183733877909</v>
      </c>
      <c r="AV162" s="225"/>
      <c r="AX162">
        <f t="shared" si="135"/>
        <v>0</v>
      </c>
      <c r="AY162">
        <f t="shared" si="136"/>
        <v>0</v>
      </c>
    </row>
    <row r="163" spans="14:51" x14ac:dyDescent="0.3">
      <c r="N163" s="170">
        <v>45</v>
      </c>
      <c r="O163" s="199">
        <f t="shared" si="102"/>
        <v>281.83829312644554</v>
      </c>
      <c r="P163" s="189" t="str">
        <f t="shared" si="103"/>
        <v>20.7142857142857</v>
      </c>
      <c r="Q163" s="160" t="str">
        <f t="shared" si="104"/>
        <v>1+0.404763936542322i</v>
      </c>
      <c r="R163" s="160">
        <f t="shared" si="112"/>
        <v>1.0788113108070554</v>
      </c>
      <c r="S163" s="160">
        <f t="shared" si="113"/>
        <v>0.38460646058846948</v>
      </c>
      <c r="T163" s="160" t="str">
        <f t="shared" si="105"/>
        <v>1+0.0000354168444474532i</v>
      </c>
      <c r="U163" s="160">
        <f t="shared" si="114"/>
        <v>1.0000000006271763</v>
      </c>
      <c r="V163" s="160">
        <f t="shared" si="115"/>
        <v>3.5416844432644795E-5</v>
      </c>
      <c r="W163" s="98" t="str">
        <f t="shared" si="106"/>
        <v>1-0.00929692166745644i</v>
      </c>
      <c r="X163" s="160">
        <f t="shared" si="116"/>
        <v>1.0000432154424581</v>
      </c>
      <c r="Y163" s="160">
        <f t="shared" si="117"/>
        <v>-9.296653828503202E-3</v>
      </c>
      <c r="Z163" s="98" t="str">
        <f t="shared" si="107"/>
        <v>0.999993375215406-0.000693709752407359i</v>
      </c>
      <c r="AA163" s="160">
        <f t="shared" si="118"/>
        <v>0.99999361583358137</v>
      </c>
      <c r="AB163" s="160">
        <f t="shared" si="119"/>
        <v>-6.9371423683457941E-4</v>
      </c>
      <c r="AC163" s="171" t="str">
        <f t="shared" si="120"/>
        <v>17.7368245442866-7.35670366974842i</v>
      </c>
      <c r="AD163" s="190">
        <f t="shared" si="121"/>
        <v>25.666920235273352</v>
      </c>
      <c r="AE163" s="169">
        <f t="shared" si="122"/>
        <v>-22.527209859482863</v>
      </c>
      <c r="AF163" s="98" t="str">
        <f t="shared" si="108"/>
        <v>-0.0000897803247373448</v>
      </c>
      <c r="AG163" s="98" t="str">
        <f t="shared" si="109"/>
        <v>0.00354168444474531i</v>
      </c>
      <c r="AH163" s="98">
        <f t="shared" si="123"/>
        <v>3.5416844447453098E-3</v>
      </c>
      <c r="AI163" s="98">
        <f t="shared" si="124"/>
        <v>1.5707963267948966</v>
      </c>
      <c r="AJ163" s="98" t="str">
        <f t="shared" si="110"/>
        <v>1+0.416147922257575i</v>
      </c>
      <c r="AK163" s="98">
        <f t="shared" si="125"/>
        <v>1.0831339220979541</v>
      </c>
      <c r="AL163" s="98">
        <f t="shared" si="126"/>
        <v>0.39434903123882786</v>
      </c>
      <c r="AM163" s="98" t="str">
        <f t="shared" si="111"/>
        <v>1+0.832295844515152i</v>
      </c>
      <c r="AN163" s="98">
        <f t="shared" si="127"/>
        <v>1.3010443392894764</v>
      </c>
      <c r="AO163" s="98">
        <f t="shared" si="128"/>
        <v>0.69412567521666479</v>
      </c>
      <c r="AP163" s="168" t="str">
        <f t="shared" si="129"/>
        <v>-0.00899196739678519+0.0290916000512858i</v>
      </c>
      <c r="AQ163" s="98">
        <f t="shared" si="130"/>
        <v>-30.328375042368016</v>
      </c>
      <c r="AR163" s="169">
        <f t="shared" si="131"/>
        <v>107.17593649652591</v>
      </c>
      <c r="AS163" s="168" t="str">
        <f t="shared" si="132"/>
        <v>0.0545293328314231+0.582143845368403i</v>
      </c>
      <c r="AT163" s="190">
        <f t="shared" si="133"/>
        <v>-4.6614548070946622</v>
      </c>
      <c r="AU163" s="169">
        <f t="shared" si="134"/>
        <v>84.648726637043055</v>
      </c>
      <c r="AV163" s="225"/>
      <c r="AX163">
        <f t="shared" si="135"/>
        <v>0</v>
      </c>
      <c r="AY163">
        <f t="shared" si="136"/>
        <v>0</v>
      </c>
    </row>
    <row r="164" spans="14:51" x14ac:dyDescent="0.3">
      <c r="N164" s="170">
        <v>46</v>
      </c>
      <c r="O164" s="199">
        <f t="shared" si="102"/>
        <v>288.40315031266073</v>
      </c>
      <c r="P164" s="189" t="str">
        <f t="shared" si="103"/>
        <v>20.7142857142857</v>
      </c>
      <c r="Q164" s="160" t="str">
        <f t="shared" si="104"/>
        <v>1+0.41419209979173i</v>
      </c>
      <c r="R164" s="160">
        <f t="shared" si="112"/>
        <v>1.0823839870997178</v>
      </c>
      <c r="S164" s="160">
        <f t="shared" si="113"/>
        <v>0.39268076210061897</v>
      </c>
      <c r="T164" s="160" t="str">
        <f t="shared" si="105"/>
        <v>1+0.0000362418087317764i</v>
      </c>
      <c r="U164" s="160">
        <f t="shared" si="114"/>
        <v>1.0000000006567342</v>
      </c>
      <c r="V164" s="160">
        <f t="shared" si="115"/>
        <v>3.6241808715908904E-5</v>
      </c>
      <c r="W164" s="98" t="str">
        <f t="shared" si="106"/>
        <v>1-0.00951347479209128i</v>
      </c>
      <c r="X164" s="160">
        <f t="shared" si="116"/>
        <v>1.0000452520774346</v>
      </c>
      <c r="Y164" s="160">
        <f t="shared" si="117"/>
        <v>-9.5131877981835724E-3</v>
      </c>
      <c r="Z164" s="98" t="str">
        <f t="shared" si="107"/>
        <v>0.999993062998927-0.000709868328315267i</v>
      </c>
      <c r="AA164" s="160">
        <f t="shared" si="118"/>
        <v>0.99999331495716492</v>
      </c>
      <c r="AB164" s="160">
        <f t="shared" si="119"/>
        <v>-7.0987313346703405E-4</v>
      </c>
      <c r="AC164" s="171" t="str">
        <f t="shared" si="120"/>
        <v>17.6170491773256-7.47845334855875i</v>
      </c>
      <c r="AD164" s="190">
        <f t="shared" si="121"/>
        <v>25.638223188719401</v>
      </c>
      <c r="AE164" s="169">
        <f t="shared" si="122"/>
        <v>-23.001266637678668</v>
      </c>
      <c r="AF164" s="98" t="str">
        <f t="shared" si="108"/>
        <v>-0.0000897803247373448</v>
      </c>
      <c r="AG164" s="98" t="str">
        <f t="shared" si="109"/>
        <v>0.00362418087317763i</v>
      </c>
      <c r="AH164" s="98">
        <f t="shared" si="123"/>
        <v>3.6241808731776299E-3</v>
      </c>
      <c r="AI164" s="98">
        <f t="shared" si="124"/>
        <v>1.5707963267948966</v>
      </c>
      <c r="AJ164" s="98" t="str">
        <f t="shared" si="110"/>
        <v>1+0.425841252598373i</v>
      </c>
      <c r="AK164" s="98">
        <f t="shared" si="125"/>
        <v>1.0868950144400107</v>
      </c>
      <c r="AL164" s="98">
        <f t="shared" si="126"/>
        <v>0.4025829801236564</v>
      </c>
      <c r="AM164" s="98" t="str">
        <f t="shared" si="111"/>
        <v>1+0.851682505196747i</v>
      </c>
      <c r="AN164" s="98">
        <f t="shared" si="127"/>
        <v>1.3135307722540066</v>
      </c>
      <c r="AO164" s="98">
        <f t="shared" si="128"/>
        <v>0.7054700345752557</v>
      </c>
      <c r="AP164" s="168" t="str">
        <f t="shared" si="129"/>
        <v>-0.00892984344820037+0.0285752796161163i</v>
      </c>
      <c r="AQ164" s="98">
        <f t="shared" si="130"/>
        <v>-30.475520744966872</v>
      </c>
      <c r="AR164" s="169">
        <f t="shared" si="131"/>
        <v>107.35414988922575</v>
      </c>
      <c r="AS164" s="168" t="str">
        <f t="shared" si="132"/>
        <v>0.0563814043583828+0.57019352389025i</v>
      </c>
      <c r="AT164" s="190">
        <f t="shared" si="133"/>
        <v>-4.8372975562474725</v>
      </c>
      <c r="AU164" s="169">
        <f t="shared" si="134"/>
        <v>84.352883251547084</v>
      </c>
      <c r="AV164" s="225"/>
      <c r="AX164">
        <f t="shared" si="135"/>
        <v>0</v>
      </c>
      <c r="AY164">
        <f t="shared" si="136"/>
        <v>0</v>
      </c>
    </row>
    <row r="165" spans="14:51" x14ac:dyDescent="0.3">
      <c r="N165" s="170">
        <v>47</v>
      </c>
      <c r="O165" s="199">
        <f t="shared" si="102"/>
        <v>295.12092266663871</v>
      </c>
      <c r="P165" s="189" t="str">
        <f t="shared" si="103"/>
        <v>20.7142857142857</v>
      </c>
      <c r="Q165" s="160" t="str">
        <f t="shared" si="104"/>
        <v>1+0.423839873174928i</v>
      </c>
      <c r="R165" s="160">
        <f t="shared" si="112"/>
        <v>1.0861124426563482</v>
      </c>
      <c r="S165" s="160">
        <f t="shared" si="113"/>
        <v>0.40088759935401386</v>
      </c>
      <c r="T165" s="160" t="str">
        <f t="shared" si="105"/>
        <v>1+0.0000370859889028062i</v>
      </c>
      <c r="U165" s="160">
        <f t="shared" si="114"/>
        <v>1.0000000006876852</v>
      </c>
      <c r="V165" s="160">
        <f t="shared" si="115"/>
        <v>3.7085988885803879E-5</v>
      </c>
      <c r="W165" s="98" t="str">
        <f t="shared" si="106"/>
        <v>1-0.0097350720869866i</v>
      </c>
      <c r="X165" s="160">
        <f t="shared" si="116"/>
        <v>1.0000473846916149</v>
      </c>
      <c r="Y165" s="160">
        <f t="shared" si="117"/>
        <v>-9.7347645682609642E-3</v>
      </c>
      <c r="Z165" s="98" t="str">
        <f t="shared" si="107"/>
        <v>0.999992736068139-0.000726403285807066i</v>
      </c>
      <c r="AA165" s="160">
        <f t="shared" si="118"/>
        <v>0.99999299990088752</v>
      </c>
      <c r="AB165" s="160">
        <f t="shared" si="119"/>
        <v>-7.2640843462155023E-4</v>
      </c>
      <c r="AC165" s="171" t="str">
        <f t="shared" si="120"/>
        <v>17.4933095168742-7.60020315386639i</v>
      </c>
      <c r="AD165" s="190">
        <f t="shared" si="121"/>
        <v>25.608375839889653</v>
      </c>
      <c r="AE165" s="169">
        <f t="shared" si="122"/>
        <v>-23.483183418282607</v>
      </c>
      <c r="AF165" s="98" t="str">
        <f t="shared" si="108"/>
        <v>-0.0000897803247373448</v>
      </c>
      <c r="AG165" s="98" t="str">
        <f t="shared" si="109"/>
        <v>0.00370859889028061i</v>
      </c>
      <c r="AH165" s="98">
        <f t="shared" si="123"/>
        <v>3.7085988902806101E-3</v>
      </c>
      <c r="AI165" s="98">
        <f t="shared" si="124"/>
        <v>1.5707963267948966</v>
      </c>
      <c r="AJ165" s="98" t="str">
        <f t="shared" si="110"/>
        <v>1+0.435760369607973i</v>
      </c>
      <c r="AK165" s="98">
        <f t="shared" si="125"/>
        <v>1.0908194624780387</v>
      </c>
      <c r="AL165" s="98">
        <f t="shared" si="126"/>
        <v>0.41094936048767933</v>
      </c>
      <c r="AM165" s="98" t="str">
        <f t="shared" si="111"/>
        <v>1+0.871520739215948i</v>
      </c>
      <c r="AN165" s="98">
        <f t="shared" si="127"/>
        <v>1.3264797016477532</v>
      </c>
      <c r="AO165" s="98">
        <f t="shared" si="128"/>
        <v>0.71685604383619228</v>
      </c>
      <c r="AP165" s="168" t="str">
        <f t="shared" si="129"/>
        <v>-0.00886570512371526+0.0280720139845802i</v>
      </c>
      <c r="AQ165" s="98">
        <f t="shared" si="130"/>
        <v>-30.621619230822034</v>
      </c>
      <c r="AR165" s="169">
        <f t="shared" si="131"/>
        <v>107.52716188071466</v>
      </c>
      <c r="AS165" s="168" t="str">
        <f t="shared" si="132"/>
        <v>0.0582624854064993+0.558453589436792i</v>
      </c>
      <c r="AT165" s="190">
        <f t="shared" si="133"/>
        <v>-5.013243390932387</v>
      </c>
      <c r="AU165" s="169">
        <f t="shared" si="134"/>
        <v>84.043978462432065</v>
      </c>
      <c r="AV165" s="225"/>
      <c r="AX165">
        <f t="shared" si="135"/>
        <v>0</v>
      </c>
      <c r="AY165">
        <f t="shared" si="136"/>
        <v>0</v>
      </c>
    </row>
    <row r="166" spans="14:51" x14ac:dyDescent="0.3">
      <c r="N166" s="170">
        <v>48</v>
      </c>
      <c r="O166" s="199">
        <f t="shared" si="102"/>
        <v>301.99517204020168</v>
      </c>
      <c r="P166" s="189" t="str">
        <f t="shared" si="103"/>
        <v>20.7142857142857</v>
      </c>
      <c r="Q166" s="160" t="str">
        <f t="shared" si="104"/>
        <v>1+0.433712372069067i</v>
      </c>
      <c r="R166" s="160">
        <f t="shared" si="112"/>
        <v>1.0900029457234401</v>
      </c>
      <c r="S166" s="160">
        <f t="shared" si="113"/>
        <v>0.40922690068504186</v>
      </c>
      <c r="T166" s="160" t="str">
        <f t="shared" si="105"/>
        <v>1+0.0000379498325560434i</v>
      </c>
      <c r="U166" s="160">
        <f t="shared" si="114"/>
        <v>1.0000000007200949</v>
      </c>
      <c r="V166" s="160">
        <f t="shared" si="115"/>
        <v>3.7949832537825076E-5</v>
      </c>
      <c r="W166" s="98" t="str">
        <f t="shared" si="106"/>
        <v>1-0.00996183104596136i</v>
      </c>
      <c r="X166" s="160">
        <f t="shared" si="116"/>
        <v>1.0000496178079308</v>
      </c>
      <c r="Y166" s="160">
        <f t="shared" si="117"/>
        <v>-9.9615015345930983E-3</v>
      </c>
      <c r="Z166" s="98" t="str">
        <f t="shared" si="107"/>
        <v>0.999992393729577-0.000743323391936084i</v>
      </c>
      <c r="AA166" s="160">
        <f t="shared" si="118"/>
        <v>0.99999266999647263</v>
      </c>
      <c r="AB166" s="160">
        <f t="shared" si="119"/>
        <v>-7.4332890899200007E-4</v>
      </c>
      <c r="AC166" s="171" t="str">
        <f t="shared" si="120"/>
        <v>17.3655432222402-7.72182085938579i</v>
      </c>
      <c r="AD166" s="190">
        <f t="shared" si="121"/>
        <v>25.577340450231077</v>
      </c>
      <c r="AE166" s="169">
        <f t="shared" si="122"/>
        <v>-23.972962293504448</v>
      </c>
      <c r="AF166" s="98" t="str">
        <f t="shared" si="108"/>
        <v>-0.0000897803247373448</v>
      </c>
      <c r="AG166" s="98" t="str">
        <f t="shared" si="109"/>
        <v>0.00379498325560433i</v>
      </c>
      <c r="AH166" s="98">
        <f t="shared" si="123"/>
        <v>3.7949832556043298E-3</v>
      </c>
      <c r="AI166" s="98">
        <f t="shared" si="124"/>
        <v>1.5707963267948966</v>
      </c>
      <c r="AJ166" s="98" t="str">
        <f t="shared" si="110"/>
        <v>1+0.44591053253351i</v>
      </c>
      <c r="AK166" s="98">
        <f t="shared" si="125"/>
        <v>1.094913787941461</v>
      </c>
      <c r="AL166" s="98">
        <f t="shared" si="126"/>
        <v>0.4194479223188034</v>
      </c>
      <c r="AM166" s="98" t="str">
        <f t="shared" si="111"/>
        <v>1+0.891821065067022i</v>
      </c>
      <c r="AN166" s="98">
        <f t="shared" si="127"/>
        <v>1.3399047772499646</v>
      </c>
      <c r="AO166" s="98">
        <f t="shared" si="128"/>
        <v>0.72827793211619685</v>
      </c>
      <c r="AP166" s="168" t="str">
        <f t="shared" si="129"/>
        <v>-0.00879952418022206+0.0275814344711174i</v>
      </c>
      <c r="AQ166" s="98">
        <f t="shared" si="130"/>
        <v>-30.766693626235263</v>
      </c>
      <c r="AR166" s="169">
        <f t="shared" si="131"/>
        <v>107.69465614837452</v>
      </c>
      <c r="AS166" s="168" t="str">
        <f t="shared" si="132"/>
        <v>0.0601703785440627+0.546914941807083i</v>
      </c>
      <c r="AT166" s="190">
        <f t="shared" si="133"/>
        <v>-5.1893531760041895</v>
      </c>
      <c r="AU166" s="169">
        <f t="shared" si="134"/>
        <v>83.721693854870068</v>
      </c>
      <c r="AV166" s="225"/>
      <c r="AX166">
        <f t="shared" si="135"/>
        <v>0</v>
      </c>
      <c r="AY166">
        <f t="shared" si="136"/>
        <v>0</v>
      </c>
    </row>
    <row r="167" spans="14:51" x14ac:dyDescent="0.3">
      <c r="N167" s="170">
        <v>49</v>
      </c>
      <c r="O167" s="199">
        <f t="shared" si="102"/>
        <v>309.02954325135937</v>
      </c>
      <c r="P167" s="189" t="str">
        <f t="shared" si="103"/>
        <v>20.7142857142857</v>
      </c>
      <c r="Q167" s="160" t="str">
        <f t="shared" si="104"/>
        <v>1+0.443814831003739i</v>
      </c>
      <c r="R167" s="160">
        <f t="shared" si="112"/>
        <v>1.0940619745786238</v>
      </c>
      <c r="S167" s="160">
        <f t="shared" si="113"/>
        <v>0.41769844706693016</v>
      </c>
      <c r="T167" s="160" t="str">
        <f t="shared" si="105"/>
        <v>1+0.0000388337977128272i</v>
      </c>
      <c r="U167" s="160">
        <f t="shared" si="114"/>
        <v>1.0000000007540319</v>
      </c>
      <c r="V167" s="160">
        <f t="shared" si="115"/>
        <v>3.8833797693305919E-5</v>
      </c>
      <c r="W167" s="98" t="str">
        <f t="shared" si="106"/>
        <v>1-0.0101938718996171i</v>
      </c>
      <c r="X167" s="160">
        <f t="shared" si="116"/>
        <v>1.0000519561624315</v>
      </c>
      <c r="Y167" s="160">
        <f t="shared" si="117"/>
        <v>-1.0193518822815422E-2</v>
      </c>
      <c r="Z167" s="98" t="str">
        <f t="shared" si="107"/>
        <v>0.999992035257096-0.000760637617966555i</v>
      </c>
      <c r="AA167" s="160">
        <f t="shared" si="118"/>
        <v>0.99999232454415121</v>
      </c>
      <c r="AB167" s="160">
        <f t="shared" si="119"/>
        <v>-7.6064352960049343E-4</v>
      </c>
      <c r="AC167" s="171" t="str">
        <f t="shared" si="120"/>
        <v>17.2336926446575-7.84316799001189i</v>
      </c>
      <c r="AD167" s="190">
        <f t="shared" si="121"/>
        <v>25.545078715631824</v>
      </c>
      <c r="AE167" s="169">
        <f t="shared" si="122"/>
        <v>-24.470597056367883</v>
      </c>
      <c r="AF167" s="98" t="str">
        <f t="shared" si="108"/>
        <v>-0.0000897803247373448</v>
      </c>
      <c r="AG167" s="98" t="str">
        <f t="shared" si="109"/>
        <v>0.00388337977128272i</v>
      </c>
      <c r="AH167" s="98">
        <f t="shared" si="123"/>
        <v>3.8833797712827202E-3</v>
      </c>
      <c r="AI167" s="98">
        <f t="shared" si="124"/>
        <v>1.5707963267948966</v>
      </c>
      <c r="AJ167" s="98" t="str">
        <f t="shared" si="110"/>
        <v>1+0.45629712312572i</v>
      </c>
      <c r="AK167" s="98">
        <f t="shared" si="125"/>
        <v>1.0991847272286894</v>
      </c>
      <c r="AL167" s="98">
        <f t="shared" si="126"/>
        <v>0.42807826011351874</v>
      </c>
      <c r="AM167" s="98" t="str">
        <f t="shared" si="111"/>
        <v>1+0.912594246251441i</v>
      </c>
      <c r="AN167" s="98">
        <f t="shared" si="127"/>
        <v>1.3538198766051692</v>
      </c>
      <c r="AO167" s="98">
        <f t="shared" si="128"/>
        <v>0.73972983562680783</v>
      </c>
      <c r="AP167" s="168" t="str">
        <f t="shared" si="129"/>
        <v>-0.00873127501565138+0.0271031761342429i</v>
      </c>
      <c r="AQ167" s="98">
        <f t="shared" si="130"/>
        <v>-30.910769828651887</v>
      </c>
      <c r="AR167" s="169">
        <f t="shared" si="131"/>
        <v>107.85631995551412</v>
      </c>
      <c r="AS167" s="168" t="str">
        <f t="shared" si="132"/>
        <v>0.0621026534680351+0.535568663906306i</v>
      </c>
      <c r="AT167" s="190">
        <f t="shared" si="133"/>
        <v>-5.3656911130200591</v>
      </c>
      <c r="AU167" s="169">
        <f t="shared" si="134"/>
        <v>83.385722899146259</v>
      </c>
      <c r="AV167" s="225"/>
      <c r="AX167">
        <f t="shared" si="135"/>
        <v>0</v>
      </c>
      <c r="AY167">
        <f t="shared" si="136"/>
        <v>0</v>
      </c>
    </row>
    <row r="168" spans="14:51" x14ac:dyDescent="0.3">
      <c r="N168" s="170">
        <v>50</v>
      </c>
      <c r="O168" s="199">
        <f t="shared" si="102"/>
        <v>316.22776601683825</v>
      </c>
      <c r="P168" s="189" t="str">
        <f t="shared" si="103"/>
        <v>20.7142857142857</v>
      </c>
      <c r="Q168" s="160" t="str">
        <f t="shared" si="104"/>
        <v>1+0.454152606436393i</v>
      </c>
      <c r="R168" s="160">
        <f t="shared" si="112"/>
        <v>1.0982962213961083</v>
      </c>
      <c r="S168" s="160">
        <f t="shared" si="113"/>
        <v>0.42630186535125664</v>
      </c>
      <c r="T168" s="160" t="str">
        <f t="shared" si="105"/>
        <v>1+0.0000397383530631844i</v>
      </c>
      <c r="U168" s="160">
        <f t="shared" si="114"/>
        <v>1.0000000007895682</v>
      </c>
      <c r="V168" s="160">
        <f t="shared" si="115"/>
        <v>3.9738353042266968E-5</v>
      </c>
      <c r="W168" s="98" t="str">
        <f t="shared" si="106"/>
        <v>1-0.0104313176790859i</v>
      </c>
      <c r="X168" s="160">
        <f t="shared" si="116"/>
        <v>1.0000544047143245</v>
      </c>
      <c r="Y168" s="160">
        <f t="shared" si="117"/>
        <v>-1.0430939351588259E-2</v>
      </c>
      <c r="Z168" s="98" t="str">
        <f t="shared" si="107"/>
        <v>0.999991659890328-0.0007783551441303i</v>
      </c>
      <c r="AA168" s="160">
        <f t="shared" si="118"/>
        <v>0.99999196281117375</v>
      </c>
      <c r="AB168" s="160">
        <f t="shared" si="119"/>
        <v>-7.7836147856245234E-4</v>
      </c>
      <c r="AC168" s="171" t="str">
        <f t="shared" si="120"/>
        <v>17.0977053269575-7.96409990964947i</v>
      </c>
      <c r="AD168" s="190">
        <f t="shared" si="121"/>
        <v>25.511551813240093</v>
      </c>
      <c r="AE168" s="169">
        <f t="shared" si="122"/>
        <v>-24.976072816812902</v>
      </c>
      <c r="AF168" s="98" t="str">
        <f t="shared" si="108"/>
        <v>-0.0000897803247373448</v>
      </c>
      <c r="AG168" s="98" t="str">
        <f t="shared" si="109"/>
        <v>0.00397383530631844i</v>
      </c>
      <c r="AH168" s="98">
        <f t="shared" si="123"/>
        <v>3.9738353063184396E-3</v>
      </c>
      <c r="AI168" s="98">
        <f t="shared" si="124"/>
        <v>1.5707963267948966</v>
      </c>
      <c r="AJ168" s="98" t="str">
        <f t="shared" si="110"/>
        <v>1+0.466925648492417i</v>
      </c>
      <c r="AK168" s="98">
        <f t="shared" si="125"/>
        <v>1.1036392350854805</v>
      </c>
      <c r="AL168" s="98">
        <f t="shared" si="126"/>
        <v>0.43683980626391028</v>
      </c>
      <c r="AM168" s="98" t="str">
        <f t="shared" si="111"/>
        <v>1+0.933851296984836i</v>
      </c>
      <c r="AN168" s="98">
        <f t="shared" si="127"/>
        <v>1.3682391036950596</v>
      </c>
      <c r="AO168" s="98">
        <f t="shared" si="128"/>
        <v>0.75120581231686923</v>
      </c>
      <c r="AP168" s="168" t="str">
        <f t="shared" si="129"/>
        <v>-0.00866093492461744+0.0266368776888054i</v>
      </c>
      <c r="AQ168" s="98">
        <f t="shared" si="130"/>
        <v>-31.053876508255268</v>
      </c>
      <c r="AR168" s="169">
        <f t="shared" si="131"/>
        <v>108.01184536921862</v>
      </c>
      <c r="AS168" s="168" t="str">
        <f t="shared" si="132"/>
        <v>0.0640566419976952+0.524406036604029i</v>
      </c>
      <c r="AT168" s="190">
        <f t="shared" si="133"/>
        <v>-5.5423246950151794</v>
      </c>
      <c r="AU168" s="169">
        <f t="shared" si="134"/>
        <v>83.035772552405717</v>
      </c>
      <c r="AV168" s="225"/>
      <c r="AX168">
        <f t="shared" si="135"/>
        <v>0</v>
      </c>
      <c r="AY168">
        <f t="shared" si="136"/>
        <v>0</v>
      </c>
    </row>
    <row r="169" spans="14:51" x14ac:dyDescent="0.3">
      <c r="N169" s="170">
        <v>51</v>
      </c>
      <c r="O169" s="199">
        <f t="shared" si="102"/>
        <v>323.59365692962825</v>
      </c>
      <c r="P169" s="189" t="str">
        <f t="shared" si="103"/>
        <v>20.7142857142857</v>
      </c>
      <c r="Q169" s="160" t="str">
        <f t="shared" si="104"/>
        <v>1+0.4647311795924i</v>
      </c>
      <c r="R169" s="160">
        <f t="shared" si="112"/>
        <v>1.1027125959584136</v>
      </c>
      <c r="S169" s="160">
        <f t="shared" si="113"/>
        <v>0.43503662162587914</v>
      </c>
      <c r="T169" s="160" t="str">
        <f t="shared" si="105"/>
        <v>1+0.000040663978214335i</v>
      </c>
      <c r="U169" s="160">
        <f t="shared" si="114"/>
        <v>1.0000000008267795</v>
      </c>
      <c r="V169" s="160">
        <f t="shared" si="115"/>
        <v>4.0663978191921568E-5</v>
      </c>
      <c r="W169" s="98" t="str">
        <f t="shared" si="106"/>
        <v>1-0.0106742942812629i</v>
      </c>
      <c r="X169" s="160">
        <f t="shared" si="116"/>
        <v>1.0000569686564875</v>
      </c>
      <c r="Y169" s="160">
        <f t="shared" si="117"/>
        <v>-1.0673888897292689E-2</v>
      </c>
      <c r="Z169" s="98" t="str">
        <f t="shared" si="107"/>
        <v>0.999991266833068-0.000796485364494212i</v>
      </c>
      <c r="AA169" s="160">
        <f t="shared" si="118"/>
        <v>0.99999158403025579</v>
      </c>
      <c r="AB169" s="160">
        <f t="shared" si="119"/>
        <v>-7.9649215196308978E-4</v>
      </c>
      <c r="AC169" s="171" t="str">
        <f t="shared" si="120"/>
        <v>16.9575345142229-8.08446594769013i</v>
      </c>
      <c r="AD169" s="190">
        <f t="shared" si="121"/>
        <v>25.476720453066328</v>
      </c>
      <c r="AE169" s="169">
        <f t="shared" si="122"/>
        <v>-25.489365624547599</v>
      </c>
      <c r="AF169" s="98" t="str">
        <f t="shared" si="108"/>
        <v>-0.0000897803247373448</v>
      </c>
      <c r="AG169" s="98" t="str">
        <f t="shared" si="109"/>
        <v>0.0040663978214335i</v>
      </c>
      <c r="AH169" s="98">
        <f t="shared" si="123"/>
        <v>4.0663978214334996E-3</v>
      </c>
      <c r="AI169" s="98">
        <f t="shared" si="124"/>
        <v>1.5707963267948966</v>
      </c>
      <c r="AJ169" s="98" t="str">
        <f t="shared" si="110"/>
        <v>1+0.477801744018436i</v>
      </c>
      <c r="AK169" s="98">
        <f t="shared" si="125"/>
        <v>1.1082844881108185</v>
      </c>
      <c r="AL169" s="98">
        <f t="shared" si="126"/>
        <v>0.44573182461371785</v>
      </c>
      <c r="AM169" s="98" t="str">
        <f t="shared" si="111"/>
        <v>1+0.955603488036875i</v>
      </c>
      <c r="AN169" s="98">
        <f t="shared" si="127"/>
        <v>1.3831767878142844</v>
      </c>
      <c r="AO169" s="98">
        <f t="shared" si="128"/>
        <v>0.76269985700879317</v>
      </c>
      <c r="AP169" s="168" t="str">
        <f t="shared" si="129"/>
        <v>-0.0085884843578354+0.0261821814425148i</v>
      </c>
      <c r="AQ169" s="98">
        <f t="shared" si="130"/>
        <v>-31.196045095457237</v>
      </c>
      <c r="AR169" s="169">
        <f t="shared" si="131"/>
        <v>108.16093049680383</v>
      </c>
      <c r="AS169" s="168" t="str">
        <f t="shared" si="132"/>
        <v>0.0660294343853981+0.513418554802281i</v>
      </c>
      <c r="AT169" s="190">
        <f t="shared" si="133"/>
        <v>-5.719324642390907</v>
      </c>
      <c r="AU169" s="169">
        <f t="shared" si="134"/>
        <v>82.671564872256241</v>
      </c>
      <c r="AV169" s="225"/>
      <c r="AX169">
        <f t="shared" si="135"/>
        <v>0</v>
      </c>
      <c r="AY169">
        <f t="shared" si="136"/>
        <v>0</v>
      </c>
    </row>
    <row r="170" spans="14:51" x14ac:dyDescent="0.3">
      <c r="N170" s="170">
        <v>52</v>
      </c>
      <c r="O170" s="199">
        <f t="shared" si="102"/>
        <v>331.13112148259137</v>
      </c>
      <c r="P170" s="189" t="str">
        <f t="shared" si="103"/>
        <v>20.7142857142857</v>
      </c>
      <c r="Q170" s="160" t="str">
        <f t="shared" si="104"/>
        <v>1+0.475556159371273i</v>
      </c>
      <c r="R170" s="160">
        <f t="shared" si="112"/>
        <v>1.1073182291987953</v>
      </c>
      <c r="S170" s="160">
        <f t="shared" si="113"/>
        <v>0.44390201473270463</v>
      </c>
      <c r="T170" s="160" t="str">
        <f t="shared" si="105"/>
        <v>1+0.0000416111639449864i</v>
      </c>
      <c r="U170" s="160">
        <f t="shared" si="114"/>
        <v>1.0000000008657444</v>
      </c>
      <c r="V170" s="160">
        <f t="shared" si="115"/>
        <v>4.1611163920969977E-5</v>
      </c>
      <c r="W170" s="98" t="str">
        <f t="shared" si="106"/>
        <v>1-0.0109229305355589i</v>
      </c>
      <c r="X170" s="160">
        <f t="shared" si="116"/>
        <v>1.0000596534264767</v>
      </c>
      <c r="Y170" s="160">
        <f t="shared" si="117"/>
        <v>-1.0922496160208172E-2</v>
      </c>
      <c r="Z170" s="98" t="str">
        <f t="shared" si="107"/>
        <v>0.999990855251591-0.000815037891941112i</v>
      </c>
      <c r="AA170" s="160">
        <f t="shared" si="118"/>
        <v>0.99999118739795601</v>
      </c>
      <c r="AB170" s="160">
        <f t="shared" si="119"/>
        <v>-8.1504516484789599E-4</v>
      </c>
      <c r="AC170" s="171" t="str">
        <f t="shared" si="120"/>
        <v>16.8131396726228-8.20410956659337i</v>
      </c>
      <c r="AD170" s="190">
        <f t="shared" si="121"/>
        <v>25.440544934459773</v>
      </c>
      <c r="AE170" s="169">
        <f t="shared" si="122"/>
        <v>-26.010442101134306</v>
      </c>
      <c r="AF170" s="98" t="str">
        <f t="shared" si="108"/>
        <v>-0.0000897803247373448</v>
      </c>
      <c r="AG170" s="98" t="str">
        <f t="shared" si="109"/>
        <v>0.00416111639449863i</v>
      </c>
      <c r="AH170" s="98">
        <f t="shared" si="123"/>
        <v>4.1611163944986302E-3</v>
      </c>
      <c r="AI170" s="98">
        <f t="shared" si="124"/>
        <v>1.5707963267948966</v>
      </c>
      <c r="AJ170" s="98" t="str">
        <f t="shared" si="110"/>
        <v>1+0.48893117635359i</v>
      </c>
      <c r="AK170" s="98">
        <f t="shared" si="125"/>
        <v>1.1131278880750879</v>
      </c>
      <c r="AL170" s="98">
        <f t="shared" si="126"/>
        <v>0.45475340422996613</v>
      </c>
      <c r="AM170" s="98" t="str">
        <f t="shared" si="111"/>
        <v>1+0.977862352707183i</v>
      </c>
      <c r="AN170" s="98">
        <f t="shared" si="127"/>
        <v>1.3986474826924857</v>
      </c>
      <c r="AO170" s="98">
        <f t="shared" si="128"/>
        <v>0.7742059169364417</v>
      </c>
      <c r="AP170" s="168" t="str">
        <f t="shared" si="129"/>
        <v>-0.00851390718369627+0.0257387332577846i</v>
      </c>
      <c r="AQ170" s="98">
        <f t="shared" si="130"/>
        <v>-31.337309753832848</v>
      </c>
      <c r="AR170" s="169">
        <f t="shared" si="131"/>
        <v>108.30328073293039</v>
      </c>
      <c r="AS170" s="168" t="str">
        <f t="shared" si="132"/>
        <v>0.0680178771129536+0.502597944634365i</v>
      </c>
      <c r="AT170" s="190">
        <f t="shared" si="133"/>
        <v>-5.8967648193730664</v>
      </c>
      <c r="AU170" s="169">
        <f t="shared" si="134"/>
        <v>82.292838631796101</v>
      </c>
      <c r="AV170" s="225"/>
      <c r="AX170">
        <f t="shared" si="135"/>
        <v>0</v>
      </c>
      <c r="AY170">
        <f t="shared" si="136"/>
        <v>0</v>
      </c>
    </row>
    <row r="171" spans="14:51" x14ac:dyDescent="0.3">
      <c r="N171" s="170">
        <v>53</v>
      </c>
      <c r="O171" s="199">
        <f t="shared" si="102"/>
        <v>338.84415613920277</v>
      </c>
      <c r="P171" s="189" t="str">
        <f t="shared" si="103"/>
        <v>20.7142857142857</v>
      </c>
      <c r="Q171" s="160" t="str">
        <f t="shared" si="104"/>
        <v>1+0.486633285320571i</v>
      </c>
      <c r="R171" s="160">
        <f t="shared" si="112"/>
        <v>1.1121204765590338</v>
      </c>
      <c r="S171" s="160">
        <f t="shared" si="113"/>
        <v>0.45289716999130475</v>
      </c>
      <c r="T171" s="160" t="str">
        <f t="shared" si="105"/>
        <v>1+0.00004258041246555i</v>
      </c>
      <c r="U171" s="160">
        <f t="shared" si="114"/>
        <v>1.0000000009065457</v>
      </c>
      <c r="V171" s="160">
        <f t="shared" si="115"/>
        <v>4.2580412439815938E-5</v>
      </c>
      <c r="W171" s="98" t="str">
        <f t="shared" si="106"/>
        <v>1-0.0111773582722068i</v>
      </c>
      <c r="X171" s="160">
        <f t="shared" si="116"/>
        <v>1.000062464718052</v>
      </c>
      <c r="Y171" s="160">
        <f t="shared" si="117"/>
        <v>-1.1176892832202901E-2</v>
      </c>
      <c r="Z171" s="98" t="str">
        <f t="shared" si="107"/>
        <v>0.999990424272876-0.000834022563266615i</v>
      </c>
      <c r="AA171" s="160">
        <f t="shared" si="118"/>
        <v>0.99999077207296405</v>
      </c>
      <c r="AB171" s="160">
        <f t="shared" si="119"/>
        <v>-8.3403035632983503E-4</v>
      </c>
      <c r="AC171" s="171" t="str">
        <f t="shared" si="120"/>
        <v>16.6644870132655-8.32286857286817i</v>
      </c>
      <c r="AD171" s="190">
        <f t="shared" si="121"/>
        <v>25.402985207522622</v>
      </c>
      <c r="AE171" s="169">
        <f t="shared" si="122"/>
        <v>-26.539259083949784</v>
      </c>
      <c r="AF171" s="98" t="str">
        <f t="shared" si="108"/>
        <v>-0.0000897803247373448</v>
      </c>
      <c r="AG171" s="98" t="str">
        <f t="shared" si="109"/>
        <v>0.00425804124655501i</v>
      </c>
      <c r="AH171" s="98">
        <f t="shared" si="123"/>
        <v>4.2580412465550097E-3</v>
      </c>
      <c r="AI171" s="98">
        <f t="shared" si="124"/>
        <v>1.5707963267948966</v>
      </c>
      <c r="AJ171" s="98" t="str">
        <f t="shared" si="110"/>
        <v>1+0.500319846470213i</v>
      </c>
      <c r="AK171" s="98">
        <f t="shared" si="125"/>
        <v>1.1181770650357561</v>
      </c>
      <c r="AL171" s="98">
        <f t="shared" si="126"/>
        <v>0.4639034534390174</v>
      </c>
      <c r="AM171" s="98" t="str">
        <f t="shared" si="111"/>
        <v>1+1.00063969294043i</v>
      </c>
      <c r="AN171" s="98">
        <f t="shared" si="127"/>
        <v>1.4146659659042899</v>
      </c>
      <c r="AO171" s="98">
        <f t="shared" si="128"/>
        <v>0.78571790758771265</v>
      </c>
      <c r="AP171" s="168" t="str">
        <f t="shared" si="129"/>
        <v>-0.00843719095020369+0.0253061825398249i</v>
      </c>
      <c r="AQ171" s="98">
        <f t="shared" si="130"/>
        <v>-31.477707338163036</v>
      </c>
      <c r="AR171" s="169">
        <f t="shared" si="131"/>
        <v>108.43861000902656</v>
      </c>
      <c r="AS171" s="168" t="str">
        <f t="shared" si="132"/>
        <v>0.0700185723418633+0.491936181692976i</v>
      </c>
      <c r="AT171" s="190">
        <f t="shared" si="133"/>
        <v>-6.0747221306404207</v>
      </c>
      <c r="AU171" s="169">
        <f t="shared" si="134"/>
        <v>81.899350925076774</v>
      </c>
      <c r="AV171" s="225"/>
      <c r="AX171">
        <f t="shared" si="135"/>
        <v>0</v>
      </c>
      <c r="AY171">
        <f t="shared" si="136"/>
        <v>0</v>
      </c>
    </row>
    <row r="172" spans="14:51" x14ac:dyDescent="0.3">
      <c r="N172" s="170">
        <v>54</v>
      </c>
      <c r="O172" s="199">
        <f t="shared" si="102"/>
        <v>346.73685045253183</v>
      </c>
      <c r="P172" s="189" t="str">
        <f t="shared" si="103"/>
        <v>20.7142857142857</v>
      </c>
      <c r="Q172" s="160" t="str">
        <f t="shared" si="104"/>
        <v>1+0.497968430679102i</v>
      </c>
      <c r="R172" s="160">
        <f t="shared" si="112"/>
        <v>1.1171269211477306</v>
      </c>
      <c r="S172" s="160">
        <f t="shared" si="113"/>
        <v>0.46202103317681043</v>
      </c>
      <c r="T172" s="160" t="str">
        <f t="shared" si="105"/>
        <v>1+0.0000435722376844214i</v>
      </c>
      <c r="U172" s="160">
        <f t="shared" si="114"/>
        <v>1.00000000094927</v>
      </c>
      <c r="V172" s="160">
        <f t="shared" si="115"/>
        <v>4.3572237656846861E-5</v>
      </c>
      <c r="W172" s="98" t="str">
        <f t="shared" si="106"/>
        <v>1-0.0114377123921606i</v>
      </c>
      <c r="X172" s="160">
        <f t="shared" si="116"/>
        <v>1.0000654084932474</v>
      </c>
      <c r="Y172" s="160">
        <f t="shared" si="117"/>
        <v>-1.1437213665972687E-2</v>
      </c>
      <c r="Z172" s="98" t="str">
        <f t="shared" si="107"/>
        <v>0.99998997298276-0.000853449444394759i</v>
      </c>
      <c r="AA172" s="160">
        <f t="shared" si="118"/>
        <v>0.99999033717432251</v>
      </c>
      <c r="AB172" s="160">
        <f t="shared" si="119"/>
        <v>-8.5345779481603185E-4</v>
      </c>
      <c r="AC172" s="171" t="str">
        <f t="shared" si="120"/>
        <v>16.5115500175426-8.44057537354153i</v>
      </c>
      <c r="AD172" s="190">
        <f t="shared" si="121"/>
        <v>25.364000939493291</v>
      </c>
      <c r="AE172" s="169">
        <f t="shared" si="122"/>
        <v>-27.075763284797446</v>
      </c>
      <c r="AF172" s="98" t="str">
        <f t="shared" si="108"/>
        <v>-0.0000897803247373448</v>
      </c>
      <c r="AG172" s="98" t="str">
        <f t="shared" si="109"/>
        <v>0.00435722376844215i</v>
      </c>
      <c r="AH172" s="98">
        <f t="shared" si="123"/>
        <v>4.3572237684421497E-3</v>
      </c>
      <c r="AI172" s="98">
        <f t="shared" si="124"/>
        <v>1.5707963267948966</v>
      </c>
      <c r="AJ172" s="98" t="str">
        <f t="shared" si="110"/>
        <v>1+0.511973792791951i</v>
      </c>
      <c r="AK172" s="98">
        <f t="shared" si="125"/>
        <v>1.1234398802364884</v>
      </c>
      <c r="AL172" s="98">
        <f t="shared" si="126"/>
        <v>0.47318069417801617</v>
      </c>
      <c r="AM172" s="98" t="str">
        <f t="shared" si="111"/>
        <v>1+1.02394758558391i</v>
      </c>
      <c r="AN172" s="98">
        <f t="shared" si="127"/>
        <v>1.4312472386080326</v>
      </c>
      <c r="AO172" s="98">
        <f t="shared" si="128"/>
        <v>0.79722972875136211</v>
      </c>
      <c r="AP172" s="168" t="str">
        <f t="shared" si="129"/>
        <v>-0.00835832714530039+0.0248841822517914i</v>
      </c>
      <c r="AQ172" s="98">
        <f t="shared" si="130"/>
        <v>-31.617277337370119</v>
      </c>
      <c r="AR172" s="169">
        <f t="shared" si="131"/>
        <v>108.56664203634163</v>
      </c>
      <c r="AS172" s="168" t="str">
        <f t="shared" si="132"/>
        <v>0.0720278791825782+0.481425510162726i</v>
      </c>
      <c r="AT172" s="190">
        <f t="shared" si="133"/>
        <v>-6.2532763978768244</v>
      </c>
      <c r="AU172" s="169">
        <f t="shared" si="134"/>
        <v>81.490878751544201</v>
      </c>
      <c r="AV172" s="225"/>
      <c r="AX172">
        <f t="shared" si="135"/>
        <v>0</v>
      </c>
      <c r="AY172">
        <f t="shared" si="136"/>
        <v>0</v>
      </c>
    </row>
    <row r="173" spans="14:51" x14ac:dyDescent="0.3">
      <c r="N173" s="170">
        <v>55</v>
      </c>
      <c r="O173" s="199">
        <f t="shared" si="102"/>
        <v>354.81338923357566</v>
      </c>
      <c r="P173" s="189" t="str">
        <f t="shared" si="103"/>
        <v>20.7142857142857</v>
      </c>
      <c r="Q173" s="160" t="str">
        <f t="shared" si="104"/>
        <v>1+0.509567605490969i</v>
      </c>
      <c r="R173" s="160">
        <f t="shared" si="112"/>
        <v>1.1223453766848241</v>
      </c>
      <c r="S173" s="160">
        <f t="shared" si="113"/>
        <v>0.47127236480256701</v>
      </c>
      <c r="T173" s="160" t="str">
        <f t="shared" si="105"/>
        <v>1+0.0000445871654804598i</v>
      </c>
      <c r="U173" s="160">
        <f t="shared" si="114"/>
        <v>1.0000000009940075</v>
      </c>
      <c r="V173" s="160">
        <f t="shared" si="115"/>
        <v>4.4587165450913141E-5</v>
      </c>
      <c r="W173" s="98" t="str">
        <f t="shared" si="106"/>
        <v>1-0.0117041309386207i</v>
      </c>
      <c r="X173" s="160">
        <f t="shared" si="116"/>
        <v>1.0000684909950059</v>
      </c>
      <c r="Y173" s="160">
        <f t="shared" si="117"/>
        <v>-1.1703596545858959E-2</v>
      </c>
      <c r="Z173" s="98" t="str">
        <f t="shared" si="107"/>
        <v>0.999989500423996-0.00087332883571506i</v>
      </c>
      <c r="AA173" s="160">
        <f t="shared" si="118"/>
        <v>0.99998988177955517</v>
      </c>
      <c r="AB173" s="160">
        <f t="shared" si="119"/>
        <v>-8.7333778335668395E-4</v>
      </c>
      <c r="AC173" s="171" t="str">
        <f t="shared" si="120"/>
        <v>16.3543099600815-8.55705727993597i</v>
      </c>
      <c r="AD173" s="190">
        <f t="shared" si="121"/>
        <v>25.323551586094474</v>
      </c>
      <c r="AE173" s="169">
        <f t="shared" si="122"/>
        <v>-27.619890966061821</v>
      </c>
      <c r="AF173" s="98" t="str">
        <f t="shared" si="108"/>
        <v>-0.0000897803247373448</v>
      </c>
      <c r="AG173" s="98" t="str">
        <f t="shared" si="109"/>
        <v>0.00445871654804599i</v>
      </c>
      <c r="AH173" s="98">
        <f t="shared" si="123"/>
        <v>4.4587165480459903E-3</v>
      </c>
      <c r="AI173" s="98">
        <f t="shared" si="124"/>
        <v>1.5707963267948966</v>
      </c>
      <c r="AJ173" s="98" t="str">
        <f t="shared" si="110"/>
        <v>1+0.523899194395403i</v>
      </c>
      <c r="AK173" s="98">
        <f t="shared" si="125"/>
        <v>1.1289244287764137</v>
      </c>
      <c r="AL173" s="98">
        <f t="shared" si="126"/>
        <v>0.48258365671436665</v>
      </c>
      <c r="AM173" s="98" t="str">
        <f t="shared" si="111"/>
        <v>1+1.04779838879081i</v>
      </c>
      <c r="AN173" s="98">
        <f t="shared" si="127"/>
        <v>1.4484065256524554</v>
      </c>
      <c r="AO173" s="98">
        <f t="shared" si="128"/>
        <v>0.80873528066505518</v>
      </c>
      <c r="AP173" s="168" t="str">
        <f t="shared" si="129"/>
        <v>-0.00827731145344172+0.0244723889576319i</v>
      </c>
      <c r="AQ173" s="98">
        <f t="shared" si="130"/>
        <v>-31.756061802261364</v>
      </c>
      <c r="AR173" s="169">
        <f t="shared" si="131"/>
        <v>108.68711153371241</v>
      </c>
      <c r="AS173" s="168" t="str">
        <f t="shared" si="132"/>
        <v>0.0740419169416101+0.471058462707759i</v>
      </c>
      <c r="AT173" s="190">
        <f t="shared" si="133"/>
        <v>-6.4325102161668868</v>
      </c>
      <c r="AU173" s="169">
        <f t="shared" si="134"/>
        <v>81.067220567650594</v>
      </c>
      <c r="AV173" s="225"/>
      <c r="AX173">
        <f t="shared" si="135"/>
        <v>0</v>
      </c>
      <c r="AY173">
        <f t="shared" si="136"/>
        <v>0</v>
      </c>
    </row>
    <row r="174" spans="14:51" x14ac:dyDescent="0.3">
      <c r="N174" s="170">
        <v>56</v>
      </c>
      <c r="O174" s="199">
        <f t="shared" si="102"/>
        <v>363.07805477010152</v>
      </c>
      <c r="P174" s="189" t="str">
        <f t="shared" si="103"/>
        <v>20.7142857142857</v>
      </c>
      <c r="Q174" s="160" t="str">
        <f t="shared" si="104"/>
        <v>1+0.521436959792194i</v>
      </c>
      <c r="R174" s="160">
        <f t="shared" si="112"/>
        <v>1.1277838902189223</v>
      </c>
      <c r="S174" s="160">
        <f t="shared" si="113"/>
        <v>0.48064973475997524</v>
      </c>
      <c r="T174" s="160" t="str">
        <f t="shared" si="105"/>
        <v>1+0.000045625733981817i</v>
      </c>
      <c r="U174" s="160">
        <f t="shared" si="114"/>
        <v>1.0000000010408538</v>
      </c>
      <c r="V174" s="160">
        <f t="shared" si="115"/>
        <v>4.5625733950157185E-5</v>
      </c>
      <c r="W174" s="98" t="str">
        <f t="shared" si="106"/>
        <v>1-0.0119767551702269i</v>
      </c>
      <c r="X174" s="160">
        <f t="shared" si="116"/>
        <v>1.0000717187604136</v>
      </c>
      <c r="Y174" s="160">
        <f t="shared" si="117"/>
        <v>-1.1976182560283918E-2</v>
      </c>
      <c r="Z174" s="98" t="str">
        <f t="shared" si="107"/>
        <v>0.999989005594224-0.000893671277543934i</v>
      </c>
      <c r="AA174" s="160">
        <f t="shared" si="118"/>
        <v>0.99998940492271082</v>
      </c>
      <c r="AB174" s="160">
        <f t="shared" si="119"/>
        <v>-8.9368086511918418E-4</v>
      </c>
      <c r="AC174" s="171" t="str">
        <f t="shared" si="120"/>
        <v>16.1927564250795-8.67213686027072i</v>
      </c>
      <c r="AD174" s="190">
        <f t="shared" si="121"/>
        <v>25.281596467804135</v>
      </c>
      <c r="AE174" s="169">
        <f t="shared" si="122"/>
        <v>-28.171567637416075</v>
      </c>
      <c r="AF174" s="98" t="str">
        <f t="shared" si="108"/>
        <v>-0.0000897803247373448</v>
      </c>
      <c r="AG174" s="98" t="str">
        <f t="shared" si="109"/>
        <v>0.00456257339818169i</v>
      </c>
      <c r="AH174" s="98">
        <f t="shared" si="123"/>
        <v>4.5625733981816902E-3</v>
      </c>
      <c r="AI174" s="98">
        <f t="shared" si="124"/>
        <v>1.5707963267948966</v>
      </c>
      <c r="AJ174" s="98" t="str">
        <f t="shared" si="110"/>
        <v>1+0.53610237428635i</v>
      </c>
      <c r="AK174" s="98">
        <f t="shared" si="125"/>
        <v>1.1346390420373615</v>
      </c>
      <c r="AL174" s="98">
        <f t="shared" si="126"/>
        <v>0.49211067478732989</v>
      </c>
      <c r="AM174" s="98" t="str">
        <f t="shared" si="111"/>
        <v>1+1.0722047485727i</v>
      </c>
      <c r="AN174" s="98">
        <f t="shared" si="127"/>
        <v>1.466159276089009</v>
      </c>
      <c r="AO174" s="98">
        <f t="shared" si="128"/>
        <v>0.82022848016055383</v>
      </c>
      <c r="AP174" s="168" t="str">
        <f t="shared" si="129"/>
        <v>-0.00819414400611831+0.0240704628930914i</v>
      </c>
      <c r="AQ174" s="98">
        <f t="shared" si="130"/>
        <v>-31.894105258128157</v>
      </c>
      <c r="AR174" s="169">
        <f t="shared" si="131"/>
        <v>108.79976543098073</v>
      </c>
      <c r="AS174" s="168" t="str">
        <f t="shared" si="132"/>
        <v>0.0760565704958576+0.460827880940568i</v>
      </c>
      <c r="AT174" s="190">
        <f t="shared" si="133"/>
        <v>-6.6125087903240249</v>
      </c>
      <c r="AU174" s="169">
        <f t="shared" si="134"/>
        <v>80.628197793564652</v>
      </c>
      <c r="AV174" s="225"/>
      <c r="AX174">
        <f t="shared" si="135"/>
        <v>0</v>
      </c>
      <c r="AY174">
        <f t="shared" si="136"/>
        <v>0</v>
      </c>
    </row>
    <row r="175" spans="14:51" x14ac:dyDescent="0.3">
      <c r="N175" s="170">
        <v>57</v>
      </c>
      <c r="O175" s="199">
        <f t="shared" si="102"/>
        <v>371.53522909717265</v>
      </c>
      <c r="P175" s="189" t="str">
        <f t="shared" si="103"/>
        <v>20.7142857142857</v>
      </c>
      <c r="Q175" s="160" t="str">
        <f t="shared" si="104"/>
        <v>1+0.533582786871534i</v>
      </c>
      <c r="R175" s="160">
        <f t="shared" si="112"/>
        <v>1.1334507446049842</v>
      </c>
      <c r="S175" s="160">
        <f t="shared" si="113"/>
        <v>0.49015151736926582</v>
      </c>
      <c r="T175" s="160" t="str">
        <f t="shared" si="105"/>
        <v>1+0.0000466884938512592i</v>
      </c>
      <c r="U175" s="160">
        <f t="shared" si="114"/>
        <v>1.0000000010899077</v>
      </c>
      <c r="V175" s="160">
        <f t="shared" si="115"/>
        <v>4.6688493817335097E-5</v>
      </c>
      <c r="W175" s="98" t="str">
        <f t="shared" si="106"/>
        <v>1-0.0122557296359555i</v>
      </c>
      <c r="X175" s="160">
        <f t="shared" si="116"/>
        <v>1.0000750986345524</v>
      </c>
      <c r="Y175" s="160">
        <f t="shared" si="117"/>
        <v>-1.2255116075835615E-2</v>
      </c>
      <c r="Z175" s="98" t="str">
        <f t="shared" si="107"/>
        <v>0.999988487443843-0.000914487555713296i</v>
      </c>
      <c r="AA175" s="160">
        <f t="shared" si="118"/>
        <v>0.99998890559231435</v>
      </c>
      <c r="AB175" s="160">
        <f t="shared" si="119"/>
        <v>-9.1449782899033179E-4</v>
      </c>
      <c r="AC175" s="171" t="str">
        <f t="shared" si="120"/>
        <v>16.0268878114717-8.78563234222957i</v>
      </c>
      <c r="AD175" s="190">
        <f t="shared" si="121"/>
        <v>25.238094850966277</v>
      </c>
      <c r="AE175" s="169">
        <f t="shared" si="122"/>
        <v>-28.730707776157914</v>
      </c>
      <c r="AF175" s="98" t="str">
        <f t="shared" si="108"/>
        <v>-0.0000897803247373448</v>
      </c>
      <c r="AG175" s="98" t="str">
        <f t="shared" si="109"/>
        <v>0.00466884938512591i</v>
      </c>
      <c r="AH175" s="98">
        <f t="shared" si="123"/>
        <v>4.6688493851259104E-3</v>
      </c>
      <c r="AI175" s="98">
        <f t="shared" si="124"/>
        <v>1.5707963267948966</v>
      </c>
      <c r="AJ175" s="98" t="str">
        <f t="shared" si="110"/>
        <v>1+0.548589802752296i</v>
      </c>
      <c r="AK175" s="98">
        <f t="shared" si="125"/>
        <v>1.1405922898581258</v>
      </c>
      <c r="AL175" s="98">
        <f t="shared" si="126"/>
        <v>0.50175988122671467</v>
      </c>
      <c r="AM175" s="98" t="str">
        <f t="shared" si="111"/>
        <v>1+1.09717960550459i</v>
      </c>
      <c r="AN175" s="98">
        <f t="shared" si="127"/>
        <v>1.4845211641250546</v>
      </c>
      <c r="AO175" s="98">
        <f t="shared" si="128"/>
        <v>0.83170327670185051</v>
      </c>
      <c r="AP175" s="168" t="str">
        <f t="shared" si="129"/>
        <v>-0.00810882962387911+0.0236780680651152i</v>
      </c>
      <c r="AQ175" s="98">
        <f t="shared" si="130"/>
        <v>-32.031454602389474</v>
      </c>
      <c r="AR175" s="169">
        <f t="shared" si="131"/>
        <v>108.90436403894105</v>
      </c>
      <c r="AS175" s="168" t="str">
        <f t="shared" si="132"/>
        <v>0.0780674979301405+0.450726936273174i</v>
      </c>
      <c r="AT175" s="190">
        <f t="shared" si="133"/>
        <v>-6.7933597514231927</v>
      </c>
      <c r="AU175" s="169">
        <f t="shared" si="134"/>
        <v>80.173656262783155</v>
      </c>
      <c r="AV175" s="225"/>
      <c r="AX175">
        <f t="shared" si="135"/>
        <v>0</v>
      </c>
      <c r="AY175">
        <f t="shared" si="136"/>
        <v>0</v>
      </c>
    </row>
    <row r="176" spans="14:51" x14ac:dyDescent="0.3">
      <c r="N176" s="170">
        <v>58</v>
      </c>
      <c r="O176" s="199">
        <f t="shared" si="102"/>
        <v>380.18939632056163</v>
      </c>
      <c r="P176" s="189" t="str">
        <f t="shared" si="103"/>
        <v>20.7142857142857</v>
      </c>
      <c r="Q176" s="160" t="str">
        <f t="shared" si="104"/>
        <v>1+0.546011526607275i</v>
      </c>
      <c r="R176" s="160">
        <f t="shared" si="112"/>
        <v>1.1393544607311665</v>
      </c>
      <c r="S176" s="160">
        <f t="shared" si="113"/>
        <v>0.49977588689608426</v>
      </c>
      <c r="T176" s="160" t="str">
        <f t="shared" si="105"/>
        <v>1+0.0000477760085781366i</v>
      </c>
      <c r="U176" s="160">
        <f t="shared" si="114"/>
        <v>1.0000000011412735</v>
      </c>
      <c r="V176" s="160">
        <f t="shared" si="115"/>
        <v>4.7776008541786268E-5</v>
      </c>
      <c r="W176" s="98" t="str">
        <f t="shared" si="106"/>
        <v>1-0.0125412022517608i</v>
      </c>
      <c r="X176" s="160">
        <f t="shared" si="116"/>
        <v>1.0000786377850091</v>
      </c>
      <c r="Y176" s="160">
        <f t="shared" si="117"/>
        <v>-1.2540544813039414E-2</v>
      </c>
      <c r="Z176" s="98" t="str">
        <f t="shared" si="107"/>
        <v>0.999987944873787-0.000935788707289371i</v>
      </c>
      <c r="AA176" s="160">
        <f t="shared" si="118"/>
        <v>0.99998838272922175</v>
      </c>
      <c r="AB176" s="160">
        <f t="shared" si="119"/>
        <v>-9.3579971530972559E-4</v>
      </c>
      <c r="AC176" s="171" t="str">
        <f t="shared" si="120"/>
        <v>15.856711822085-8.89735806622349i</v>
      </c>
      <c r="AD176" s="190">
        <f t="shared" si="121"/>
        <v>25.193006033612832</v>
      </c>
      <c r="AE176" s="169">
        <f t="shared" si="122"/>
        <v>-29.297214574326695</v>
      </c>
      <c r="AF176" s="98" t="str">
        <f t="shared" si="108"/>
        <v>-0.0000897803247373448</v>
      </c>
      <c r="AG176" s="98" t="str">
        <f t="shared" si="109"/>
        <v>0.00477760085781366i</v>
      </c>
      <c r="AH176" s="98">
        <f t="shared" si="123"/>
        <v>4.7776008578136603E-3</v>
      </c>
      <c r="AI176" s="98">
        <f t="shared" si="124"/>
        <v>1.5707963267948966</v>
      </c>
      <c r="AJ176" s="98" t="str">
        <f t="shared" si="110"/>
        <v>1+0.561368100793105i</v>
      </c>
      <c r="AK176" s="98">
        <f t="shared" si="125"/>
        <v>1.1467929824462904</v>
      </c>
      <c r="AL176" s="98">
        <f t="shared" si="126"/>
        <v>0.51152920410408098</v>
      </c>
      <c r="AM176" s="98" t="str">
        <f t="shared" si="111"/>
        <v>1+1.12273620158621i</v>
      </c>
      <c r="AN176" s="98">
        <f t="shared" si="127"/>
        <v>1.5035080905509723</v>
      </c>
      <c r="AO176" s="98">
        <f t="shared" si="128"/>
        <v>0.84315366821345472</v>
      </c>
      <c r="AP176" s="168" t="str">
        <f t="shared" si="129"/>
        <v>-0.00802137804728838+0.0232948723796603i</v>
      </c>
      <c r="AQ176" s="98">
        <f t="shared" si="130"/>
        <v>-32.168158987604073</v>
      </c>
      <c r="AR176" s="169">
        <f t="shared" si="131"/>
        <v>109.00068217675478</v>
      </c>
      <c r="AS176" s="168" t="str">
        <f t="shared" si="132"/>
        <v>0.0800701405569666+0.44074915092779i</v>
      </c>
      <c r="AT176" s="190">
        <f t="shared" si="133"/>
        <v>-6.9751529539912402</v>
      </c>
      <c r="AU176" s="169">
        <f t="shared" si="134"/>
        <v>79.703467602428091</v>
      </c>
      <c r="AV176" s="225"/>
      <c r="AX176">
        <f t="shared" si="135"/>
        <v>0</v>
      </c>
      <c r="AY176">
        <f t="shared" si="136"/>
        <v>0</v>
      </c>
    </row>
    <row r="177" spans="14:51" x14ac:dyDescent="0.3">
      <c r="N177" s="170">
        <v>59</v>
      </c>
      <c r="O177" s="199">
        <f t="shared" si="102"/>
        <v>389.04514499428063</v>
      </c>
      <c r="P177" s="189" t="str">
        <f t="shared" si="103"/>
        <v>20.7142857142857</v>
      </c>
      <c r="Q177" s="160" t="str">
        <f t="shared" si="104"/>
        <v>1+0.558729768881742i</v>
      </c>
      <c r="R177" s="160">
        <f t="shared" si="112"/>
        <v>1.1455037994850321</v>
      </c>
      <c r="S177" s="160">
        <f t="shared" si="113"/>
        <v>0.50952081358923407</v>
      </c>
      <c r="T177" s="160" t="str">
        <f t="shared" si="105"/>
        <v>1+0.0000488888547771524i</v>
      </c>
      <c r="U177" s="160">
        <f t="shared" si="114"/>
        <v>1.0000000011950601</v>
      </c>
      <c r="V177" s="160">
        <f t="shared" si="115"/>
        <v>4.8888854738202318E-5</v>
      </c>
      <c r="W177" s="98" t="str">
        <f t="shared" si="106"/>
        <v>1-0.0128333243790025i</v>
      </c>
      <c r="X177" s="160">
        <f t="shared" si="116"/>
        <v>1.0000823437170645</v>
      </c>
      <c r="Y177" s="160">
        <f t="shared" si="117"/>
        <v>-1.2832619923853162E-2</v>
      </c>
      <c r="Z177" s="98" t="str">
        <f t="shared" si="107"/>
        <v>0.999987376733192-0.00095758602642468i</v>
      </c>
      <c r="AA177" s="160">
        <f t="shared" si="118"/>
        <v>0.99998783522437362</v>
      </c>
      <c r="AB177" s="160">
        <f t="shared" si="119"/>
        <v>-9.5759782173737847E-4</v>
      </c>
      <c r="AC177" s="171" t="str">
        <f t="shared" si="120"/>
        <v>15.682245931675-9.00712498960036i</v>
      </c>
      <c r="AD177" s="190">
        <f t="shared" si="121"/>
        <v>25.146289435822396</v>
      </c>
      <c r="AE177" s="169">
        <f t="shared" si="122"/>
        <v>-29.870979715769145</v>
      </c>
      <c r="AF177" s="98" t="str">
        <f t="shared" si="108"/>
        <v>-0.0000897803247373448</v>
      </c>
      <c r="AG177" s="98" t="str">
        <f t="shared" si="109"/>
        <v>0.00488888547771523i</v>
      </c>
      <c r="AH177" s="98">
        <f t="shared" si="123"/>
        <v>4.8888854777152302E-3</v>
      </c>
      <c r="AI177" s="98">
        <f t="shared" si="124"/>
        <v>1.5707963267948966</v>
      </c>
      <c r="AJ177" s="98" t="str">
        <f t="shared" si="110"/>
        <v>1+0.574444043631541i</v>
      </c>
      <c r="AK177" s="98">
        <f t="shared" si="125"/>
        <v>1.1532501720198249</v>
      </c>
      <c r="AL177" s="98">
        <f t="shared" si="126"/>
        <v>0.52141636347174258</v>
      </c>
      <c r="AM177" s="98" t="str">
        <f t="shared" si="111"/>
        <v>1+1.14888808726308i</v>
      </c>
      <c r="AN177" s="98">
        <f t="shared" si="127"/>
        <v>1.5231361846712914</v>
      </c>
      <c r="AO177" s="98">
        <f t="shared" si="128"/>
        <v>0.85457371659845871</v>
      </c>
      <c r="AP177" s="168" t="str">
        <f t="shared" si="129"/>
        <v>-0.00793180415414143+0.0229205477976545i</v>
      </c>
      <c r="AQ177" s="98">
        <f t="shared" si="130"/>
        <v>-32.304269690318442</v>
      </c>
      <c r="AR177" s="169">
        <f t="shared" si="131"/>
        <v>109.08851024791043</v>
      </c>
      <c r="AS177" s="168" t="str">
        <f t="shared" si="132"/>
        <v>0.082059735416456+0.430888418860913i</v>
      </c>
      <c r="AT177" s="190">
        <f t="shared" si="133"/>
        <v>-7.1579802544960458</v>
      </c>
      <c r="AU177" s="169">
        <f t="shared" si="134"/>
        <v>79.217530532141311</v>
      </c>
      <c r="AV177" s="225"/>
      <c r="AX177">
        <f t="shared" si="135"/>
        <v>0</v>
      </c>
      <c r="AY177">
        <f t="shared" si="136"/>
        <v>0</v>
      </c>
    </row>
    <row r="178" spans="14:51" x14ac:dyDescent="0.3">
      <c r="N178" s="170">
        <v>60</v>
      </c>
      <c r="O178" s="199">
        <f t="shared" si="102"/>
        <v>398.10717055349761</v>
      </c>
      <c r="P178" s="189" t="str">
        <f t="shared" si="103"/>
        <v>20.7142857142857</v>
      </c>
      <c r="Q178" s="160" t="str">
        <f t="shared" si="104"/>
        <v>1+0.57174425707533i</v>
      </c>
      <c r="R178" s="160">
        <f t="shared" si="112"/>
        <v>1.1519077634509722</v>
      </c>
      <c r="S178" s="160">
        <f t="shared" si="113"/>
        <v>0.519384060294938</v>
      </c>
      <c r="T178" s="160" t="str">
        <f t="shared" si="105"/>
        <v>1+0.0000500276224940914i</v>
      </c>
      <c r="U178" s="160">
        <f t="shared" si="114"/>
        <v>1.0000000012513814</v>
      </c>
      <c r="V178" s="160">
        <f t="shared" si="115"/>
        <v>5.0027622452355644E-5</v>
      </c>
      <c r="W178" s="98" t="str">
        <f t="shared" si="106"/>
        <v>1-0.013132250904699i</v>
      </c>
      <c r="X178" s="160">
        <f t="shared" si="116"/>
        <v>1.0000862242895978</v>
      </c>
      <c r="Y178" s="160">
        <f t="shared" si="117"/>
        <v>-1.3131496070921648E-2</v>
      </c>
      <c r="Z178" s="98" t="str">
        <f t="shared" si="107"/>
        <v>0.999986781816956-0.000979891070346346i</v>
      </c>
      <c r="AA178" s="160">
        <f t="shared" si="118"/>
        <v>0.99998726191644161</v>
      </c>
      <c r="AB178" s="160">
        <f t="shared" si="119"/>
        <v>-9.7990370925876767E-4</v>
      </c>
      <c r="AC178" s="171" t="str">
        <f t="shared" si="120"/>
        <v>15.5035178285232-9.11474124153311i</v>
      </c>
      <c r="AD178" s="190">
        <f t="shared" si="121"/>
        <v>25.097904694390337</v>
      </c>
      <c r="AE178" s="169">
        <f t="shared" si="122"/>
        <v>-30.451883186329244</v>
      </c>
      <c r="AF178" s="98" t="str">
        <f t="shared" si="108"/>
        <v>-0.0000897803247373448</v>
      </c>
      <c r="AG178" s="98" t="str">
        <f t="shared" si="109"/>
        <v>0.00500276224940915i</v>
      </c>
      <c r="AH178" s="98">
        <f t="shared" si="123"/>
        <v>5.0027622494091496E-3</v>
      </c>
      <c r="AI178" s="98">
        <f t="shared" si="124"/>
        <v>1.5707963267948966</v>
      </c>
      <c r="AJ178" s="98" t="str">
        <f t="shared" si="110"/>
        <v>1+0.587824564305574i</v>
      </c>
      <c r="AK178" s="98">
        <f t="shared" si="125"/>
        <v>1.1599731541725602</v>
      </c>
      <c r="AL178" s="98">
        <f t="shared" si="126"/>
        <v>0.53141886874413857</v>
      </c>
      <c r="AM178" s="98" t="str">
        <f t="shared" si="111"/>
        <v>1+1.17564912861115i</v>
      </c>
      <c r="AN178" s="98">
        <f t="shared" si="127"/>
        <v>1.5434218067670795</v>
      </c>
      <c r="AO178" s="98">
        <f t="shared" si="128"/>
        <v>0.86595756284975112</v>
      </c>
      <c r="AP178" s="168" t="str">
        <f t="shared" si="129"/>
        <v>-0.00784012816019314+0.0225547705185568i</v>
      </c>
      <c r="AQ178" s="98">
        <f t="shared" si="130"/>
        <v>-32.439839966354945</v>
      </c>
      <c r="AR178" s="169">
        <f t="shared" si="131"/>
        <v>109.16765525606964</v>
      </c>
      <c r="AS178" s="168" t="str">
        <f t="shared" si="132"/>
        <v>0.0840313303293437+0.421139026333312i</v>
      </c>
      <c r="AT178" s="190">
        <f t="shared" si="133"/>
        <v>-7.3419352719646138</v>
      </c>
      <c r="AU178" s="169">
        <f t="shared" si="134"/>
        <v>78.715772069740396</v>
      </c>
      <c r="AV178" s="225"/>
      <c r="AX178">
        <f t="shared" si="135"/>
        <v>0</v>
      </c>
      <c r="AY178">
        <f t="shared" si="136"/>
        <v>0</v>
      </c>
    </row>
    <row r="179" spans="14:51" x14ac:dyDescent="0.3">
      <c r="N179" s="170">
        <v>61</v>
      </c>
      <c r="O179" s="199">
        <f t="shared" si="102"/>
        <v>407.38027780411272</v>
      </c>
      <c r="P179" s="189" t="str">
        <f t="shared" si="103"/>
        <v>20.7142857142857</v>
      </c>
      <c r="Q179" s="160" t="str">
        <f t="shared" si="104"/>
        <v>1+0.585061891641952i</v>
      </c>
      <c r="R179" s="160">
        <f t="shared" si="112"/>
        <v>1.1585755983325643</v>
      </c>
      <c r="S179" s="160">
        <f t="shared" si="113"/>
        <v>0.52936317970242086</v>
      </c>
      <c r="T179" s="160" t="str">
        <f t="shared" si="105"/>
        <v>1+0.0000511929155186708i</v>
      </c>
      <c r="U179" s="160">
        <f t="shared" si="114"/>
        <v>1.0000000013103572</v>
      </c>
      <c r="V179" s="160">
        <f t="shared" si="115"/>
        <v>5.1192915473950127E-5</v>
      </c>
      <c r="W179" s="98" t="str">
        <f t="shared" si="106"/>
        <v>1-0.013438140323651i</v>
      </c>
      <c r="X179" s="160">
        <f t="shared" si="116"/>
        <v>1.0000902877317419</v>
      </c>
      <c r="Y179" s="160">
        <f t="shared" si="117"/>
        <v>-1.3437331508629991E-2</v>
      </c>
      <c r="Z179" s="98" t="str">
        <f t="shared" si="107"/>
        <v>0.999986158863181-0.0010027156654839i</v>
      </c>
      <c r="AA179" s="160">
        <f t="shared" si="118"/>
        <v>0.99998666158936567</v>
      </c>
      <c r="AB179" s="160">
        <f t="shared" si="119"/>
        <v>-1.0027292083305843E-3</v>
      </c>
      <c r="AC179" s="171" t="str">
        <f t="shared" si="120"/>
        <v>15.3205658241134-9.22001272775212i</v>
      </c>
      <c r="AD179" s="190">
        <f t="shared" si="121"/>
        <v>25.047811761536337</v>
      </c>
      <c r="AE179" s="169">
        <f t="shared" si="122"/>
        <v>-31.039793120307177</v>
      </c>
      <c r="AF179" s="98" t="str">
        <f t="shared" si="108"/>
        <v>-0.0000897803247373448</v>
      </c>
      <c r="AG179" s="98" t="str">
        <f t="shared" si="109"/>
        <v>0.00511929155186708i</v>
      </c>
      <c r="AH179" s="98">
        <f t="shared" si="123"/>
        <v>5.1192915518670796E-3</v>
      </c>
      <c r="AI179" s="98">
        <f t="shared" si="124"/>
        <v>1.5707963267948966</v>
      </c>
      <c r="AJ179" s="98" t="str">
        <f t="shared" si="110"/>
        <v>1+0.601516757344382i</v>
      </c>
      <c r="AK179" s="98">
        <f t="shared" si="125"/>
        <v>1.1669714689597601</v>
      </c>
      <c r="AL179" s="98">
        <f t="shared" si="126"/>
        <v>0.54153401677478574</v>
      </c>
      <c r="AM179" s="98" t="str">
        <f t="shared" si="111"/>
        <v>1+1.20303351468877i</v>
      </c>
      <c r="AN179" s="98">
        <f t="shared" si="127"/>
        <v>1.564381551113543</v>
      </c>
      <c r="AO179" s="98">
        <f t="shared" si="128"/>
        <v>0.87729944166248386</v>
      </c>
      <c r="AP179" s="168" t="str">
        <f t="shared" si="129"/>
        <v>-0.00774637580060716+0.0221972211906718i</v>
      </c>
      <c r="AQ179" s="98">
        <f t="shared" si="130"/>
        <v>-32.574924893276709</v>
      </c>
      <c r="AR179" s="169">
        <f t="shared" si="131"/>
        <v>109.23794175248197</v>
      </c>
      <c r="AS179" s="168" t="str">
        <f t="shared" si="132"/>
        <v>0.0859798015472019+0.411495671839641i</v>
      </c>
      <c r="AT179" s="190">
        <f t="shared" si="133"/>
        <v>-7.5271131317403759</v>
      </c>
      <c r="AU179" s="169">
        <f t="shared" si="134"/>
        <v>78.198148632174806</v>
      </c>
      <c r="AV179" s="225"/>
      <c r="AX179">
        <f t="shared" si="135"/>
        <v>0</v>
      </c>
      <c r="AY179">
        <f t="shared" si="136"/>
        <v>0</v>
      </c>
    </row>
    <row r="180" spans="14:51" x14ac:dyDescent="0.3">
      <c r="N180" s="170">
        <v>62</v>
      </c>
      <c r="O180" s="199">
        <f t="shared" si="102"/>
        <v>416.86938347033572</v>
      </c>
      <c r="P180" s="189" t="str">
        <f t="shared" si="103"/>
        <v>20.7142857142857</v>
      </c>
      <c r="Q180" s="160" t="str">
        <f t="shared" si="104"/>
        <v>1+0.598689733767732i</v>
      </c>
      <c r="R180" s="160">
        <f t="shared" si="112"/>
        <v>1.1655167940955968</v>
      </c>
      <c r="S180" s="160">
        <f t="shared" si="113"/>
        <v>0.53945551227429378</v>
      </c>
      <c r="T180" s="160" t="str">
        <f t="shared" si="105"/>
        <v>1+0.0000523853517046766i</v>
      </c>
      <c r="U180" s="160">
        <f t="shared" si="114"/>
        <v>1.0000000013721124</v>
      </c>
      <c r="V180" s="160">
        <f t="shared" si="115"/>
        <v>5.2385351656757534E-5</v>
      </c>
      <c r="W180" s="98" t="str">
        <f t="shared" si="106"/>
        <v>1-0.0137511548224776i</v>
      </c>
      <c r="X180" s="160">
        <f t="shared" si="116"/>
        <v>1.0000945426603185</v>
      </c>
      <c r="Y180" s="160">
        <f t="shared" si="117"/>
        <v>-1.3750288165993038E-2</v>
      </c>
      <c r="Z180" s="98" t="str">
        <f t="shared" si="107"/>
        <v>0.999985506550499-0.00102607191373981i</v>
      </c>
      <c r="AA180" s="160">
        <f t="shared" si="118"/>
        <v>0.99998603296977617</v>
      </c>
      <c r="AB180" s="160">
        <f t="shared" si="119"/>
        <v>-1.026086425170487E-3</v>
      </c>
      <c r="AC180" s="171" t="str">
        <f t="shared" si="120"/>
        <v>15.1334392253012-9.32274378367102i</v>
      </c>
      <c r="AD180" s="190">
        <f t="shared" si="121"/>
        <v>24.995971007319699</v>
      </c>
      <c r="AE180" s="169">
        <f t="shared" si="122"/>
        <v>-31.634565686248852</v>
      </c>
      <c r="AF180" s="98" t="str">
        <f t="shared" si="108"/>
        <v>-0.0000897803247373448</v>
      </c>
      <c r="AG180" s="98" t="str">
        <f t="shared" si="109"/>
        <v>0.00523853517046765i</v>
      </c>
      <c r="AH180" s="98">
        <f t="shared" si="123"/>
        <v>5.2385351704676503E-3</v>
      </c>
      <c r="AI180" s="98">
        <f t="shared" si="124"/>
        <v>1.5707963267948966</v>
      </c>
      <c r="AJ180" s="98" t="str">
        <f t="shared" si="110"/>
        <v>1+0.61552788252995i</v>
      </c>
      <c r="AK180" s="98">
        <f t="shared" si="125"/>
        <v>1.1742549017022683</v>
      </c>
      <c r="AL180" s="98">
        <f t="shared" si="126"/>
        <v>0.55175889067990092</v>
      </c>
      <c r="AM180" s="98" t="str">
        <f t="shared" si="111"/>
        <v>1+1.2310557650599i</v>
      </c>
      <c r="AN180" s="98">
        <f t="shared" si="127"/>
        <v>1.5860322495735122</v>
      </c>
      <c r="AO180" s="98">
        <f t="shared" si="128"/>
        <v>0.88859369546172351</v>
      </c>
      <c r="AP180" s="168" t="str">
        <f t="shared" si="129"/>
        <v>-0.0076505784893265+0.0218475851470388i</v>
      </c>
      <c r="AQ180" s="98">
        <f t="shared" si="130"/>
        <v>-32.70958120089773</v>
      </c>
      <c r="AR180" s="169">
        <f t="shared" si="131"/>
        <v>109.29921270711144</v>
      </c>
      <c r="AS180" s="168" t="str">
        <f t="shared" si="132"/>
        <v>0.08789987401116+0.401953485095161i</v>
      </c>
      <c r="AT180" s="190">
        <f t="shared" si="133"/>
        <v>-7.7136101935780239</v>
      </c>
      <c r="AU180" s="169">
        <f t="shared" si="134"/>
        <v>77.664647020862603</v>
      </c>
      <c r="AV180" s="225"/>
      <c r="AX180">
        <f t="shared" si="135"/>
        <v>0</v>
      </c>
      <c r="AY180">
        <f t="shared" si="136"/>
        <v>0</v>
      </c>
    </row>
    <row r="181" spans="14:51" x14ac:dyDescent="0.3">
      <c r="N181" s="170">
        <v>63</v>
      </c>
      <c r="O181" s="199">
        <f t="shared" si="102"/>
        <v>426.57951880159294</v>
      </c>
      <c r="P181" s="189" t="str">
        <f t="shared" si="103"/>
        <v>20.7142857142857</v>
      </c>
      <c r="Q181" s="160" t="str">
        <f t="shared" si="104"/>
        <v>1+0.612635009114951i</v>
      </c>
      <c r="R181" s="160">
        <f t="shared" si="112"/>
        <v>1.1727410858298075</v>
      </c>
      <c r="S181" s="160">
        <f t="shared" si="113"/>
        <v>0.54965818491339291</v>
      </c>
      <c r="T181" s="160" t="str">
        <f t="shared" si="105"/>
        <v>1+0.0000536055632975582i</v>
      </c>
      <c r="U181" s="160">
        <f t="shared" si="114"/>
        <v>1.0000000014367783</v>
      </c>
      <c r="V181" s="160">
        <f t="shared" si="115"/>
        <v>5.3605563246211999E-5</v>
      </c>
      <c r="W181" s="98" t="str">
        <f t="shared" si="106"/>
        <v>1-0.014071460365609i</v>
      </c>
      <c r="X181" s="160">
        <f t="shared" si="116"/>
        <v>1.0000989980980988</v>
      </c>
      <c r="Y181" s="160">
        <f t="shared" si="117"/>
        <v>-1.4070531731419448E-2</v>
      </c>
      <c r="Z181" s="98" t="str">
        <f t="shared" si="107"/>
        <v>0.999984823495268-0.00104997219890605i</v>
      </c>
      <c r="AA181" s="160">
        <f t="shared" si="118"/>
        <v>0.99998537472429094</v>
      </c>
      <c r="AB181" s="160">
        <f t="shared" si="119"/>
        <v>-1.0499877481942724E-3</v>
      </c>
      <c r="AC181" s="171" t="str">
        <f t="shared" si="120"/>
        <v>14.9421986633635-9.42273787381672i</v>
      </c>
      <c r="AD181" s="190">
        <f t="shared" si="121"/>
        <v>24.942343325383241</v>
      </c>
      <c r="AE181" s="169">
        <f t="shared" si="122"/>
        <v>-32.236045015029561</v>
      </c>
      <c r="AF181" s="98" t="str">
        <f t="shared" si="108"/>
        <v>-0.0000897803247373448</v>
      </c>
      <c r="AG181" s="98" t="str">
        <f t="shared" si="109"/>
        <v>0.00536055632975581i</v>
      </c>
      <c r="AH181" s="98">
        <f t="shared" si="123"/>
        <v>5.3605563297558102E-3</v>
      </c>
      <c r="AI181" s="98">
        <f t="shared" si="124"/>
        <v>1.5707963267948966</v>
      </c>
      <c r="AJ181" s="98" t="str">
        <f t="shared" si="110"/>
        <v>1+0.629865368746309i</v>
      </c>
      <c r="AK181" s="98">
        <f t="shared" si="125"/>
        <v>1.1818334835102295</v>
      </c>
      <c r="AL181" s="98">
        <f t="shared" si="126"/>
        <v>0.56209035945706276</v>
      </c>
      <c r="AM181" s="98" t="str">
        <f t="shared" si="111"/>
        <v>1+1.25973073749262i</v>
      </c>
      <c r="AN181" s="98">
        <f t="shared" si="127"/>
        <v>1.6083909757840911</v>
      </c>
      <c r="AO181" s="98">
        <f t="shared" si="128"/>
        <v>0.89983478776595704</v>
      </c>
      <c r="AP181" s="168" t="str">
        <f t="shared" si="129"/>
        <v>-0.00755277345359865+0.0215055526653875i</v>
      </c>
      <c r="AQ181" s="98">
        <f t="shared" si="130"/>
        <v>-32.843867090825192</v>
      </c>
      <c r="AR181" s="169">
        <f t="shared" si="131"/>
        <v>109.35133029615851</v>
      </c>
      <c r="AS181" s="168" t="str">
        <f t="shared" si="132"/>
        <v>0.0897861441944578+0.392508044765228i</v>
      </c>
      <c r="AT181" s="190">
        <f t="shared" si="133"/>
        <v>-7.9015237654419472</v>
      </c>
      <c r="AU181" s="169">
        <f t="shared" si="134"/>
        <v>77.115285281128948</v>
      </c>
      <c r="AV181" s="225"/>
      <c r="AX181">
        <f t="shared" si="135"/>
        <v>0</v>
      </c>
      <c r="AY181">
        <f t="shared" si="136"/>
        <v>0</v>
      </c>
    </row>
    <row r="182" spans="14:51" x14ac:dyDescent="0.3">
      <c r="N182" s="170">
        <v>64</v>
      </c>
      <c r="O182" s="199">
        <f t="shared" si="102"/>
        <v>436.51583224016622</v>
      </c>
      <c r="P182" s="189" t="str">
        <f t="shared" si="103"/>
        <v>20.7142857142857</v>
      </c>
      <c r="Q182" s="160" t="str">
        <f t="shared" si="104"/>
        <v>1+0.626905111653184i</v>
      </c>
      <c r="R182" s="160">
        <f t="shared" si="112"/>
        <v>1.1802584543297672</v>
      </c>
      <c r="S182" s="160">
        <f t="shared" si="113"/>
        <v>0.55996811041500671</v>
      </c>
      <c r="T182" s="160" t="str">
        <f t="shared" si="105"/>
        <v>1+0.0000548541972696536i</v>
      </c>
      <c r="U182" s="160">
        <f t="shared" si="114"/>
        <v>1.0000000015044914</v>
      </c>
      <c r="V182" s="160">
        <f t="shared" si="115"/>
        <v>5.4854197214635153E-5</v>
      </c>
      <c r="W182" s="98" t="str">
        <f t="shared" si="106"/>
        <v>1-0.014399226783284i</v>
      </c>
      <c r="X182" s="160">
        <f t="shared" si="116"/>
        <v>1.0001036634929183</v>
      </c>
      <c r="Y182" s="160">
        <f t="shared" si="117"/>
        <v>-1.4398231739392761E-2</v>
      </c>
      <c r="Z182" s="98" t="str">
        <f t="shared" si="107"/>
        <v>0.999984108248636-0.00107442919323018i</v>
      </c>
      <c r="AA182" s="160">
        <f t="shared" si="118"/>
        <v>0.99998468545668795</v>
      </c>
      <c r="AB182" s="160">
        <f t="shared" si="119"/>
        <v>-1.0744458546040308E-3</v>
      </c>
      <c r="AC182" s="171" t="str">
        <f t="shared" si="120"/>
        <v>14.7469163743564-9.5197983347988i</v>
      </c>
      <c r="AD182" s="190">
        <f t="shared" si="121"/>
        <v>24.886890241591111</v>
      </c>
      <c r="AE182" s="169">
        <f t="shared" si="122"/>
        <v>-32.844063173041071</v>
      </c>
      <c r="AF182" s="98" t="str">
        <f t="shared" si="108"/>
        <v>-0.0000897803247373448</v>
      </c>
      <c r="AG182" s="98" t="str">
        <f t="shared" si="109"/>
        <v>0.00548541972696536i</v>
      </c>
      <c r="AH182" s="98">
        <f t="shared" si="123"/>
        <v>5.4854197269653604E-3</v>
      </c>
      <c r="AI182" s="98">
        <f t="shared" si="124"/>
        <v>1.5707963267948966</v>
      </c>
      <c r="AJ182" s="98" t="str">
        <f t="shared" si="110"/>
        <v>1+0.64453681791843i</v>
      </c>
      <c r="AK182" s="98">
        <f t="shared" si="125"/>
        <v>1.1897174915299915</v>
      </c>
      <c r="AL182" s="98">
        <f t="shared" si="126"/>
        <v>0.57252507844368805</v>
      </c>
      <c r="AM182" s="98" t="str">
        <f t="shared" si="111"/>
        <v>1+1.28907363583686i</v>
      </c>
      <c r="AN182" s="98">
        <f t="shared" si="127"/>
        <v>1.6314750499500941</v>
      </c>
      <c r="AO182" s="98">
        <f t="shared" si="128"/>
        <v>0.91101731581451084</v>
      </c>
      <c r="AP182" s="168" t="str">
        <f t="shared" si="129"/>
        <v>-0.00745300384095812+0.0211708192503051i</v>
      </c>
      <c r="AQ182" s="98">
        <f t="shared" si="130"/>
        <v>-32.977842046135322</v>
      </c>
      <c r="AR182" s="169">
        <f t="shared" si="131"/>
        <v>109.39417659928858</v>
      </c>
      <c r="AS182" s="168" t="str">
        <f t="shared" si="132"/>
        <v>0.0916331054650144+0.383155394615266i</v>
      </c>
      <c r="AT182" s="190">
        <f t="shared" si="133"/>
        <v>-8.0909518045442201</v>
      </c>
      <c r="AU182" s="169">
        <f t="shared" si="134"/>
        <v>76.550113426247535</v>
      </c>
      <c r="AV182" s="225"/>
      <c r="AX182">
        <f t="shared" si="135"/>
        <v>0</v>
      </c>
      <c r="AY182">
        <f t="shared" si="136"/>
        <v>0</v>
      </c>
    </row>
    <row r="183" spans="14:51" x14ac:dyDescent="0.3">
      <c r="N183" s="170">
        <v>65</v>
      </c>
      <c r="O183" s="199">
        <f t="shared" si="102"/>
        <v>446.68359215096331</v>
      </c>
      <c r="P183" s="189" t="str">
        <f t="shared" si="103"/>
        <v>20.7142857142857</v>
      </c>
      <c r="Q183" s="160" t="str">
        <f t="shared" si="104"/>
        <v>1+0.641507607579687i</v>
      </c>
      <c r="R183" s="160">
        <f t="shared" si="112"/>
        <v>1.1880791263979911</v>
      </c>
      <c r="S183" s="160">
        <f t="shared" si="113"/>
        <v>0.57038198775008864</v>
      </c>
      <c r="T183" s="160" t="str">
        <f t="shared" si="105"/>
        <v>1+0.0000561319156632226i</v>
      </c>
      <c r="U183" s="160">
        <f t="shared" si="114"/>
        <v>1.0000000015753958</v>
      </c>
      <c r="V183" s="160">
        <f t="shared" si="115"/>
        <v>5.6131915604269271E-5</v>
      </c>
      <c r="W183" s="98" t="str">
        <f t="shared" si="106"/>
        <v>1-0.0147346278615959i</v>
      </c>
      <c r="X183" s="160">
        <f t="shared" si="116"/>
        <v>1.0001085487376957</v>
      </c>
      <c r="Y183" s="160">
        <f t="shared" si="117"/>
        <v>-1.4733561659106855E-2</v>
      </c>
      <c r="Z183" s="98" t="str">
        <f t="shared" si="107"/>
        <v>0.999983359293468-0.0010994558641343i</v>
      </c>
      <c r="AA183" s="160">
        <f t="shared" si="118"/>
        <v>0.9999839637049418</v>
      </c>
      <c r="AB183" s="160">
        <f t="shared" si="119"/>
        <v>-1.0994737171307555E-3</v>
      </c>
      <c r="AC183" s="171" t="str">
        <f t="shared" si="120"/>
        <v>14.5476764253424-9.61372915836189i</v>
      </c>
      <c r="AD183" s="190">
        <f t="shared" si="121"/>
        <v>24.829574025074479</v>
      </c>
      <c r="AE183" s="169">
        <f t="shared" si="122"/>
        <v>-33.458440183088051</v>
      </c>
      <c r="AF183" s="98" t="str">
        <f t="shared" si="108"/>
        <v>-0.0000897803247373448</v>
      </c>
      <c r="AG183" s="98" t="str">
        <f t="shared" si="109"/>
        <v>0.00561319156632226i</v>
      </c>
      <c r="AH183" s="98">
        <f t="shared" si="123"/>
        <v>5.6131915663222599E-3</v>
      </c>
      <c r="AI183" s="98">
        <f t="shared" si="124"/>
        <v>1.5707963267948966</v>
      </c>
      <c r="AJ183" s="98" t="str">
        <f t="shared" si="110"/>
        <v>1+0.659550009042866i</v>
      </c>
      <c r="AK183" s="98">
        <f t="shared" si="125"/>
        <v>1.1979174489206026</v>
      </c>
      <c r="AL183" s="98">
        <f t="shared" si="126"/>
        <v>0.58305949065582885</v>
      </c>
      <c r="AM183" s="98" t="str">
        <f t="shared" si="111"/>
        <v>1+1.31910001808573i</v>
      </c>
      <c r="AN183" s="98">
        <f t="shared" si="127"/>
        <v>1.6553020442546953</v>
      </c>
      <c r="AO183" s="98">
        <f t="shared" si="128"/>
        <v>0.92213602239525028</v>
      </c>
      <c r="AP183" s="168" t="str">
        <f t="shared" si="129"/>
        <v>-0.00735131879609292+0.0208430859354133i</v>
      </c>
      <c r="AQ183" s="98">
        <f t="shared" si="130"/>
        <v>-33.111566632385717</v>
      </c>
      <c r="AR183" s="169">
        <f t="shared" si="131"/>
        <v>109.42765420060252</v>
      </c>
      <c r="AS183" s="168" t="str">
        <f t="shared" si="132"/>
        <v>0.093435175862428+0.37389205775641i</v>
      </c>
      <c r="AT183" s="190">
        <f t="shared" si="133"/>
        <v>-8.2819926073112455</v>
      </c>
      <c r="AU183" s="169">
        <f t="shared" si="134"/>
        <v>75.96921401751446</v>
      </c>
      <c r="AV183" s="225"/>
      <c r="AX183">
        <f t="shared" si="135"/>
        <v>0</v>
      </c>
      <c r="AY183">
        <f t="shared" si="136"/>
        <v>0</v>
      </c>
    </row>
    <row r="184" spans="14:51" x14ac:dyDescent="0.3">
      <c r="N184" s="170">
        <v>66</v>
      </c>
      <c r="O184" s="199">
        <f t="shared" ref="O184:O218" si="137">10^(2+(N184/100))</f>
        <v>457.0881896148756</v>
      </c>
      <c r="P184" s="189" t="str">
        <f t="shared" si="103"/>
        <v>20.7142857142857</v>
      </c>
      <c r="Q184" s="160" t="str">
        <f t="shared" si="104"/>
        <v>1+0.656450239331086i</v>
      </c>
      <c r="R184" s="160">
        <f t="shared" si="112"/>
        <v>1.1962135748760923</v>
      </c>
      <c r="S184" s="160">
        <f t="shared" si="113"/>
        <v>0.58089630322087982</v>
      </c>
      <c r="T184" s="160" t="str">
        <f t="shared" si="105"/>
        <v>1+0.00005743939594147i</v>
      </c>
      <c r="U184" s="160">
        <f t="shared" si="114"/>
        <v>1.000000001649642</v>
      </c>
      <c r="V184" s="160">
        <f t="shared" si="115"/>
        <v>5.7439395878300373E-5</v>
      </c>
      <c r="W184" s="98" t="str">
        <f t="shared" si="106"/>
        <v>1-0.0150778414346358i</v>
      </c>
      <c r="X184" s="160">
        <f t="shared" si="116"/>
        <v>1.0001136641913897</v>
      </c>
      <c r="Y184" s="160">
        <f t="shared" si="117"/>
        <v>-1.5076698985097982E-2</v>
      </c>
      <c r="Z184" s="98" t="str">
        <f t="shared" si="107"/>
        <v>0.99998257504113-0.00112506548109061i</v>
      </c>
      <c r="AA184" s="160">
        <f t="shared" si="118"/>
        <v>0.99998320793812623</v>
      </c>
      <c r="AB184" s="160">
        <f t="shared" si="119"/>
        <v>-1.1250846109352437E-3</v>
      </c>
      <c r="AC184" s="171" t="str">
        <f t="shared" si="120"/>
        <v>14.3445748812651-9.70433581037357i</v>
      </c>
      <c r="AD184" s="190">
        <f t="shared" si="121"/>
        <v>24.770357801149743</v>
      </c>
      <c r="AE184" s="169">
        <f t="shared" si="122"/>
        <v>-34.078984095380001</v>
      </c>
      <c r="AF184" s="98" t="str">
        <f t="shared" si="108"/>
        <v>-0.0000897803247373448</v>
      </c>
      <c r="AG184" s="98" t="str">
        <f t="shared" si="109"/>
        <v>0.00574393959414701i</v>
      </c>
      <c r="AH184" s="98">
        <f t="shared" si="123"/>
        <v>5.7439395941470102E-3</v>
      </c>
      <c r="AI184" s="98">
        <f t="shared" si="124"/>
        <v>1.5707963267948966</v>
      </c>
      <c r="AJ184" s="98" t="str">
        <f t="shared" si="110"/>
        <v>1+0.674912902312273i</v>
      </c>
      <c r="AK184" s="98">
        <f t="shared" si="125"/>
        <v>1.2064441245692135</v>
      </c>
      <c r="AL184" s="98">
        <f t="shared" si="126"/>
        <v>0.59368982904273448</v>
      </c>
      <c r="AM184" s="98" t="str">
        <f t="shared" si="111"/>
        <v>1+1.34982580462455i</v>
      </c>
      <c r="AN184" s="98">
        <f t="shared" si="127"/>
        <v>1.6798897888939959</v>
      </c>
      <c r="AO184" s="98">
        <f t="shared" si="128"/>
        <v>0.93318580681741969</v>
      </c>
      <c r="AP184" s="168" t="str">
        <f t="shared" si="129"/>
        <v>-0.00724777350518134+0.0205220596030126i</v>
      </c>
      <c r="AQ184" s="98">
        <f t="shared" si="130"/>
        <v>-33.245102291257609</v>
      </c>
      <c r="AR184" s="169">
        <f t="shared" si="131"/>
        <v>109.4516866881567</v>
      </c>
      <c r="AS184" s="168" t="str">
        <f t="shared" si="132"/>
        <v>0.095186728140613+0.364715048665008i</v>
      </c>
      <c r="AT184" s="190">
        <f t="shared" si="133"/>
        <v>-8.4747444901078648</v>
      </c>
      <c r="AU184" s="169">
        <f t="shared" si="134"/>
        <v>75.372702592776719</v>
      </c>
      <c r="AV184" s="225"/>
      <c r="AX184">
        <f t="shared" si="135"/>
        <v>0</v>
      </c>
      <c r="AY184">
        <f t="shared" si="136"/>
        <v>0</v>
      </c>
    </row>
    <row r="185" spans="14:51" x14ac:dyDescent="0.3">
      <c r="N185" s="170">
        <v>67</v>
      </c>
      <c r="O185" s="199">
        <f t="shared" si="137"/>
        <v>467.7351412871983</v>
      </c>
      <c r="P185" s="189" t="str">
        <f t="shared" si="103"/>
        <v>20.7142857142857</v>
      </c>
      <c r="Q185" s="160" t="str">
        <f t="shared" si="104"/>
        <v>1+0.671740929688524i</v>
      </c>
      <c r="R185" s="160">
        <f t="shared" si="112"/>
        <v>1.2046725184127023</v>
      </c>
      <c r="S185" s="160">
        <f t="shared" si="113"/>
        <v>0.59150733252550691</v>
      </c>
      <c r="T185" s="160" t="str">
        <f t="shared" si="105"/>
        <v>1+0.0000587773313477458i</v>
      </c>
      <c r="U185" s="160">
        <f t="shared" si="114"/>
        <v>1.0000000017273873</v>
      </c>
      <c r="V185" s="160">
        <f t="shared" si="115"/>
        <v>5.877733128005832E-5</v>
      </c>
      <c r="W185" s="98" t="str">
        <f t="shared" si="106"/>
        <v>1-0.0154290494787832i</v>
      </c>
      <c r="X185" s="160">
        <f t="shared" si="116"/>
        <v>1.0001190207009458</v>
      </c>
      <c r="Y185" s="160">
        <f t="shared" si="117"/>
        <v>-1.5427825329916191E-2</v>
      </c>
      <c r="Z185" s="98" t="str">
        <f t="shared" si="107"/>
        <v>0.999981753828119-0.001151271622657i</v>
      </c>
      <c r="AA185" s="160">
        <f t="shared" si="118"/>
        <v>0.99998241655316622</v>
      </c>
      <c r="AB185" s="160">
        <f t="shared" si="119"/>
        <v>-1.1512921206708467E-3</v>
      </c>
      <c r="AC185" s="171" t="str">
        <f t="shared" si="120"/>
        <v>14.1377199075613-9.79142608090278i</v>
      </c>
      <c r="AD185" s="190">
        <f t="shared" si="121"/>
        <v>24.709205665524014</v>
      </c>
      <c r="AE185" s="169">
        <f t="shared" si="122"/>
        <v>-34.705491110707648</v>
      </c>
      <c r="AF185" s="98" t="str">
        <f t="shared" si="108"/>
        <v>-0.0000897803247373448</v>
      </c>
      <c r="AG185" s="98" t="str">
        <f t="shared" si="109"/>
        <v>0.00587773313477459i</v>
      </c>
      <c r="AH185" s="98">
        <f t="shared" si="123"/>
        <v>5.8777331347745904E-3</v>
      </c>
      <c r="AI185" s="98">
        <f t="shared" si="124"/>
        <v>1.5707963267948966</v>
      </c>
      <c r="AJ185" s="98" t="str">
        <f t="shared" si="110"/>
        <v>1+0.690633643336013i</v>
      </c>
      <c r="AK185" s="98">
        <f t="shared" si="125"/>
        <v>1.2153085325577104</v>
      </c>
      <c r="AL185" s="98">
        <f t="shared" si="126"/>
        <v>0.6044121196868536</v>
      </c>
      <c r="AM185" s="98" t="str">
        <f t="shared" si="111"/>
        <v>1+1.38126728667203i</v>
      </c>
      <c r="AN185" s="98">
        <f t="shared" si="127"/>
        <v>1.7052563787390773</v>
      </c>
      <c r="AO185" s="98">
        <f t="shared" si="128"/>
        <v>0.94416173498362133</v>
      </c>
      <c r="AP185" s="168" t="str">
        <f t="shared" si="129"/>
        <v>-0.0071424292055022+0.0202074533183202i</v>
      </c>
      <c r="AQ185" s="98">
        <f t="shared" si="130"/>
        <v>-33.378511128198447</v>
      </c>
      <c r="AR185" s="169">
        <f t="shared" si="131"/>
        <v>109.46621904769809</v>
      </c>
      <c r="AS185" s="168" t="str">
        <f t="shared" si="132"/>
        <v>0.0968821218826502+0.355621882663287i</v>
      </c>
      <c r="AT185" s="190">
        <f t="shared" si="133"/>
        <v>-8.6693054626744352</v>
      </c>
      <c r="AU185" s="169">
        <f t="shared" si="134"/>
        <v>74.760727936990435</v>
      </c>
      <c r="AV185" s="225"/>
      <c r="AX185">
        <f t="shared" si="135"/>
        <v>0</v>
      </c>
      <c r="AY185">
        <f t="shared" si="136"/>
        <v>0</v>
      </c>
    </row>
    <row r="186" spans="14:51" x14ac:dyDescent="0.3">
      <c r="N186" s="170">
        <v>68</v>
      </c>
      <c r="O186" s="199">
        <f t="shared" si="137"/>
        <v>478.63009232263886</v>
      </c>
      <c r="P186" s="189" t="str">
        <f t="shared" si="103"/>
        <v>20.7142857142857</v>
      </c>
      <c r="Q186" s="160" t="str">
        <f t="shared" si="104"/>
        <v>1+0.687387785978425i</v>
      </c>
      <c r="R186" s="160">
        <f t="shared" si="112"/>
        <v>1.2134669209798514</v>
      </c>
      <c r="S186" s="160">
        <f t="shared" si="113"/>
        <v>0.60221114376244655</v>
      </c>
      <c r="T186" s="160" t="str">
        <f t="shared" si="105"/>
        <v>1+0.0000601464312731122i</v>
      </c>
      <c r="U186" s="160">
        <f t="shared" si="114"/>
        <v>1.0000000018087964</v>
      </c>
      <c r="V186" s="160">
        <f t="shared" si="115"/>
        <v>6.014643120058376E-5</v>
      </c>
      <c r="W186" s="98" t="str">
        <f t="shared" si="106"/>
        <v>1-0.0157884382091919i</v>
      </c>
      <c r="X186" s="160">
        <f t="shared" si="116"/>
        <v>1.0001246296242712</v>
      </c>
      <c r="Y186" s="160">
        <f t="shared" si="117"/>
        <v>-1.578712651887634E-2</v>
      </c>
      <c r="Z186" s="98" t="str">
        <f t="shared" si="107"/>
        <v>0.999980893912531-0.0011780881836766i</v>
      </c>
      <c r="AA186" s="160">
        <f t="shared" si="118"/>
        <v>0.99998158787143343</v>
      </c>
      <c r="AB186" s="160">
        <f t="shared" si="119"/>
        <v>-1.1781101477121264E-3</v>
      </c>
      <c r="AC186" s="171" t="str">
        <f t="shared" si="120"/>
        <v>13.9272318040085-9.87481095987427i</v>
      </c>
      <c r="AD186" s="190">
        <f t="shared" si="121"/>
        <v>24.646082799159579</v>
      </c>
      <c r="AE186" s="169">
        <f t="shared" si="122"/>
        <v>-35.337745757578809</v>
      </c>
      <c r="AF186" s="98" t="str">
        <f t="shared" si="108"/>
        <v>-0.0000897803247373448</v>
      </c>
      <c r="AG186" s="98" t="str">
        <f t="shared" si="109"/>
        <v>0.00601464312731123i</v>
      </c>
      <c r="AH186" s="98">
        <f t="shared" si="123"/>
        <v>6.0146431273112302E-3</v>
      </c>
      <c r="AI186" s="98">
        <f t="shared" si="124"/>
        <v>1.5707963267948966</v>
      </c>
      <c r="AJ186" s="98" t="str">
        <f t="shared" si="110"/>
        <v>1+0.706720567459068i</v>
      </c>
      <c r="AK186" s="98">
        <f t="shared" si="125"/>
        <v>1.2245219313959497</v>
      </c>
      <c r="AL186" s="98">
        <f t="shared" si="126"/>
        <v>0.61522218597243095</v>
      </c>
      <c r="AM186" s="98" t="str">
        <f t="shared" si="111"/>
        <v>1+1.41344113491814i</v>
      </c>
      <c r="AN186" s="98">
        <f t="shared" si="127"/>
        <v>1.731420180625916</v>
      </c>
      <c r="AO186" s="98">
        <f t="shared" si="128"/>
        <v>0.95505904852414947</v>
      </c>
      <c r="AP186" s="168" t="str">
        <f t="shared" si="129"/>
        <v>-0.00703535315838158+0.0198989866751104i</v>
      </c>
      <c r="AQ186" s="98">
        <f t="shared" si="130"/>
        <v>-33.511855695499477</v>
      </c>
      <c r="AR186" s="169">
        <f t="shared" si="131"/>
        <v>109.4712179471809</v>
      </c>
      <c r="AS186" s="168" t="str">
        <f t="shared" si="132"/>
        <v>0.0985157374499287+0.346610582564111i</v>
      </c>
      <c r="AT186" s="190">
        <f t="shared" si="133"/>
        <v>-8.8657728963399069</v>
      </c>
      <c r="AU186" s="169">
        <f t="shared" si="134"/>
        <v>74.133472189602088</v>
      </c>
      <c r="AV186" s="225"/>
      <c r="AX186">
        <f t="shared" si="135"/>
        <v>0</v>
      </c>
      <c r="AY186">
        <f t="shared" si="136"/>
        <v>0</v>
      </c>
    </row>
    <row r="187" spans="14:51" x14ac:dyDescent="0.3">
      <c r="N187" s="170">
        <v>69</v>
      </c>
      <c r="O187" s="199">
        <f t="shared" si="137"/>
        <v>489.77881936844625</v>
      </c>
      <c r="P187" s="189" t="str">
        <f t="shared" si="103"/>
        <v>20.7142857142857</v>
      </c>
      <c r="Q187" s="160" t="str">
        <f t="shared" si="104"/>
        <v>1+0.703399104371106i</v>
      </c>
      <c r="R187" s="160">
        <f t="shared" si="112"/>
        <v>1.22260799115255</v>
      </c>
      <c r="S187" s="160">
        <f t="shared" si="113"/>
        <v>0.61300360139940746</v>
      </c>
      <c r="T187" s="160" t="str">
        <f t="shared" si="105"/>
        <v>1+0.0000615474216324718i</v>
      </c>
      <c r="U187" s="160">
        <f t="shared" si="114"/>
        <v>1.0000000018940425</v>
      </c>
      <c r="V187" s="160">
        <f t="shared" si="115"/>
        <v>6.1547421554756176E-5</v>
      </c>
      <c r="W187" s="98" t="str">
        <f t="shared" si="106"/>
        <v>1-0.0161561981785238i</v>
      </c>
      <c r="X187" s="160">
        <f t="shared" si="116"/>
        <v>1.0001305028542944</v>
      </c>
      <c r="Y187" s="160">
        <f t="shared" si="117"/>
        <v>-1.6154792686933123E-2</v>
      </c>
      <c r="Z187" s="98" t="str">
        <f t="shared" si="107"/>
        <v>0.999979993470369-0.00120552938264503i</v>
      </c>
      <c r="AA187" s="160">
        <f t="shared" si="118"/>
        <v>0.99998072013518913</v>
      </c>
      <c r="AB187" s="160">
        <f t="shared" si="119"/>
        <v>-1.2055529175532815E-3</v>
      </c>
      <c r="AC187" s="171" t="str">
        <f t="shared" si="120"/>
        <v>13.7132429658075-9.95430553214303i</v>
      </c>
      <c r="AD187" s="190">
        <f t="shared" si="121"/>
        <v>24.580955583127807</v>
      </c>
      <c r="AE187" s="169">
        <f t="shared" si="122"/>
        <v>-35.975521124725582</v>
      </c>
      <c r="AF187" s="98" t="str">
        <f t="shared" si="108"/>
        <v>-0.0000897803247373448</v>
      </c>
      <c r="AG187" s="98" t="str">
        <f t="shared" si="109"/>
        <v>0.00615474216324717i</v>
      </c>
      <c r="AH187" s="98">
        <f t="shared" si="123"/>
        <v>6.1547421632471696E-3</v>
      </c>
      <c r="AI187" s="98">
        <f t="shared" si="124"/>
        <v>1.5707963267948966</v>
      </c>
      <c r="AJ187" s="98" t="str">
        <f t="shared" si="110"/>
        <v>1+0.723182204181544i</v>
      </c>
      <c r="AK187" s="98">
        <f t="shared" si="125"/>
        <v>1.2340958230400412</v>
      </c>
      <c r="AL187" s="98">
        <f t="shared" si="126"/>
        <v>0.62611565373869327</v>
      </c>
      <c r="AM187" s="98" t="str">
        <f t="shared" si="111"/>
        <v>1+1.44636440836309i</v>
      </c>
      <c r="AN187" s="98">
        <f t="shared" si="127"/>
        <v>1.7583998412703272</v>
      </c>
      <c r="AO187" s="98">
        <f t="shared" si="128"/>
        <v>0.96587317296614172</v>
      </c>
      <c r="AP187" s="168" t="str">
        <f t="shared" si="129"/>
        <v>-0.00692661858384502+0.0195963861492829i</v>
      </c>
      <c r="AQ187" s="98">
        <f t="shared" si="130"/>
        <v>-33.645198772289476</v>
      </c>
      <c r="AR187" s="169">
        <f t="shared" si="131"/>
        <v>109.46667190956772</v>
      </c>
      <c r="AS187" s="168" t="str">
        <f t="shared" si="132"/>
        <v>0.100082011484074+0.337679682205114i</v>
      </c>
      <c r="AT187" s="190">
        <f t="shared" si="133"/>
        <v>-9.0642431891616777</v>
      </c>
      <c r="AU187" s="169">
        <f t="shared" si="134"/>
        <v>73.491150784842077</v>
      </c>
      <c r="AV187" s="225"/>
      <c r="AX187">
        <f t="shared" si="135"/>
        <v>0</v>
      </c>
      <c r="AY187">
        <f t="shared" si="136"/>
        <v>0</v>
      </c>
    </row>
    <row r="188" spans="14:51" x14ac:dyDescent="0.3">
      <c r="N188" s="170">
        <v>70</v>
      </c>
      <c r="O188" s="199">
        <f t="shared" si="137"/>
        <v>501.18723362727269</v>
      </c>
      <c r="P188" s="189" t="str">
        <f t="shared" si="103"/>
        <v>20.7142857142857</v>
      </c>
      <c r="Q188" s="160" t="str">
        <f t="shared" si="104"/>
        <v>1+0.719783374279511i</v>
      </c>
      <c r="R188" s="160">
        <f t="shared" si="112"/>
        <v>1.2321071811693975</v>
      </c>
      <c r="S188" s="160">
        <f t="shared" si="113"/>
        <v>0.62388037122414497</v>
      </c>
      <c r="T188" s="160" t="str">
        <f t="shared" si="105"/>
        <v>1+0.0000629810452494572i</v>
      </c>
      <c r="U188" s="160">
        <f t="shared" si="114"/>
        <v>1.000000001983306</v>
      </c>
      <c r="V188" s="160">
        <f t="shared" si="115"/>
        <v>6.2981045166183414E-5</v>
      </c>
      <c r="W188" s="98" t="str">
        <f t="shared" si="106"/>
        <v>1-0.0165325243779825i</v>
      </c>
      <c r="X188" s="160">
        <f t="shared" si="116"/>
        <v>1.0001366528441544</v>
      </c>
      <c r="Y188" s="160">
        <f t="shared" si="117"/>
        <v>-1.6531018377723066E-2</v>
      </c>
      <c r="Z188" s="98" t="str">
        <f t="shared" si="107"/>
        <v>0.999979050591676-0.0012336097692492i</v>
      </c>
      <c r="AA188" s="160">
        <f t="shared" si="118"/>
        <v>0.99997981150385862</v>
      </c>
      <c r="AB188" s="160">
        <f t="shared" si="119"/>
        <v>-1.2336349873803621E-3</v>
      </c>
      <c r="AC188" s="171" t="str">
        <f t="shared" si="120"/>
        <v>13.4958977685009-10.0297298852368i</v>
      </c>
      <c r="AD188" s="190">
        <f t="shared" si="121"/>
        <v>24.513791712748841</v>
      </c>
      <c r="AE188" s="169">
        <f t="shared" si="122"/>
        <v>-36.618579149981436</v>
      </c>
      <c r="AF188" s="98" t="str">
        <f t="shared" si="108"/>
        <v>-0.0000897803247373448</v>
      </c>
      <c r="AG188" s="98" t="str">
        <f t="shared" si="109"/>
        <v>0.00629810452494573i</v>
      </c>
      <c r="AH188" s="98">
        <f t="shared" si="123"/>
        <v>6.2981045249457298E-3</v>
      </c>
      <c r="AI188" s="98">
        <f t="shared" si="124"/>
        <v>1.5707963267948966</v>
      </c>
      <c r="AJ188" s="98" t="str">
        <f t="shared" si="110"/>
        <v>1+0.740027281681122i</v>
      </c>
      <c r="AK188" s="98">
        <f t="shared" si="125"/>
        <v>1.2440419517172041</v>
      </c>
      <c r="AL188" s="98">
        <f t="shared" si="126"/>
        <v>0.63708795742587365</v>
      </c>
      <c r="AM188" s="98" t="str">
        <f t="shared" si="111"/>
        <v>1+1.48005456336225i</v>
      </c>
      <c r="AN188" s="98">
        <f t="shared" si="127"/>
        <v>1.786214295802556</v>
      </c>
      <c r="AO188" s="98">
        <f t="shared" si="128"/>
        <v>0.97659972491936231</v>
      </c>
      <c r="AP188" s="168" t="str">
        <f t="shared" si="129"/>
        <v>-0.00681630455569833+0.0192993854566187i</v>
      </c>
      <c r="AQ188" s="98">
        <f t="shared" si="130"/>
        <v>-33.778603142961238</v>
      </c>
      <c r="AR188" s="169">
        <f t="shared" si="131"/>
        <v>109.45259137240382</v>
      </c>
      <c r="AS188" s="168" t="str">
        <f t="shared" si="132"/>
        <v>0.101575473638281+0.328828226626582i</v>
      </c>
      <c r="AT188" s="190">
        <f t="shared" si="133"/>
        <v>-9.2648114302124078</v>
      </c>
      <c r="AU188" s="169">
        <f t="shared" si="134"/>
        <v>72.834012222422444</v>
      </c>
      <c r="AV188" s="225"/>
      <c r="AX188">
        <f t="shared" si="135"/>
        <v>0</v>
      </c>
      <c r="AY188">
        <f t="shared" si="136"/>
        <v>0</v>
      </c>
    </row>
    <row r="189" spans="14:51" x14ac:dyDescent="0.3">
      <c r="N189" s="170">
        <v>71</v>
      </c>
      <c r="O189" s="199">
        <f t="shared" si="137"/>
        <v>512.86138399136519</v>
      </c>
      <c r="P189" s="189" t="str">
        <f t="shared" si="103"/>
        <v>20.7142857142857</v>
      </c>
      <c r="Q189" s="160" t="str">
        <f t="shared" si="104"/>
        <v>1+0.736549282860418i</v>
      </c>
      <c r="R189" s="160">
        <f t="shared" si="112"/>
        <v>1.2419761857951206</v>
      </c>
      <c r="S189" s="160">
        <f t="shared" si="113"/>
        <v>0.63483692628709154</v>
      </c>
      <c r="T189" s="160" t="str">
        <f t="shared" si="105"/>
        <v>1+0.0000644480622502866i</v>
      </c>
      <c r="U189" s="160">
        <f t="shared" si="114"/>
        <v>1.0000000020767763</v>
      </c>
      <c r="V189" s="160">
        <f t="shared" si="115"/>
        <v>6.4448062161057121E-5</v>
      </c>
      <c r="W189" s="98" t="str">
        <f t="shared" si="106"/>
        <v>1-0.0169176163407002i</v>
      </c>
      <c r="X189" s="160">
        <f t="shared" si="116"/>
        <v>1.0001430926335746</v>
      </c>
      <c r="Y189" s="160">
        <f t="shared" si="117"/>
        <v>-1.6916002644817664E-2</v>
      </c>
      <c r="Z189" s="98" t="str">
        <f t="shared" si="107"/>
        <v>0.99997806327648-0.00126234423208179i</v>
      </c>
      <c r="AA189" s="160">
        <f t="shared" si="118"/>
        <v>0.99997886005012115</v>
      </c>
      <c r="AB189" s="160">
        <f t="shared" si="119"/>
        <v>-1.2623712538215555E-3</v>
      </c>
      <c r="AC189" s="171" t="str">
        <f t="shared" si="120"/>
        <v>13.2753523740126-10.1009100224857i</v>
      </c>
      <c r="AD189" s="190">
        <f t="shared" si="121"/>
        <v>24.444560310284189</v>
      </c>
      <c r="AE189" s="169">
        <f t="shared" si="122"/>
        <v>-37.266670966106155</v>
      </c>
      <c r="AF189" s="98" t="str">
        <f t="shared" si="108"/>
        <v>-0.0000897803247373448</v>
      </c>
      <c r="AG189" s="98" t="str">
        <f t="shared" si="109"/>
        <v>0.00644480622502867i</v>
      </c>
      <c r="AH189" s="98">
        <f t="shared" si="123"/>
        <v>6.4448062250286701E-3</v>
      </c>
      <c r="AI189" s="98">
        <f t="shared" si="124"/>
        <v>1.5707963267948966</v>
      </c>
      <c r="AJ189" s="98" t="str">
        <f t="shared" si="110"/>
        <v>1+0.757264731440868i</v>
      </c>
      <c r="AK189" s="98">
        <f t="shared" si="125"/>
        <v>1.2543723025817375</v>
      </c>
      <c r="AL189" s="98">
        <f t="shared" si="126"/>
        <v>0.64813434721403462</v>
      </c>
      <c r="AM189" s="98" t="str">
        <f t="shared" si="111"/>
        <v>1+1.51452946288174i</v>
      </c>
      <c r="AN189" s="98">
        <f t="shared" si="127"/>
        <v>1.8148827769133886</v>
      </c>
      <c r="AO189" s="98">
        <f t="shared" si="128"/>
        <v>0.98723451826940756</v>
      </c>
      <c r="AP189" s="168" t="str">
        <f t="shared" si="129"/>
        <v>-0.00670449585615219+0.019007725910774i</v>
      </c>
      <c r="AQ189" s="98">
        <f t="shared" si="130"/>
        <v>-33.912131375560875</v>
      </c>
      <c r="AR189" s="169">
        <f t="shared" si="131"/>
        <v>109.42900863363715</v>
      </c>
      <c r="AS189" s="168" t="str">
        <f t="shared" si="132"/>
        <v>0.102990784176271+0.320055768683296i</v>
      </c>
      <c r="AT189" s="190">
        <f t="shared" si="133"/>
        <v>-9.4675710652766849</v>
      </c>
      <c r="AU189" s="169">
        <f t="shared" si="134"/>
        <v>72.162337667530949</v>
      </c>
      <c r="AV189" s="225"/>
      <c r="AX189">
        <f t="shared" si="135"/>
        <v>0</v>
      </c>
      <c r="AY189">
        <f t="shared" si="136"/>
        <v>0</v>
      </c>
    </row>
    <row r="190" spans="14:51" x14ac:dyDescent="0.3">
      <c r="N190" s="170">
        <v>72</v>
      </c>
      <c r="O190" s="199">
        <f t="shared" si="137"/>
        <v>524.80746024977248</v>
      </c>
      <c r="P190" s="189" t="str">
        <f t="shared" si="103"/>
        <v>20.7142857142857</v>
      </c>
      <c r="Q190" s="160" t="str">
        <f t="shared" si="104"/>
        <v>1+0.753705719620482i</v>
      </c>
      <c r="R190" s="160">
        <f t="shared" si="112"/>
        <v>1.2522269410089486</v>
      </c>
      <c r="S190" s="160">
        <f t="shared" si="113"/>
        <v>0.64586855383747566</v>
      </c>
      <c r="T190" s="160" t="str">
        <f t="shared" si="105"/>
        <v>1+0.0000659492504667922i</v>
      </c>
      <c r="U190" s="160">
        <f t="shared" si="114"/>
        <v>1.0000000021746518</v>
      </c>
      <c r="V190" s="160">
        <f t="shared" si="115"/>
        <v>6.5949250371181105E-5</v>
      </c>
      <c r="W190" s="98" t="str">
        <f t="shared" si="106"/>
        <v>1-0.0173116782475329i</v>
      </c>
      <c r="X190" s="160">
        <f t="shared" si="116"/>
        <v>1.0001498358764782</v>
      </c>
      <c r="Y190" s="160">
        <f t="shared" si="117"/>
        <v>-1.7309949155232318E-2</v>
      </c>
      <c r="Z190" s="98" t="str">
        <f t="shared" si="107"/>
        <v>0.999977029430551-0.00129174800653532i</v>
      </c>
      <c r="AA190" s="160">
        <f t="shared" si="118"/>
        <v>0.99997786375582409</v>
      </c>
      <c r="AB190" s="160">
        <f t="shared" si="119"/>
        <v>-1.2917769608796221E-3</v>
      </c>
      <c r="AC190" s="171" t="str">
        <f t="shared" si="120"/>
        <v>13.0517744558669-10.167678773794i</v>
      </c>
      <c r="AD190" s="190">
        <f t="shared" si="121"/>
        <v>24.373232035425684</v>
      </c>
      <c r="AE190" s="169">
        <f t="shared" si="122"/>
        <v>-37.919537303647196</v>
      </c>
      <c r="AF190" s="98" t="str">
        <f t="shared" si="108"/>
        <v>-0.0000897803247373448</v>
      </c>
      <c r="AG190" s="98" t="str">
        <f t="shared" si="109"/>
        <v>0.00659492504667921i</v>
      </c>
      <c r="AH190" s="98">
        <f t="shared" si="123"/>
        <v>6.5949250466792097E-3</v>
      </c>
      <c r="AI190" s="98">
        <f t="shared" si="124"/>
        <v>1.5707963267948966</v>
      </c>
      <c r="AJ190" s="98" t="str">
        <f t="shared" si="110"/>
        <v>1+0.774903692984808i</v>
      </c>
      <c r="AK190" s="98">
        <f t="shared" si="125"/>
        <v>1.2650991002295013</v>
      </c>
      <c r="AL190" s="98">
        <f t="shared" si="126"/>
        <v>0.6592498971458971</v>
      </c>
      <c r="AM190" s="98" t="str">
        <f t="shared" si="111"/>
        <v>1+1.54980738596962i</v>
      </c>
      <c r="AN190" s="98">
        <f t="shared" si="127"/>
        <v>1.8444248246014221</v>
      </c>
      <c r="AO190" s="98">
        <f t="shared" si="128"/>
        <v>0.99777356937789052</v>
      </c>
      <c r="AP190" s="168" t="str">
        <f t="shared" si="129"/>
        <v>-0.00659128278953525+0.018721156777382i</v>
      </c>
      <c r="AQ190" s="98">
        <f t="shared" si="130"/>
        <v>-34.045845601673427</v>
      </c>
      <c r="AR190" s="169">
        <f t="shared" si="131"/>
        <v>109.39597768416319</v>
      </c>
      <c r="AS190" s="168" t="str">
        <f t="shared" si="132"/>
        <v>0.104322772042405+0.311362361922545i</v>
      </c>
      <c r="AT190" s="190">
        <f t="shared" si="133"/>
        <v>-9.672613566247751</v>
      </c>
      <c r="AU190" s="169">
        <f t="shared" si="134"/>
        <v>71.476440380516038</v>
      </c>
      <c r="AV190" s="225"/>
      <c r="AX190">
        <f t="shared" si="135"/>
        <v>0</v>
      </c>
      <c r="AY190">
        <f t="shared" si="136"/>
        <v>0</v>
      </c>
    </row>
    <row r="191" spans="14:51" x14ac:dyDescent="0.3">
      <c r="N191" s="170">
        <v>73</v>
      </c>
      <c r="O191" s="199">
        <f t="shared" si="137"/>
        <v>537.03179637025301</v>
      </c>
      <c r="P191" s="189" t="str">
        <f t="shared" si="103"/>
        <v>20.7142857142857</v>
      </c>
      <c r="Q191" s="160" t="str">
        <f t="shared" si="104"/>
        <v>1+0.771261781129561i</v>
      </c>
      <c r="R191" s="160">
        <f t="shared" si="112"/>
        <v>1.2628716225456738</v>
      </c>
      <c r="S191" s="160">
        <f t="shared" si="113"/>
        <v>0.65697036324598113</v>
      </c>
      <c r="T191" s="160" t="str">
        <f t="shared" si="105"/>
        <v>1+0.0000674854058488366i</v>
      </c>
      <c r="U191" s="160">
        <f t="shared" si="114"/>
        <v>1.00000000227714</v>
      </c>
      <c r="V191" s="160">
        <f t="shared" si="115"/>
        <v>6.7485405746387452E-5</v>
      </c>
      <c r="W191" s="98" t="str">
        <f t="shared" si="106"/>
        <v>1-0.0177149190353196i</v>
      </c>
      <c r="X191" s="160">
        <f t="shared" si="116"/>
        <v>1.0001568968699002</v>
      </c>
      <c r="Y191" s="160">
        <f t="shared" si="117"/>
        <v>-1.7713066295236092E-2</v>
      </c>
      <c r="Z191" s="98" t="str">
        <f t="shared" si="107"/>
        <v>0.999975946860965-0.00132183668288023i</v>
      </c>
      <c r="AA191" s="160">
        <f t="shared" si="118"/>
        <v>0.99997682050770542</v>
      </c>
      <c r="AB191" s="160">
        <f t="shared" si="119"/>
        <v>-1.3218677080510772E-3</v>
      </c>
      <c r="AC191" s="171" t="str">
        <f t="shared" si="120"/>
        <v>12.8253428424951-10.2298766959499i</v>
      </c>
      <c r="AD191" s="190">
        <f t="shared" si="121"/>
        <v>24.29977919281378</v>
      </c>
      <c r="AE191" s="169">
        <f t="shared" si="122"/>
        <v>-38.576908950449756</v>
      </c>
      <c r="AF191" s="98" t="str">
        <f t="shared" si="108"/>
        <v>-0.0000897803247373448</v>
      </c>
      <c r="AG191" s="98" t="str">
        <f t="shared" si="109"/>
        <v>0.00674854058488367i</v>
      </c>
      <c r="AH191" s="98">
        <f t="shared" si="123"/>
        <v>6.7485405848836701E-3</v>
      </c>
      <c r="AI191" s="98">
        <f t="shared" si="124"/>
        <v>1.5707963267948966</v>
      </c>
      <c r="AJ191" s="98" t="str">
        <f t="shared" si="110"/>
        <v>1+0.79295351872383i</v>
      </c>
      <c r="AK191" s="98">
        <f t="shared" si="125"/>
        <v>1.2762348071011476</v>
      </c>
      <c r="AL191" s="98">
        <f t="shared" si="126"/>
        <v>0.67042951421590935</v>
      </c>
      <c r="AM191" s="98" t="str">
        <f t="shared" si="111"/>
        <v>1+1.58590703744766i</v>
      </c>
      <c r="AN191" s="98">
        <f t="shared" si="127"/>
        <v>1.8748602965090528</v>
      </c>
      <c r="AO191" s="98">
        <f t="shared" si="128"/>
        <v>1.0082131012974491</v>
      </c>
      <c r="AP191" s="168" t="str">
        <f t="shared" si="129"/>
        <v>-0.00647676095510064+0.0184394356200187i</v>
      </c>
      <c r="AQ191" s="98">
        <f t="shared" si="130"/>
        <v>-34.179807299319897</v>
      </c>
      <c r="AR191" s="169">
        <f t="shared" si="131"/>
        <v>109.35357392856194</v>
      </c>
      <c r="AS191" s="168" t="str">
        <f t="shared" si="132"/>
        <v>0.105566472977646+0.302748549608678i</v>
      </c>
      <c r="AT191" s="190">
        <f t="shared" si="133"/>
        <v>-9.8800281065061188</v>
      </c>
      <c r="AU191" s="169">
        <f t="shared" si="134"/>
        <v>70.776664978112194</v>
      </c>
      <c r="AV191" s="225"/>
      <c r="AX191">
        <f t="shared" si="135"/>
        <v>0</v>
      </c>
      <c r="AY191">
        <f t="shared" si="136"/>
        <v>0</v>
      </c>
    </row>
    <row r="192" spans="14:51" x14ac:dyDescent="0.3">
      <c r="N192" s="170">
        <v>74</v>
      </c>
      <c r="O192" s="199">
        <f t="shared" si="137"/>
        <v>549.54087385762534</v>
      </c>
      <c r="P192" s="189" t="str">
        <f t="shared" si="103"/>
        <v>20.7142857142857</v>
      </c>
      <c r="Q192" s="160" t="str">
        <f t="shared" si="104"/>
        <v>1+0.789226775843854i</v>
      </c>
      <c r="R192" s="160">
        <f t="shared" si="112"/>
        <v>1.2739226443190674</v>
      </c>
      <c r="S192" s="160">
        <f t="shared" si="113"/>
        <v>0.66813729489803697</v>
      </c>
      <c r="T192" s="160" t="str">
        <f t="shared" si="105"/>
        <v>1+0.0000690573428863372i</v>
      </c>
      <c r="U192" s="160">
        <f t="shared" si="114"/>
        <v>1.0000000023844582</v>
      </c>
      <c r="V192" s="160">
        <f t="shared" si="115"/>
        <v>6.905734277656096E-5</v>
      </c>
      <c r="W192" s="98" t="str">
        <f t="shared" si="106"/>
        <v>1-0.0181275525076635i</v>
      </c>
      <c r="X192" s="160">
        <f t="shared" si="116"/>
        <v>1.0001642905842609</v>
      </c>
      <c r="Y192" s="160">
        <f t="shared" si="117"/>
        <v>-1.8125567278508514E-2</v>
      </c>
      <c r="Z192" s="98" t="str">
        <f t="shared" si="107"/>
        <v>0.999974813271446-0.00135262621453098i</v>
      </c>
      <c r="AA192" s="160">
        <f t="shared" si="118"/>
        <v>0.99997572809290713</v>
      </c>
      <c r="AB192" s="160">
        <f t="shared" si="119"/>
        <v>-1.3526594586363478E-3</v>
      </c>
      <c r="AC192" s="171" t="str">
        <f t="shared" si="120"/>
        <v>12.5962470784429-10.2873529540943i</v>
      </c>
      <c r="AD192" s="190">
        <f t="shared" si="121"/>
        <v>24.224175835806644</v>
      </c>
      <c r="AE192" s="169">
        <f t="shared" si="122"/>
        <v>-39.23850726690047</v>
      </c>
      <c r="AF192" s="98" t="str">
        <f t="shared" si="108"/>
        <v>-0.0000897803247373448</v>
      </c>
      <c r="AG192" s="98" t="str">
        <f t="shared" si="109"/>
        <v>0.00690573428863372i</v>
      </c>
      <c r="AH192" s="98">
        <f t="shared" si="123"/>
        <v>6.9057342886337204E-3</v>
      </c>
      <c r="AI192" s="98">
        <f t="shared" si="124"/>
        <v>1.5707963267948966</v>
      </c>
      <c r="AJ192" s="98" t="str">
        <f t="shared" si="110"/>
        <v>1+0.811423778914462i</v>
      </c>
      <c r="AK192" s="98">
        <f t="shared" si="125"/>
        <v>1.2877921218068644</v>
      </c>
      <c r="AL192" s="98">
        <f t="shared" si="126"/>
        <v>0.6816679483984952</v>
      </c>
      <c r="AM192" s="98" t="str">
        <f t="shared" si="111"/>
        <v>1+1.62284755782893i</v>
      </c>
      <c r="AN192" s="98">
        <f t="shared" si="127"/>
        <v>1.9062093788331131</v>
      </c>
      <c r="AO192" s="98">
        <f t="shared" si="128"/>
        <v>1.0185495470172528</v>
      </c>
      <c r="AP192" s="168" t="str">
        <f t="shared" si="129"/>
        <v>-0.00636103097941491+0.0181623286337221i</v>
      </c>
      <c r="AQ192" s="98">
        <f t="shared" si="130"/>
        <v>-34.314077080350309</v>
      </c>
      <c r="AR192" s="169">
        <f t="shared" si="131"/>
        <v>109.3018937964751</v>
      </c>
      <c r="AS192" s="168" t="str">
        <f t="shared" si="132"/>
        <v>0.106717167233013+0.294215349827411i</v>
      </c>
      <c r="AT192" s="190">
        <f t="shared" si="133"/>
        <v>-10.089901244543665</v>
      </c>
      <c r="AU192" s="169">
        <f t="shared" si="134"/>
        <v>70.063386529574572</v>
      </c>
      <c r="AV192" s="225"/>
      <c r="AX192">
        <f t="shared" si="135"/>
        <v>0</v>
      </c>
      <c r="AY192">
        <f t="shared" si="136"/>
        <v>0</v>
      </c>
    </row>
    <row r="193" spans="14:51" x14ac:dyDescent="0.3">
      <c r="N193" s="170">
        <v>75</v>
      </c>
      <c r="O193" s="199">
        <f t="shared" si="137"/>
        <v>562.34132519034927</v>
      </c>
      <c r="P193" s="189" t="str">
        <f t="shared" si="103"/>
        <v>20.7142857142857</v>
      </c>
      <c r="Q193" s="160" t="str">
        <f t="shared" si="104"/>
        <v>1+0.807610229041349i</v>
      </c>
      <c r="R193" s="160">
        <f t="shared" si="112"/>
        <v>1.285392656759879</v>
      </c>
      <c r="S193" s="160">
        <f t="shared" si="113"/>
        <v>0.67936413003255613</v>
      </c>
      <c r="T193" s="160" t="str">
        <f t="shared" si="105"/>
        <v>1+0.000070665895041118i</v>
      </c>
      <c r="U193" s="160">
        <f t="shared" si="114"/>
        <v>1.0000000024968343</v>
      </c>
      <c r="V193" s="160">
        <f t="shared" si="115"/>
        <v>7.0665894923490648E-5</v>
      </c>
      <c r="W193" s="98" t="str">
        <f t="shared" si="106"/>
        <v>1-0.0185497974482934i</v>
      </c>
      <c r="X193" s="160">
        <f t="shared" si="116"/>
        <v>1.0001720326950623</v>
      </c>
      <c r="Y193" s="160">
        <f t="shared" si="117"/>
        <v>-1.8547670256689165E-2</v>
      </c>
      <c r="Z193" s="98" t="str">
        <f t="shared" si="107"/>
        <v>0.9999736262575-0.00138413292650479i</v>
      </c>
      <c r="AA193" s="160">
        <f t="shared" si="118"/>
        <v>0.99997458419428464</v>
      </c>
      <c r="AB193" s="160">
        <f t="shared" si="119"/>
        <v>-1.3841685482457072E-3</v>
      </c>
      <c r="AC193" s="171" t="str">
        <f t="shared" si="120"/>
        <v>12.3646869042607-10.3399661758246i</v>
      </c>
      <c r="AD193" s="190">
        <f t="shared" si="121"/>
        <v>24.146397865729909</v>
      </c>
      <c r="AE193" s="169">
        <f t="shared" si="122"/>
        <v>-39.904044755467034</v>
      </c>
      <c r="AF193" s="98" t="str">
        <f t="shared" si="108"/>
        <v>-0.0000897803247373448</v>
      </c>
      <c r="AG193" s="98" t="str">
        <f t="shared" si="109"/>
        <v>0.0070665895041118i</v>
      </c>
      <c r="AH193" s="98">
        <f t="shared" si="123"/>
        <v>7.0665895041117999E-3</v>
      </c>
      <c r="AI193" s="98">
        <f t="shared" si="124"/>
        <v>1.5707963267948966</v>
      </c>
      <c r="AJ193" s="98" t="str">
        <f t="shared" si="110"/>
        <v>1+0.830324266733137i</v>
      </c>
      <c r="AK193" s="98">
        <f t="shared" si="125"/>
        <v>1.2997839774077544</v>
      </c>
      <c r="AL193" s="98">
        <f t="shared" si="126"/>
        <v>0.6929598035791168</v>
      </c>
      <c r="AM193" s="98" t="str">
        <f t="shared" si="111"/>
        <v>1+1.66064853346628i</v>
      </c>
      <c r="AN193" s="98">
        <f t="shared" si="127"/>
        <v>1.9384925977944063</v>
      </c>
      <c r="AO193" s="98">
        <f t="shared" si="128"/>
        <v>1.0287795517617919</v>
      </c>
      <c r="AP193" s="168" t="str">
        <f t="shared" si="129"/>
        <v>-0.0062441982093168+0.0178896109617538i</v>
      </c>
      <c r="AQ193" s="98">
        <f t="shared" si="130"/>
        <v>-34.448714483769926</v>
      </c>
      <c r="AR193" s="169">
        <f t="shared" si="131"/>
        <v>109.24105424801338</v>
      </c>
      <c r="AS193" s="168" t="str">
        <f t="shared" si="132"/>
        <v>0.107770416416848+0.285764236660596i</v>
      </c>
      <c r="AT193" s="190">
        <f t="shared" si="133"/>
        <v>-10.302316618040017</v>
      </c>
      <c r="AU193" s="169">
        <f t="shared" si="134"/>
        <v>69.337009492546301</v>
      </c>
      <c r="AV193" s="225"/>
      <c r="AX193">
        <f t="shared" si="135"/>
        <v>0</v>
      </c>
      <c r="AY193">
        <f t="shared" si="136"/>
        <v>0</v>
      </c>
    </row>
    <row r="194" spans="14:51" x14ac:dyDescent="0.3">
      <c r="N194" s="170">
        <v>76</v>
      </c>
      <c r="O194" s="199">
        <f t="shared" si="137"/>
        <v>575.43993733715706</v>
      </c>
      <c r="P194" s="189" t="str">
        <f t="shared" si="103"/>
        <v>20.7142857142857</v>
      </c>
      <c r="Q194" s="160" t="str">
        <f t="shared" si="104"/>
        <v>1+0.826421887872267i</v>
      </c>
      <c r="R194" s="160">
        <f t="shared" si="112"/>
        <v>1.2972945451031397</v>
      </c>
      <c r="S194" s="160">
        <f t="shared" si="113"/>
        <v>0.69064550149171477</v>
      </c>
      <c r="T194" s="160" t="str">
        <f t="shared" si="105"/>
        <v>1+0.0000723119151888234i</v>
      </c>
      <c r="U194" s="160">
        <f t="shared" si="114"/>
        <v>1.0000000026145064</v>
      </c>
      <c r="V194" s="160">
        <f t="shared" si="115"/>
        <v>7.2311915062783419E-5</v>
      </c>
      <c r="W194" s="98" t="str">
        <f t="shared" si="106"/>
        <v>1-0.0189818777370661i</v>
      </c>
      <c r="X194" s="160">
        <f t="shared" si="116"/>
        <v>1.0001801396160719</v>
      </c>
      <c r="Y194" s="160">
        <f t="shared" si="117"/>
        <v>-1.8979598432367538E-2</v>
      </c>
      <c r="Z194" s="98" t="str">
        <f t="shared" si="107"/>
        <v>0.999972383301309-0.00141637352407741i</v>
      </c>
      <c r="AA194" s="160">
        <f t="shared" si="118"/>
        <v>0.99997338638548772</v>
      </c>
      <c r="AB194" s="160">
        <f t="shared" si="119"/>
        <v>-1.4164116935056301E-3</v>
      </c>
      <c r="AC194" s="171" t="str">
        <f t="shared" si="120"/>
        <v>12.1308716568484-10.3875852693759i</v>
      </c>
      <c r="AD194" s="190">
        <f t="shared" si="121"/>
        <v>24.066423125844949</v>
      </c>
      <c r="AE194" s="169">
        <f t="shared" si="122"/>
        <v>-40.573225682566886</v>
      </c>
      <c r="AF194" s="98" t="str">
        <f t="shared" si="108"/>
        <v>-0.0000897803247373448</v>
      </c>
      <c r="AG194" s="98" t="str">
        <f t="shared" si="109"/>
        <v>0.00723119151888234i</v>
      </c>
      <c r="AH194" s="98">
        <f t="shared" si="123"/>
        <v>7.2311915188823404E-3</v>
      </c>
      <c r="AI194" s="98">
        <f t="shared" si="124"/>
        <v>1.5707963267948966</v>
      </c>
      <c r="AJ194" s="98" t="str">
        <f t="shared" si="110"/>
        <v>1+0.849665003468675i</v>
      </c>
      <c r="AK194" s="98">
        <f t="shared" si="125"/>
        <v>1.3122235396910937</v>
      </c>
      <c r="AL194" s="98">
        <f t="shared" si="126"/>
        <v>0.70429954934256944</v>
      </c>
      <c r="AM194" s="98" t="str">
        <f t="shared" si="111"/>
        <v>1+1.69933000693735i</v>
      </c>
      <c r="AN194" s="98">
        <f t="shared" si="127"/>
        <v>1.9717308316496178</v>
      </c>
      <c r="AO194" s="98">
        <f t="shared" si="128"/>
        <v>1.0388999743723917</v>
      </c>
      <c r="AP194" s="168" t="str">
        <f t="shared" si="129"/>
        <v>-0.00612637236694189+0.0176210669913582i</v>
      </c>
      <c r="AQ194" s="98">
        <f t="shared" si="130"/>
        <v>-34.583777776371953</v>
      </c>
      <c r="AR194" s="169">
        <f t="shared" si="131"/>
        <v>109.17119217749232</v>
      </c>
      <c r="AS194" s="168" t="str">
        <f t="shared" si="132"/>
        <v>0.108722099004684+0.277397117482451i</v>
      </c>
      <c r="AT194" s="190">
        <f t="shared" si="133"/>
        <v>-10.517354650527011</v>
      </c>
      <c r="AU194" s="169">
        <f t="shared" si="134"/>
        <v>68.597966494925387</v>
      </c>
      <c r="AV194" s="225"/>
      <c r="AX194">
        <f t="shared" si="135"/>
        <v>0</v>
      </c>
      <c r="AY194">
        <f t="shared" si="136"/>
        <v>0</v>
      </c>
    </row>
    <row r="195" spans="14:51" x14ac:dyDescent="0.3">
      <c r="N195" s="170">
        <v>77</v>
      </c>
      <c r="O195" s="199">
        <f t="shared" si="137"/>
        <v>588.84365535558959</v>
      </c>
      <c r="P195" s="189" t="str">
        <f t="shared" si="103"/>
        <v>20.7142857142857</v>
      </c>
      <c r="Q195" s="160" t="str">
        <f t="shared" si="104"/>
        <v>1+0.845671726527122i</v>
      </c>
      <c r="R195" s="160">
        <f t="shared" si="112"/>
        <v>1.3096414276615425</v>
      </c>
      <c r="S195" s="160">
        <f t="shared" si="113"/>
        <v>0.70197590533801146</v>
      </c>
      <c r="T195" s="160" t="str">
        <f t="shared" si="105"/>
        <v>1+0.0000739962760711232i</v>
      </c>
      <c r="U195" s="160">
        <f t="shared" si="114"/>
        <v>1.0000000027377245</v>
      </c>
      <c r="V195" s="160">
        <f t="shared" si="115"/>
        <v>7.3996275936068917E-5</v>
      </c>
      <c r="W195" s="98" t="str">
        <f t="shared" si="106"/>
        <v>1-0.0194240224686698i</v>
      </c>
      <c r="X195" s="160">
        <f t="shared" si="116"/>
        <v>1.0001886285340698</v>
      </c>
      <c r="Y195" s="160">
        <f t="shared" si="117"/>
        <v>-1.9421580174558806E-2</v>
      </c>
      <c r="Z195" s="98" t="str">
        <f t="shared" si="107"/>
        <v>0.999971081766397-0.00144936510164041i</v>
      </c>
      <c r="AA195" s="160">
        <f t="shared" si="118"/>
        <v>0.99997213212581904</v>
      </c>
      <c r="AB195" s="160">
        <f t="shared" si="119"/>
        <v>-1.4494060009702676E-3</v>
      </c>
      <c r="AC195" s="171" t="str">
        <f t="shared" si="120"/>
        <v>11.8950195930459-10.4300901974208i</v>
      </c>
      <c r="AD195" s="190">
        <f t="shared" si="121"/>
        <v>23.984231489296953</v>
      </c>
      <c r="AE195" s="169">
        <f t="shared" si="122"/>
        <v>-41.245746750252927</v>
      </c>
      <c r="AF195" s="98" t="str">
        <f t="shared" si="108"/>
        <v>-0.0000897803247373448</v>
      </c>
      <c r="AG195" s="98" t="str">
        <f t="shared" si="109"/>
        <v>0.00739962760711232i</v>
      </c>
      <c r="AH195" s="98">
        <f t="shared" si="123"/>
        <v>7.3996276071123203E-3</v>
      </c>
      <c r="AI195" s="98">
        <f t="shared" si="124"/>
        <v>1.5707963267948966</v>
      </c>
      <c r="AJ195" s="98" t="str">
        <f t="shared" si="110"/>
        <v>1+0.869456243835698i</v>
      </c>
      <c r="AK195" s="98">
        <f t="shared" si="125"/>
        <v>1.3251242054784451</v>
      </c>
      <c r="AL195" s="98">
        <f t="shared" si="126"/>
        <v>0.71568153356384245</v>
      </c>
      <c r="AM195" s="98" t="str">
        <f t="shared" si="111"/>
        <v>1+1.7389124876714i</v>
      </c>
      <c r="AN195" s="98">
        <f t="shared" si="127"/>
        <v>2.0059453232278135</v>
      </c>
      <c r="AO195" s="98">
        <f t="shared" si="128"/>
        <v>1.0489078878065805</v>
      </c>
      <c r="AP195" s="168" t="str">
        <f t="shared" si="129"/>
        <v>-0.00600766716881106+0.0173564906244054i</v>
      </c>
      <c r="AQ195" s="98">
        <f t="shared" si="130"/>
        <v>-34.719323761973996</v>
      </c>
      <c r="AR195" s="169">
        <f t="shared" si="131"/>
        <v>109.09246372064017</v>
      </c>
      <c r="AS195" s="168" t="str">
        <f t="shared" si="132"/>
        <v>0.109568444041731+0.269116306490603i</v>
      </c>
      <c r="AT195" s="190">
        <f t="shared" si="133"/>
        <v>-10.735092272677022</v>
      </c>
      <c r="AU195" s="169">
        <f t="shared" si="134"/>
        <v>67.846716970387206</v>
      </c>
      <c r="AV195" s="225"/>
      <c r="AX195">
        <f t="shared" si="135"/>
        <v>0</v>
      </c>
      <c r="AY195">
        <f t="shared" si="136"/>
        <v>0</v>
      </c>
    </row>
    <row r="196" spans="14:51" x14ac:dyDescent="0.3">
      <c r="N196" s="170">
        <v>78</v>
      </c>
      <c r="O196" s="199">
        <f t="shared" si="137"/>
        <v>602.55958607435832</v>
      </c>
      <c r="P196" s="189" t="str">
        <f t="shared" si="103"/>
        <v>20.7142857142857</v>
      </c>
      <c r="Q196" s="160" t="str">
        <f t="shared" si="104"/>
        <v>1+0.86536995152517i</v>
      </c>
      <c r="R196" s="160">
        <f t="shared" si="112"/>
        <v>1.3224466541235889</v>
      </c>
      <c r="S196" s="160">
        <f t="shared" si="113"/>
        <v>0.71334971328580588</v>
      </c>
      <c r="T196" s="160" t="str">
        <f t="shared" si="105"/>
        <v>1+0.0000757198707584524i</v>
      </c>
      <c r="U196" s="160">
        <f t="shared" si="114"/>
        <v>1.0000000028667493</v>
      </c>
      <c r="V196" s="160">
        <f t="shared" si="115"/>
        <v>7.5719870613739139E-5</v>
      </c>
      <c r="W196" s="98" t="str">
        <f t="shared" si="106"/>
        <v>1-0.0198764660740937i</v>
      </c>
      <c r="X196" s="160">
        <f t="shared" si="116"/>
        <v>1.0001975174452267</v>
      </c>
      <c r="Y196" s="160">
        <f t="shared" si="117"/>
        <v>-1.9873849136715374E-2</v>
      </c>
      <c r="Z196" s="98" t="str">
        <f t="shared" si="107"/>
        <v>0.999969718892036-0.00148312515176491i</v>
      </c>
      <c r="AA196" s="160">
        <f t="shared" si="118"/>
        <v>0.99997081875484417</v>
      </c>
      <c r="AB196" s="160">
        <f t="shared" si="119"/>
        <v>-1.4831689762432516E-3</v>
      </c>
      <c r="AC196" s="171" t="str">
        <f t="shared" si="120"/>
        <v>11.65735714027-10.4673726982664i</v>
      </c>
      <c r="AD196" s="190">
        <f t="shared" si="121"/>
        <v>23.899804940335045</v>
      </c>
      <c r="AE196" s="169">
        <f t="shared" si="122"/>
        <v>-41.921297814702555</v>
      </c>
      <c r="AF196" s="98" t="str">
        <f t="shared" si="108"/>
        <v>-0.0000897803247373448</v>
      </c>
      <c r="AG196" s="98" t="str">
        <f t="shared" si="109"/>
        <v>0.00757198707584524i</v>
      </c>
      <c r="AH196" s="98">
        <f t="shared" si="123"/>
        <v>7.5719870758452403E-3</v>
      </c>
      <c r="AI196" s="98">
        <f t="shared" si="124"/>
        <v>1.5707963267948966</v>
      </c>
      <c r="AJ196" s="98" t="str">
        <f t="shared" si="110"/>
        <v>1+0.889708481411816i</v>
      </c>
      <c r="AK196" s="98">
        <f t="shared" si="125"/>
        <v>1.3384996010070829</v>
      </c>
      <c r="AL196" s="98">
        <f t="shared" si="126"/>
        <v>0.72709999573823958</v>
      </c>
      <c r="AM196" s="98" t="str">
        <f t="shared" si="111"/>
        <v>1+1.77941696282364i</v>
      </c>
      <c r="AN196" s="98">
        <f t="shared" si="127"/>
        <v>2.0411576929734037</v>
      </c>
      <c r="AO196" s="98">
        <f t="shared" si="128"/>
        <v>1.0588005787956083</v>
      </c>
      <c r="AP196" s="168" t="str">
        <f t="shared" si="129"/>
        <v>-0.00588819991147338+0.0170956855189992i</v>
      </c>
      <c r="AQ196" s="98">
        <f t="shared" si="130"/>
        <v>-34.855407600466954</v>
      </c>
      <c r="AR196" s="169">
        <f t="shared" si="131"/>
        <v>109.00504347121583</v>
      </c>
      <c r="AS196" s="168" t="str">
        <f t="shared" si="132"/>
        <v>0.110306062578369+0.260924494648007i</v>
      </c>
      <c r="AT196" s="190">
        <f t="shared" si="133"/>
        <v>-10.955602660131911</v>
      </c>
      <c r="AU196" s="169">
        <f t="shared" si="134"/>
        <v>67.083745656513301</v>
      </c>
      <c r="AV196" s="225"/>
      <c r="AX196">
        <f t="shared" si="135"/>
        <v>0</v>
      </c>
      <c r="AY196">
        <f t="shared" si="136"/>
        <v>0</v>
      </c>
    </row>
    <row r="197" spans="14:51" x14ac:dyDescent="0.3">
      <c r="N197" s="170">
        <v>79</v>
      </c>
      <c r="O197" s="199">
        <f t="shared" si="137"/>
        <v>616.59500186148273</v>
      </c>
      <c r="P197" s="189" t="str">
        <f t="shared" si="103"/>
        <v>20.7142857142857</v>
      </c>
      <c r="Q197" s="160" t="str">
        <f t="shared" si="104"/>
        <v>1+0.885527007126043i</v>
      </c>
      <c r="R197" s="160">
        <f t="shared" si="112"/>
        <v>1.3357238039166657</v>
      </c>
      <c r="S197" s="160">
        <f t="shared" si="113"/>
        <v>0.72476118588575345</v>
      </c>
      <c r="T197" s="160" t="str">
        <f t="shared" si="105"/>
        <v>1+0.0000774836131235288i</v>
      </c>
      <c r="U197" s="160">
        <f t="shared" si="114"/>
        <v>1.000000003001855</v>
      </c>
      <c r="V197" s="160">
        <f t="shared" si="115"/>
        <v>7.7483612968465743E-5</v>
      </c>
      <c r="W197" s="98" t="str">
        <f t="shared" si="106"/>
        <v>1-0.0203394484449263i</v>
      </c>
      <c r="X197" s="160">
        <f t="shared" si="116"/>
        <v>1.0002068251931917</v>
      </c>
      <c r="Y197" s="160">
        <f t="shared" si="117"/>
        <v>-2.0336644377320308E-2</v>
      </c>
      <c r="Z197" s="98" t="str">
        <f t="shared" si="107"/>
        <v>0.999968291787384-0.00151767157447636i</v>
      </c>
      <c r="AA197" s="160">
        <f t="shared" si="118"/>
        <v>0.99996944348674299</v>
      </c>
      <c r="AB197" s="160">
        <f t="shared" si="119"/>
        <v>-1.5177185333147089E-3</v>
      </c>
      <c r="AC197" s="171" t="str">
        <f t="shared" si="120"/>
        <v>11.418118078994-10.4993369465919i</v>
      </c>
      <c r="AD197" s="190">
        <f t="shared" si="121"/>
        <v>23.813127648137034</v>
      </c>
      <c r="AE197" s="169">
        <f t="shared" si="122"/>
        <v>-42.599562647976946</v>
      </c>
      <c r="AF197" s="98" t="str">
        <f t="shared" si="108"/>
        <v>-0.0000897803247373448</v>
      </c>
      <c r="AG197" s="98" t="str">
        <f t="shared" si="109"/>
        <v>0.00774836131235288i</v>
      </c>
      <c r="AH197" s="98">
        <f t="shared" si="123"/>
        <v>7.7483613123528802E-3</v>
      </c>
      <c r="AI197" s="98">
        <f t="shared" si="124"/>
        <v>1.5707963267948966</v>
      </c>
      <c r="AJ197" s="98" t="str">
        <f t="shared" si="110"/>
        <v>1+0.910432454201464i</v>
      </c>
      <c r="AK197" s="98">
        <f t="shared" si="125"/>
        <v>1.3523635804262479</v>
      </c>
      <c r="AL197" s="98">
        <f t="shared" si="126"/>
        <v>0.73854908097925942</v>
      </c>
      <c r="AM197" s="98" t="str">
        <f t="shared" si="111"/>
        <v>1+1.82086490840293i</v>
      </c>
      <c r="AN197" s="98">
        <f t="shared" si="127"/>
        <v>2.0773899524771973</v>
      </c>
      <c r="AO197" s="98">
        <f t="shared" si="128"/>
        <v>1.068575546704748</v>
      </c>
      <c r="AP197" s="168" t="str">
        <f t="shared" si="129"/>
        <v>-0.00576809102666542+0.0168384652984024i</v>
      </c>
      <c r="AQ197" s="98">
        <f t="shared" si="130"/>
        <v>-34.992082637780925</v>
      </c>
      <c r="AR197" s="169">
        <f t="shared" si="131"/>
        <v>108.90912361368937</v>
      </c>
      <c r="AS197" s="168" t="str">
        <f t="shared" si="132"/>
        <v>0.11093197639857+0.252824716273775i</v>
      </c>
      <c r="AT197" s="190">
        <f t="shared" si="133"/>
        <v>-11.178954989643895</v>
      </c>
      <c r="AU197" s="169">
        <f t="shared" si="134"/>
        <v>66.309560965712521</v>
      </c>
      <c r="AV197" s="225"/>
      <c r="AX197">
        <f t="shared" si="135"/>
        <v>0</v>
      </c>
      <c r="AY197">
        <f t="shared" si="136"/>
        <v>0</v>
      </c>
    </row>
    <row r="198" spans="14:51" x14ac:dyDescent="0.3">
      <c r="N198" s="170">
        <v>80</v>
      </c>
      <c r="O198" s="199">
        <f t="shared" si="137"/>
        <v>630.95734448019323</v>
      </c>
      <c r="P198" s="189" t="str">
        <f t="shared" si="103"/>
        <v>20.7142857142857</v>
      </c>
      <c r="Q198" s="160" t="str">
        <f t="shared" si="104"/>
        <v>1+0.906153580867429i</v>
      </c>
      <c r="R198" s="160">
        <f t="shared" si="112"/>
        <v>1.3494866846763862</v>
      </c>
      <c r="S198" s="160">
        <f t="shared" si="113"/>
        <v>0.73620448639225811</v>
      </c>
      <c r="T198" s="160" t="str">
        <f t="shared" si="105"/>
        <v>1+0.0000792884383259i</v>
      </c>
      <c r="U198" s="160">
        <f t="shared" si="114"/>
        <v>1.0000000031433283</v>
      </c>
      <c r="V198" s="160">
        <f t="shared" si="115"/>
        <v>7.9288438159746933E-5</v>
      </c>
      <c r="W198" s="98" t="str">
        <f t="shared" si="106"/>
        <v>1-0.0208132150605487i</v>
      </c>
      <c r="X198" s="160">
        <f t="shared" si="116"/>
        <v>1.000216571508969</v>
      </c>
      <c r="Y198" s="160">
        <f t="shared" si="117"/>
        <v>-2.0810210483111279E-2</v>
      </c>
      <c r="Z198" s="98" t="str">
        <f t="shared" si="107"/>
        <v>0.999966797425362-0.00155302268674536i</v>
      </c>
      <c r="AA198" s="160">
        <f t="shared" si="118"/>
        <v>0.99996800340440917</v>
      </c>
      <c r="AB198" s="160">
        <f t="shared" si="119"/>
        <v>-1.5530730041187467E-3</v>
      </c>
      <c r="AC198" s="171" t="str">
        <f t="shared" si="120"/>
        <v>11.1775426628183-10.5259001463752i</v>
      </c>
      <c r="AD198" s="190">
        <f t="shared" si="121"/>
        <v>23.724186032622065</v>
      </c>
      <c r="AE198" s="169">
        <f t="shared" si="122"/>
        <v>-43.280219739051859</v>
      </c>
      <c r="AF198" s="98" t="str">
        <f t="shared" si="108"/>
        <v>-0.0000897803247373448</v>
      </c>
      <c r="AG198" s="98" t="str">
        <f t="shared" si="109"/>
        <v>0.00792884383259i</v>
      </c>
      <c r="AH198" s="98">
        <f t="shared" si="123"/>
        <v>7.9288438325900001E-3</v>
      </c>
      <c r="AI198" s="98">
        <f t="shared" si="124"/>
        <v>1.5707963267948966</v>
      </c>
      <c r="AJ198" s="98" t="str">
        <f t="shared" si="110"/>
        <v>1+0.931639150329325i</v>
      </c>
      <c r="AK198" s="98">
        <f t="shared" si="125"/>
        <v>1.3667302244504387</v>
      </c>
      <c r="AL198" s="98">
        <f t="shared" si="126"/>
        <v>0.75002285460520379</v>
      </c>
      <c r="AM198" s="98" t="str">
        <f t="shared" si="111"/>
        <v>1+1.86327830065865i</v>
      </c>
      <c r="AN198" s="98">
        <f t="shared" si="127"/>
        <v>2.1146645184769581</v>
      </c>
      <c r="AO198" s="98">
        <f t="shared" si="128"/>
        <v>1.0782305016445362</v>
      </c>
      <c r="AP198" s="168" t="str">
        <f t="shared" si="129"/>
        <v>-0.00564746360938464+0.0165846537239548i</v>
      </c>
      <c r="AQ198" s="98">
        <f t="shared" si="130"/>
        <v>-35.129400247762575</v>
      </c>
      <c r="AR198" s="169">
        <f t="shared" si="131"/>
        <v>108.80491297927318</v>
      </c>
      <c r="AS198" s="168" t="str">
        <f t="shared" si="132"/>
        <v>0.111443643629947+0.244820312580244i</v>
      </c>
      <c r="AT198" s="190">
        <f t="shared" si="133"/>
        <v>-11.405214215140502</v>
      </c>
      <c r="AU198" s="169">
        <f t="shared" si="134"/>
        <v>65.52469324022141</v>
      </c>
      <c r="AV198" s="225"/>
      <c r="AX198">
        <f t="shared" si="135"/>
        <v>0</v>
      </c>
      <c r="AY198">
        <f t="shared" si="136"/>
        <v>0</v>
      </c>
    </row>
    <row r="199" spans="14:51" x14ac:dyDescent="0.3">
      <c r="N199" s="170">
        <v>81</v>
      </c>
      <c r="O199" s="199">
        <f t="shared" si="137"/>
        <v>645.65422903465594</v>
      </c>
      <c r="P199" s="189" t="str">
        <f t="shared" si="103"/>
        <v>20.7142857142857</v>
      </c>
      <c r="Q199" s="160" t="str">
        <f t="shared" si="104"/>
        <v>1+0.927260609231751i</v>
      </c>
      <c r="R199" s="160">
        <f t="shared" si="112"/>
        <v>1.3637493308643045</v>
      </c>
      <c r="S199" s="160">
        <f t="shared" si="113"/>
        <v>0.74767369523640914</v>
      </c>
      <c r="T199" s="160" t="str">
        <f t="shared" si="105"/>
        <v>1+0.0000811353033077782i</v>
      </c>
      <c r="U199" s="160">
        <f t="shared" si="114"/>
        <v>1.0000000032914687</v>
      </c>
      <c r="V199" s="160">
        <f t="shared" si="115"/>
        <v>8.1135303129741999E-5</v>
      </c>
      <c r="W199" s="98" t="str">
        <f t="shared" si="106"/>
        <v>1-0.0212980171182917i</v>
      </c>
      <c r="X199" s="160">
        <f t="shared" si="116"/>
        <v>1.0002267770526696</v>
      </c>
      <c r="Y199" s="160">
        <f t="shared" si="117"/>
        <v>-2.1294797694985077E-2</v>
      </c>
      <c r="Z199" s="98" t="str">
        <f t="shared" si="107"/>
        <v>0.999965232636228-0.00158919723219955i</v>
      </c>
      <c r="AA199" s="160">
        <f t="shared" si="118"/>
        <v>0.99996649545325689</v>
      </c>
      <c r="AB199" s="160">
        <f t="shared" si="119"/>
        <v>-1.589251148316796E-3</v>
      </c>
      <c r="AC199" s="171" t="str">
        <f t="shared" si="120"/>
        <v>10.9358766827713-10.5469930492861i</v>
      </c>
      <c r="AD199" s="190">
        <f t="shared" si="121"/>
        <v>23.632968821691552</v>
      </c>
      <c r="AE199" s="169">
        <f t="shared" si="122"/>
        <v>-43.962943129680617</v>
      </c>
      <c r="AF199" s="98" t="str">
        <f t="shared" si="108"/>
        <v>-0.0000897803247373448</v>
      </c>
      <c r="AG199" s="98" t="str">
        <f t="shared" si="109"/>
        <v>0.00811353033077783i</v>
      </c>
      <c r="AH199" s="98">
        <f t="shared" si="123"/>
        <v>8.1135303307778295E-3</v>
      </c>
      <c r="AI199" s="98">
        <f t="shared" si="124"/>
        <v>1.5707963267948966</v>
      </c>
      <c r="AJ199" s="98" t="str">
        <f t="shared" si="110"/>
        <v>1+0.953339813866394i</v>
      </c>
      <c r="AK199" s="98">
        <f t="shared" si="125"/>
        <v>1.3816138392122492</v>
      </c>
      <c r="AL199" s="98">
        <f t="shared" si="126"/>
        <v>0.76151531722876042</v>
      </c>
      <c r="AM199" s="98" t="str">
        <f t="shared" si="111"/>
        <v>1+1.90667962773279i</v>
      </c>
      <c r="AN199" s="98">
        <f t="shared" si="127"/>
        <v>2.1530042273091921</v>
      </c>
      <c r="AO199" s="98">
        <f t="shared" si="128"/>
        <v>1.0877633618839666</v>
      </c>
      <c r="AP199" s="168" t="str">
        <f t="shared" si="129"/>
        <v>-0.00552644292267182+0.0163340848290498i</v>
      </c>
      <c r="AQ199" s="98">
        <f t="shared" si="130"/>
        <v>-35.267409686836601</v>
      </c>
      <c r="AR199" s="169">
        <f t="shared" si="131"/>
        <v>108.6926360331389</v>
      </c>
      <c r="AS199" s="168" t="str">
        <f t="shared" si="132"/>
        <v>0.111838980861725+0.23691489250911i</v>
      </c>
      <c r="AT199" s="190">
        <f t="shared" si="133"/>
        <v>-11.634440865145049</v>
      </c>
      <c r="AU199" s="169">
        <f t="shared" si="134"/>
        <v>64.729692903458172</v>
      </c>
      <c r="AV199" s="225"/>
      <c r="AX199">
        <f t="shared" si="135"/>
        <v>0</v>
      </c>
      <c r="AY199">
        <f t="shared" si="136"/>
        <v>0</v>
      </c>
    </row>
    <row r="200" spans="14:51" x14ac:dyDescent="0.3">
      <c r="N200" s="170">
        <v>82</v>
      </c>
      <c r="O200" s="199">
        <f t="shared" si="137"/>
        <v>660.69344800759643</v>
      </c>
      <c r="P200" s="189" t="str">
        <f t="shared" si="103"/>
        <v>20.7142857142857</v>
      </c>
      <c r="Q200" s="160" t="str">
        <f t="shared" si="104"/>
        <v>1+0.948859283444834i</v>
      </c>
      <c r="R200" s="160">
        <f t="shared" si="112"/>
        <v>1.3785260025764634</v>
      </c>
      <c r="S200" s="160">
        <f t="shared" si="113"/>
        <v>0.75916282501993138</v>
      </c>
      <c r="T200" s="160" t="str">
        <f t="shared" si="105"/>
        <v>1+0.000083025187301423i</v>
      </c>
      <c r="U200" s="160">
        <f t="shared" si="114"/>
        <v>1.0000000034465908</v>
      </c>
      <c r="V200" s="160">
        <f t="shared" si="115"/>
        <v>8.3025187110653766E-5</v>
      </c>
      <c r="W200" s="98" t="str">
        <f t="shared" si="106"/>
        <v>1-0.0217941116666235i</v>
      </c>
      <c r="X200" s="160">
        <f t="shared" si="116"/>
        <v>1.000237463457222</v>
      </c>
      <c r="Y200" s="160">
        <f t="shared" si="117"/>
        <v>-2.1790662036629233E-2</v>
      </c>
      <c r="Z200" s="98" t="str">
        <f t="shared" si="107"/>
        <v>0.999963594100854-0.00162621439106178i</v>
      </c>
      <c r="AA200" s="160">
        <f t="shared" si="118"/>
        <v>0.99996491643474339</v>
      </c>
      <c r="AB200" s="160">
        <f t="shared" si="119"/>
        <v>-1.6262721633123413E-3</v>
      </c>
      <c r="AC200" s="171" t="str">
        <f t="shared" si="120"/>
        <v>10.6933704832966-10.562560392578i</v>
      </c>
      <c r="AD200" s="190">
        <f t="shared" si="121"/>
        <v>23.53946709940822</v>
      </c>
      <c r="AE200" s="169">
        <f t="shared" si="122"/>
        <v>-44.647403280253627</v>
      </c>
      <c r="AF200" s="98" t="str">
        <f t="shared" si="108"/>
        <v>-0.0000897803247373448</v>
      </c>
      <c r="AG200" s="98" t="str">
        <f t="shared" si="109"/>
        <v>0.0083025187301423i</v>
      </c>
      <c r="AH200" s="98">
        <f t="shared" si="123"/>
        <v>8.3025187301423008E-3</v>
      </c>
      <c r="AI200" s="98">
        <f t="shared" si="124"/>
        <v>1.5707963267948966</v>
      </c>
      <c r="AJ200" s="98" t="str">
        <f t="shared" si="110"/>
        <v>1+0.97554595079172i</v>
      </c>
      <c r="AK200" s="98">
        <f t="shared" si="125"/>
        <v>1.3970289553570896</v>
      </c>
      <c r="AL200" s="98">
        <f t="shared" si="126"/>
        <v>0.77302042025791129</v>
      </c>
      <c r="AM200" s="98" t="str">
        <f t="shared" si="111"/>
        <v>1+1.95109190158345i</v>
      </c>
      <c r="AN200" s="98">
        <f t="shared" si="127"/>
        <v>2.1924323497942924</v>
      </c>
      <c r="AO200" s="98">
        <f t="shared" si="128"/>
        <v>1.0971722506187502</v>
      </c>
      <c r="AP200" s="168" t="str">
        <f t="shared" si="129"/>
        <v>-0.00540515588324467+0.016086603011673i</v>
      </c>
      <c r="AQ200" s="98">
        <f t="shared" si="130"/>
        <v>-35.406157962195927</v>
      </c>
      <c r="AR200" s="169">
        <f t="shared" si="131"/>
        <v>108.57253180111665</v>
      </c>
      <c r="AS200" s="168" t="str">
        <f t="shared" si="132"/>
        <v>0.112116381442718+0.229112291269604i</v>
      </c>
      <c r="AT200" s="190">
        <f t="shared" si="133"/>
        <v>-11.866690862787713</v>
      </c>
      <c r="AU200" s="169">
        <f t="shared" si="134"/>
        <v>63.925128520862927</v>
      </c>
      <c r="AV200" s="225"/>
      <c r="AX200">
        <f t="shared" si="135"/>
        <v>0</v>
      </c>
      <c r="AY200">
        <f t="shared" si="136"/>
        <v>0</v>
      </c>
    </row>
    <row r="201" spans="14:51" x14ac:dyDescent="0.3">
      <c r="N201" s="170">
        <v>83</v>
      </c>
      <c r="O201" s="199">
        <f t="shared" si="137"/>
        <v>676.08297539198213</v>
      </c>
      <c r="P201" s="189" t="str">
        <f t="shared" si="103"/>
        <v>20.7142857142857</v>
      </c>
      <c r="Q201" s="160" t="str">
        <f t="shared" si="104"/>
        <v>1+0.970961055409637i</v>
      </c>
      <c r="R201" s="160">
        <f t="shared" si="112"/>
        <v>1.3938311845852052</v>
      </c>
      <c r="S201" s="160">
        <f t="shared" si="113"/>
        <v>0.77066583593964744</v>
      </c>
      <c r="T201" s="160" t="str">
        <f t="shared" si="105"/>
        <v>1+0.0000849590923483432i</v>
      </c>
      <c r="U201" s="160">
        <f t="shared" si="114"/>
        <v>1.0000000036090235</v>
      </c>
      <c r="V201" s="160">
        <f t="shared" si="115"/>
        <v>8.4959092143930287E-5</v>
      </c>
      <c r="W201" s="98" t="str">
        <f t="shared" si="106"/>
        <v>1-0.02230176174144i</v>
      </c>
      <c r="X201" s="160">
        <f t="shared" si="116"/>
        <v>1.0002486533741357</v>
      </c>
      <c r="Y201" s="160">
        <f t="shared" si="117"/>
        <v>-2.2298065445931107E-2</v>
      </c>
      <c r="Z201" s="98" t="str">
        <f t="shared" si="107"/>
        <v>0.999961878343686-0.00166409379031963i</v>
      </c>
      <c r="AA201" s="160">
        <f t="shared" si="118"/>
        <v>0.99996326299958405</v>
      </c>
      <c r="AB201" s="160">
        <f t="shared" si="119"/>
        <v>-1.6641556945024743E-3</v>
      </c>
      <c r="AC201" s="171" t="str">
        <f t="shared" si="120"/>
        <v>10.450277938096-10.5725612513642i</v>
      </c>
      <c r="AD201" s="190">
        <f t="shared" si="121"/>
        <v>23.443674344693424</v>
      </c>
      <c r="AE201" s="169">
        <f t="shared" si="122"/>
        <v>-45.333267960462535</v>
      </c>
      <c r="AF201" s="98" t="str">
        <f t="shared" si="108"/>
        <v>-0.0000897803247373448</v>
      </c>
      <c r="AG201" s="98" t="str">
        <f t="shared" si="109"/>
        <v>0.00849590923483432i</v>
      </c>
      <c r="AH201" s="98">
        <f t="shared" si="123"/>
        <v>8.4959092348343198E-3</v>
      </c>
      <c r="AI201" s="98">
        <f t="shared" si="124"/>
        <v>1.5707963267948966</v>
      </c>
      <c r="AJ201" s="98" t="str">
        <f t="shared" si="110"/>
        <v>1+0.998269335093033i</v>
      </c>
      <c r="AK201" s="98">
        <f t="shared" si="125"/>
        <v>1.4129903274216302</v>
      </c>
      <c r="AL201" s="98">
        <f t="shared" si="126"/>
        <v>0.78453208171173605</v>
      </c>
      <c r="AM201" s="98" t="str">
        <f t="shared" si="111"/>
        <v>1+1.99653867018607i</v>
      </c>
      <c r="AN201" s="98">
        <f t="shared" si="127"/>
        <v>2.2329726065378321</v>
      </c>
      <c r="AO201" s="98">
        <f t="shared" si="128"/>
        <v>1.1064554921491596</v>
      </c>
      <c r="AP201" s="168" t="str">
        <f t="shared" si="129"/>
        <v>-0.00528373053241181+0.0158420630834969i</v>
      </c>
      <c r="AQ201" s="98">
        <f t="shared" si="130"/>
        <v>-35.545689714130134</v>
      </c>
      <c r="AR201" s="169">
        <f t="shared" si="131"/>
        <v>108.44485274452208</v>
      </c>
      <c r="AS201" s="168" t="str">
        <f t="shared" si="132"/>
        <v>0.112274729684539+0.22141652702502i</v>
      </c>
      <c r="AT201" s="190">
        <f t="shared" si="133"/>
        <v>-12.102015369436712</v>
      </c>
      <c r="AU201" s="169">
        <f t="shared" si="134"/>
        <v>63.111584784059609</v>
      </c>
      <c r="AV201" s="225"/>
      <c r="AX201">
        <f t="shared" si="135"/>
        <v>0</v>
      </c>
      <c r="AY201">
        <f t="shared" si="136"/>
        <v>0</v>
      </c>
    </row>
    <row r="202" spans="14:51" x14ac:dyDescent="0.3">
      <c r="N202" s="170">
        <v>84</v>
      </c>
      <c r="O202" s="199">
        <f t="shared" si="137"/>
        <v>691.83097091893671</v>
      </c>
      <c r="P202" s="189" t="str">
        <f t="shared" si="103"/>
        <v>20.7142857142857</v>
      </c>
      <c r="Q202" s="160" t="str">
        <f t="shared" si="104"/>
        <v>1+0.993577643778206i</v>
      </c>
      <c r="R202" s="160">
        <f t="shared" si="112"/>
        <v>1.4096795856562057</v>
      </c>
      <c r="S202" s="160">
        <f t="shared" si="113"/>
        <v>0.78217665154690441</v>
      </c>
      <c r="T202" s="160" t="str">
        <f t="shared" si="105"/>
        <v>1+0.000086938043830593i</v>
      </c>
      <c r="U202" s="160">
        <f t="shared" si="114"/>
        <v>1.0000000037791117</v>
      </c>
      <c r="V202" s="160">
        <f t="shared" si="115"/>
        <v>8.6938043611560611E-5</v>
      </c>
      <c r="W202" s="98" t="str">
        <f t="shared" si="106"/>
        <v>1-0.0228212365055306i</v>
      </c>
      <c r="X202" s="160">
        <f t="shared" si="116"/>
        <v>1.0002603705214166</v>
      </c>
      <c r="Y202" s="160">
        <f t="shared" si="117"/>
        <v>-2.2817275909214309E-2</v>
      </c>
      <c r="Z202" s="98" t="str">
        <f t="shared" si="107"/>
        <v>0.999960081725375-0.00170285551413199i</v>
      </c>
      <c r="AA202" s="160">
        <f t="shared" si="118"/>
        <v>0.99996153164065293</v>
      </c>
      <c r="AB202" s="160">
        <f t="shared" si="119"/>
        <v>-1.7029218457723732E-3</v>
      </c>
      <c r="AC202" s="171" t="str">
        <f t="shared" si="120"/>
        <v>10.206855394601-10.5769693011301i</v>
      </c>
      <c r="AD202" s="190">
        <f t="shared" si="121"/>
        <v>23.345586460206885</v>
      </c>
      <c r="AE202" s="169">
        <f t="shared" si="122"/>
        <v>-46.020203159314448</v>
      </c>
      <c r="AF202" s="98" t="str">
        <f t="shared" si="108"/>
        <v>-0.0000897803247373448</v>
      </c>
      <c r="AG202" s="98" t="str">
        <f t="shared" si="109"/>
        <v>0.0086938043830593i</v>
      </c>
      <c r="AH202" s="98">
        <f t="shared" si="123"/>
        <v>8.6938043830593007E-3</v>
      </c>
      <c r="AI202" s="98">
        <f t="shared" si="124"/>
        <v>1.5707963267948966</v>
      </c>
      <c r="AJ202" s="98" t="str">
        <f t="shared" si="110"/>
        <v>1+1.02152201500947i</v>
      </c>
      <c r="AK202" s="98">
        <f t="shared" si="125"/>
        <v>1.4295129335368071</v>
      </c>
      <c r="AL202" s="98">
        <f t="shared" si="126"/>
        <v>0.79604420225091022</v>
      </c>
      <c r="AM202" s="98" t="str">
        <f t="shared" si="111"/>
        <v>1+2.04304403001894i</v>
      </c>
      <c r="AN202" s="98">
        <f t="shared" si="127"/>
        <v>2.2746491836316278</v>
      </c>
      <c r="AO202" s="98">
        <f t="shared" si="128"/>
        <v>1.1156116075227487</v>
      </c>
      <c r="AP202" s="168" t="str">
        <f t="shared" si="129"/>
        <v>-0.00516229549692158+0.0156003302740438i</v>
      </c>
      <c r="AQ202" s="98">
        <f t="shared" si="130"/>
        <v>-35.686047112965625</v>
      </c>
      <c r="AR202" s="169">
        <f t="shared" si="131"/>
        <v>108.30986359202309</v>
      </c>
      <c r="AS202" s="168" t="str">
        <f t="shared" si="132"/>
        <v>0.112313410754773+0.213831756209483i</v>
      </c>
      <c r="AT202" s="190">
        <f t="shared" si="133"/>
        <v>-12.340460652758747</v>
      </c>
      <c r="AU202" s="169">
        <f t="shared" si="134"/>
        <v>62.289660432708722</v>
      </c>
      <c r="AV202" s="225"/>
      <c r="AX202">
        <f t="shared" si="135"/>
        <v>0</v>
      </c>
      <c r="AY202">
        <f t="shared" si="136"/>
        <v>0</v>
      </c>
    </row>
    <row r="203" spans="14:51" x14ac:dyDescent="0.3">
      <c r="N203" s="170">
        <v>85</v>
      </c>
      <c r="O203" s="199">
        <f t="shared" si="137"/>
        <v>707.94578438413873</v>
      </c>
      <c r="P203" s="189" t="str">
        <f t="shared" si="103"/>
        <v>20.7142857142857</v>
      </c>
      <c r="Q203" s="160" t="str">
        <f t="shared" si="104"/>
        <v>1+1.01672104016506i</v>
      </c>
      <c r="R203" s="160">
        <f t="shared" si="112"/>
        <v>1.4260861381818146</v>
      </c>
      <c r="S203" s="160">
        <f t="shared" si="113"/>
        <v>0.7936891747424405</v>
      </c>
      <c r="T203" s="160" t="str">
        <f t="shared" si="105"/>
        <v>1+0.000088963091014443i</v>
      </c>
      <c r="U203" s="160">
        <f t="shared" si="114"/>
        <v>1.0000000039572157</v>
      </c>
      <c r="V203" s="160">
        <f t="shared" si="115"/>
        <v>8.8963090779745559E-5</v>
      </c>
      <c r="W203" s="98" t="str">
        <f t="shared" si="106"/>
        <v>1-0.0233528113912912i</v>
      </c>
      <c r="X203" s="160">
        <f t="shared" si="116"/>
        <v>1.0002726397337265</v>
      </c>
      <c r="Y203" s="160">
        <f t="shared" si="117"/>
        <v>-2.3348567598349152E-2</v>
      </c>
      <c r="Z203" s="98" t="str">
        <f t="shared" si="107"/>
        <v>0.999958200435051-0.00174252011447791i</v>
      </c>
      <c r="AA203" s="160">
        <f t="shared" si="118"/>
        <v>0.99995971868553535</v>
      </c>
      <c r="AB203" s="160">
        <f t="shared" si="119"/>
        <v>-1.7425911902383562E-3</v>
      </c>
      <c r="AC203" s="171" t="str">
        <f t="shared" si="120"/>
        <v>9.96336059632558-10.5757729873548i</v>
      </c>
      <c r="AD203" s="190">
        <f t="shared" si="121"/>
        <v>23.245201791155552</v>
      </c>
      <c r="AE203" s="169">
        <f t="shared" si="122"/>
        <v>-46.707874008773182</v>
      </c>
      <c r="AF203" s="98" t="str">
        <f t="shared" si="108"/>
        <v>-0.0000897803247373448</v>
      </c>
      <c r="AG203" s="98" t="str">
        <f t="shared" si="109"/>
        <v>0.0088963091014443i</v>
      </c>
      <c r="AH203" s="98">
        <f t="shared" si="123"/>
        <v>8.8963091014443007E-3</v>
      </c>
      <c r="AI203" s="98">
        <f t="shared" si="124"/>
        <v>1.5707963267948966</v>
      </c>
      <c r="AJ203" s="98" t="str">
        <f t="shared" si="110"/>
        <v>1+1.04531631941971i</v>
      </c>
      <c r="AK203" s="98">
        <f t="shared" si="125"/>
        <v>1.4466119754948696</v>
      </c>
      <c r="AL203" s="98">
        <f t="shared" si="126"/>
        <v>0.80755068132014429</v>
      </c>
      <c r="AM203" s="98" t="str">
        <f t="shared" si="111"/>
        <v>1+2.09063263883942i</v>
      </c>
      <c r="AN203" s="98">
        <f t="shared" si="127"/>
        <v>2.3174867487389603</v>
      </c>
      <c r="AO203" s="98">
        <f t="shared" si="128"/>
        <v>1.1246393096973306</v>
      </c>
      <c r="AP203" s="168" t="str">
        <f t="shared" si="129"/>
        <v>-0.00504097944455262+0.0153612801889839i</v>
      </c>
      <c r="AQ203" s="98">
        <f t="shared" si="130"/>
        <v>-35.82726977095011</v>
      </c>
      <c r="AR203" s="169">
        <f t="shared" si="131"/>
        <v>108.16784013760493</v>
      </c>
      <c r="AS203" s="168" t="str">
        <f t="shared" si="132"/>
        <v>0.112232316109102+0.206362227983549i</v>
      </c>
      <c r="AT203" s="190">
        <f t="shared" si="133"/>
        <v>-12.582067979794564</v>
      </c>
      <c r="AU203" s="169">
        <f t="shared" si="134"/>
        <v>61.45996612883161</v>
      </c>
      <c r="AV203" s="225"/>
      <c r="AX203">
        <f t="shared" si="135"/>
        <v>0</v>
      </c>
      <c r="AY203">
        <f t="shared" si="136"/>
        <v>0</v>
      </c>
    </row>
    <row r="204" spans="14:51" x14ac:dyDescent="0.3">
      <c r="N204" s="170">
        <v>86</v>
      </c>
      <c r="O204" s="199">
        <f t="shared" si="137"/>
        <v>724.43596007499025</v>
      </c>
      <c r="P204" s="189" t="str">
        <f t="shared" si="103"/>
        <v>20.7142857142857</v>
      </c>
      <c r="Q204" s="160" t="str">
        <f t="shared" si="104"/>
        <v>1+1.04040351550531i</v>
      </c>
      <c r="R204" s="160">
        <f t="shared" si="112"/>
        <v>1.4430659981704952</v>
      </c>
      <c r="S204" s="160">
        <f t="shared" si="113"/>
        <v>0.80519730390437005</v>
      </c>
      <c r="T204" s="160" t="str">
        <f t="shared" si="105"/>
        <v>1+0.0000910353076067144i</v>
      </c>
      <c r="U204" s="160">
        <f t="shared" si="114"/>
        <v>1.0000000041437136</v>
      </c>
      <c r="V204" s="160">
        <f t="shared" si="115"/>
        <v>9.1035307355231583E-5</v>
      </c>
      <c r="W204" s="98" t="str">
        <f t="shared" si="106"/>
        <v>1-0.0238967682467625i</v>
      </c>
      <c r="X204" s="160">
        <f t="shared" si="116"/>
        <v>1.0002854870149018</v>
      </c>
      <c r="Y204" s="160">
        <f t="shared" si="117"/>
        <v>-2.3892221010788899E-2</v>
      </c>
      <c r="Z204" s="98" t="str">
        <f t="shared" si="107"/>
        <v>0.999956230482246-0.0017831086220535i</v>
      </c>
      <c r="AA204" s="160">
        <f t="shared" si="118"/>
        <v>0.99995782028874647</v>
      </c>
      <c r="AB204" s="160">
        <f t="shared" si="119"/>
        <v>-1.7831847812457037E-3</v>
      </c>
      <c r="AC204" s="171" t="str">
        <f t="shared" si="120"/>
        <v>9.72005159268525-10.5689756002195i</v>
      </c>
      <c r="AD204" s="190">
        <f t="shared" si="121"/>
        <v>23.142521133869085</v>
      </c>
      <c r="AE204" s="169">
        <f t="shared" si="122"/>
        <v>-47.39594571518964</v>
      </c>
      <c r="AF204" s="98" t="str">
        <f t="shared" si="108"/>
        <v>-0.0000897803247373448</v>
      </c>
      <c r="AG204" s="98" t="str">
        <f t="shared" si="109"/>
        <v>0.00910353076067143i</v>
      </c>
      <c r="AH204" s="98">
        <f t="shared" si="123"/>
        <v>9.1035307606714307E-3</v>
      </c>
      <c r="AI204" s="98">
        <f t="shared" si="124"/>
        <v>1.5707963267948966</v>
      </c>
      <c r="AJ204" s="98" t="str">
        <f t="shared" si="110"/>
        <v>1+1.06966486437889i</v>
      </c>
      <c r="AK204" s="98">
        <f t="shared" si="125"/>
        <v>1.4643028792181996</v>
      </c>
      <c r="AL204" s="98">
        <f t="shared" si="126"/>
        <v>0.81904543329846535</v>
      </c>
      <c r="AM204" s="98" t="str">
        <f t="shared" si="111"/>
        <v>1+2.13932972875779i</v>
      </c>
      <c r="AN204" s="98">
        <f t="shared" si="127"/>
        <v>2.3615104675497163</v>
      </c>
      <c r="AO204" s="98">
        <f t="shared" si="128"/>
        <v>1.133537498279261</v>
      </c>
      <c r="AP204" s="168" t="str">
        <f t="shared" si="129"/>
        <v>-0.00491991053933573+0.0151247987222002i</v>
      </c>
      <c r="AQ204" s="98">
        <f t="shared" si="130"/>
        <v>-35.969394669275488</v>
      </c>
      <c r="AR204" s="169">
        <f t="shared" si="131"/>
        <v>108.01906801375368</v>
      </c>
      <c r="AS204" s="168" t="str">
        <f t="shared" si="132"/>
        <v>0.112031844379426+0.199012238354268i</v>
      </c>
      <c r="AT204" s="190">
        <f t="shared" si="133"/>
        <v>-12.826873535406405</v>
      </c>
      <c r="AU204" s="169">
        <f t="shared" si="134"/>
        <v>60.623122298563999</v>
      </c>
      <c r="AV204" s="225"/>
      <c r="AX204">
        <f t="shared" si="135"/>
        <v>0</v>
      </c>
      <c r="AY204">
        <f t="shared" si="136"/>
        <v>0</v>
      </c>
    </row>
    <row r="205" spans="14:51" x14ac:dyDescent="0.3">
      <c r="N205" s="170">
        <v>87</v>
      </c>
      <c r="O205" s="199">
        <f t="shared" si="137"/>
        <v>741.31024130091828</v>
      </c>
      <c r="P205" s="189" t="str">
        <f t="shared" si="103"/>
        <v>20.7142857142857</v>
      </c>
      <c r="Q205" s="160" t="str">
        <f t="shared" si="104"/>
        <v>1+1.06463762656084i</v>
      </c>
      <c r="R205" s="160">
        <f t="shared" si="112"/>
        <v>1.4606345456304595</v>
      </c>
      <c r="S205" s="160">
        <f t="shared" si="113"/>
        <v>0.81669494904534468</v>
      </c>
      <c r="T205" s="160" t="str">
        <f t="shared" si="105"/>
        <v>1+0.0000931557923240736i</v>
      </c>
      <c r="U205" s="160">
        <f t="shared" si="114"/>
        <v>1.0000000043390007</v>
      </c>
      <c r="V205" s="160">
        <f t="shared" si="115"/>
        <v>9.3155792054604899E-5</v>
      </c>
      <c r="W205" s="98" t="str">
        <f t="shared" si="106"/>
        <v>1-0.0244533954850693i</v>
      </c>
      <c r="X205" s="160">
        <f t="shared" si="116"/>
        <v>1.0002989395929345</v>
      </c>
      <c r="Y205" s="160">
        <f t="shared" si="117"/>
        <v>-2.4448523112578814E-2</v>
      </c>
      <c r="Z205" s="98" t="str">
        <f t="shared" si="107"/>
        <v>0.999954167688425-0.00182464255742274i</v>
      </c>
      <c r="AA205" s="160">
        <f t="shared" si="118"/>
        <v>0.99995583242356911</v>
      </c>
      <c r="AB205" s="160">
        <f t="shared" si="119"/>
        <v>-1.824724163627629E-3</v>
      </c>
      <c r="AC205" s="171" t="str">
        <f t="shared" si="120"/>
        <v>9.4771856460655-10.5565952535039i</v>
      </c>
      <c r="AD205" s="190">
        <f t="shared" si="121"/>
        <v>23.037547734070447</v>
      </c>
      <c r="AE205" s="169">
        <f t="shared" si="122"/>
        <v>-48.08408449255549</v>
      </c>
      <c r="AF205" s="98" t="str">
        <f t="shared" si="108"/>
        <v>-0.0000897803247373448</v>
      </c>
      <c r="AG205" s="98" t="str">
        <f t="shared" si="109"/>
        <v>0.00931557923240737i</v>
      </c>
      <c r="AH205" s="98">
        <f t="shared" si="123"/>
        <v>9.3155792324073703E-3</v>
      </c>
      <c r="AI205" s="98">
        <f t="shared" si="124"/>
        <v>1.5707963267948966</v>
      </c>
      <c r="AJ205" s="98" t="str">
        <f t="shared" si="110"/>
        <v>1+1.09458055980787i</v>
      </c>
      <c r="AK205" s="98">
        <f t="shared" si="125"/>
        <v>1.4826012956655981</v>
      </c>
      <c r="AL205" s="98">
        <f t="shared" si="126"/>
        <v>0.83052240355320017</v>
      </c>
      <c r="AM205" s="98" t="str">
        <f t="shared" si="111"/>
        <v>1+2.18916111961574i</v>
      </c>
      <c r="AN205" s="98">
        <f t="shared" si="127"/>
        <v>2.4067460205923763</v>
      </c>
      <c r="AO205" s="98">
        <f t="shared" si="128"/>
        <v>1.1423052538911482</v>
      </c>
      <c r="AP205" s="168" t="str">
        <f t="shared" si="129"/>
        <v>-0.00479921590130111+0.0148907819218313i</v>
      </c>
      <c r="AQ205" s="98">
        <f t="shared" si="130"/>
        <v>-36.112456100292945</v>
      </c>
      <c r="AR205" s="169">
        <f t="shared" si="131"/>
        <v>107.86384144892351</v>
      </c>
      <c r="AS205" s="168" t="str">
        <f t="shared" si="132"/>
        <v>0.111712897704786+0.191786084492487i</v>
      </c>
      <c r="AT205" s="190">
        <f t="shared" si="133"/>
        <v>-13.074908366222493</v>
      </c>
      <c r="AU205" s="169">
        <f t="shared" si="134"/>
        <v>59.779756956367983</v>
      </c>
      <c r="AV205" s="225"/>
      <c r="AX205">
        <f t="shared" si="135"/>
        <v>0</v>
      </c>
      <c r="AY205">
        <f t="shared" si="136"/>
        <v>0</v>
      </c>
    </row>
    <row r="206" spans="14:51" x14ac:dyDescent="0.3">
      <c r="N206" s="170">
        <v>88</v>
      </c>
      <c r="O206" s="199">
        <f t="shared" si="137"/>
        <v>758.57757502918378</v>
      </c>
      <c r="P206" s="189" t="str">
        <f t="shared" si="103"/>
        <v>20.7142857142857</v>
      </c>
      <c r="Q206" s="160" t="str">
        <f t="shared" si="104"/>
        <v>1+1.08943622257812i</v>
      </c>
      <c r="R206" s="160">
        <f t="shared" si="112"/>
        <v>1.4788073853836687</v>
      </c>
      <c r="S206" s="160">
        <f t="shared" si="113"/>
        <v>0.82817604789468047</v>
      </c>
      <c r="T206" s="160" t="str">
        <f t="shared" si="105"/>
        <v>1+0.0000953256694755858i</v>
      </c>
      <c r="U206" s="160">
        <f t="shared" si="114"/>
        <v>1.0000000045434916</v>
      </c>
      <c r="V206" s="160">
        <f t="shared" si="115"/>
        <v>9.532566918684488E-5</v>
      </c>
      <c r="W206" s="98" t="str">
        <f t="shared" si="106"/>
        <v>1-0.0250229882373412i</v>
      </c>
      <c r="X206" s="160">
        <f t="shared" si="116"/>
        <v>1.0003130259775317</v>
      </c>
      <c r="Y206" s="160">
        <f t="shared" si="117"/>
        <v>-2.5017767484388182E-2</v>
      </c>
      <c r="Z206" s="98" t="str">
        <f t="shared" si="107"/>
        <v>0.999952007678127-0.00186714394242792i</v>
      </c>
      <c r="AA206" s="160">
        <f t="shared" si="118"/>
        <v>0.99995375087351857</v>
      </c>
      <c r="AB206" s="160">
        <f t="shared" si="119"/>
        <v>-1.8672313852316003E-3</v>
      </c>
      <c r="AC206" s="171" t="str">
        <f t="shared" si="120"/>
        <v>9.23501814596267-10.5386647679252i</v>
      </c>
      <c r="AD206" s="190">
        <f t="shared" si="121"/>
        <v>22.930287274863431</v>
      </c>
      <c r="AE206" s="169">
        <f t="shared" si="122"/>
        <v>-48.771958491612821</v>
      </c>
      <c r="AF206" s="98" t="str">
        <f t="shared" si="108"/>
        <v>-0.0000897803247373448</v>
      </c>
      <c r="AG206" s="98" t="str">
        <f t="shared" si="109"/>
        <v>0.00953256694755858i</v>
      </c>
      <c r="AH206" s="98">
        <f t="shared" si="123"/>
        <v>9.5325669475585795E-3</v>
      </c>
      <c r="AI206" s="98">
        <f t="shared" si="124"/>
        <v>1.5707963267948966</v>
      </c>
      <c r="AJ206" s="98" t="str">
        <f t="shared" si="110"/>
        <v>1+1.12007661633813i</v>
      </c>
      <c r="AK206" s="98">
        <f t="shared" si="125"/>
        <v>1.5015231022090452</v>
      </c>
      <c r="AL206" s="98">
        <f t="shared" si="126"/>
        <v>0.84197558429450459</v>
      </c>
      <c r="AM206" s="98" t="str">
        <f t="shared" si="111"/>
        <v>1+2.24015323267627i</v>
      </c>
      <c r="AN206" s="98">
        <f t="shared" si="127"/>
        <v>2.4532196203907106</v>
      </c>
      <c r="AO206" s="98">
        <f t="shared" si="128"/>
        <v>1.150941832221692</v>
      </c>
      <c r="AP206" s="168" t="str">
        <f t="shared" si="129"/>
        <v>-0.0046790210755765+0.0146591358110657i</v>
      </c>
      <c r="AQ206" s="98">
        <f t="shared" si="130"/>
        <v>-36.256485624842739</v>
      </c>
      <c r="AR206" s="169">
        <f t="shared" si="131"/>
        <v>107.70246201822049</v>
      </c>
      <c r="AS206" s="168" t="str">
        <f t="shared" si="132"/>
        <v>0.111276873562018+0.18468801977688i</v>
      </c>
      <c r="AT206" s="190">
        <f t="shared" si="133"/>
        <v>-13.326198349979322</v>
      </c>
      <c r="AU206" s="169">
        <f t="shared" si="134"/>
        <v>58.930503526607595</v>
      </c>
      <c r="AV206" s="225"/>
      <c r="AX206">
        <f t="shared" si="135"/>
        <v>0</v>
      </c>
      <c r="AY206">
        <f t="shared" si="136"/>
        <v>0</v>
      </c>
    </row>
    <row r="207" spans="14:51" x14ac:dyDescent="0.3">
      <c r="N207" s="170">
        <v>89</v>
      </c>
      <c r="O207" s="199">
        <f t="shared" si="137"/>
        <v>776.24711662869231</v>
      </c>
      <c r="P207" s="189" t="str">
        <f t="shared" si="103"/>
        <v>20.7142857142857</v>
      </c>
      <c r="Q207" s="160" t="str">
        <f t="shared" si="104"/>
        <v>1+1.11481245210101i</v>
      </c>
      <c r="R207" s="160">
        <f t="shared" si="112"/>
        <v>1.4976003483437985</v>
      </c>
      <c r="S207" s="160">
        <f t="shared" si="113"/>
        <v>0.83963458180199713</v>
      </c>
      <c r="T207" s="160" t="str">
        <f t="shared" si="105"/>
        <v>1+0.0000975460895588384i</v>
      </c>
      <c r="U207" s="160">
        <f t="shared" si="114"/>
        <v>1.0000000047576196</v>
      </c>
      <c r="V207" s="160">
        <f t="shared" si="115"/>
        <v>9.7546089249446935E-5</v>
      </c>
      <c r="W207" s="98" t="str">
        <f t="shared" si="106"/>
        <v>1-0.025605848509195i</v>
      </c>
      <c r="X207" s="160">
        <f t="shared" si="116"/>
        <v>1.0003277760203781</v>
      </c>
      <c r="Y207" s="160">
        <f t="shared" si="117"/>
        <v>-2.5600254470612767E-2</v>
      </c>
      <c r="Z207" s="98" t="str">
        <f t="shared" si="107"/>
        <v>0.99994974586968-0.00191063531186596i</v>
      </c>
      <c r="AA207" s="160">
        <f t="shared" si="118"/>
        <v>0.99995157122339307</v>
      </c>
      <c r="AB207" s="160">
        <f t="shared" si="119"/>
        <v>-1.9107290087198516E-3</v>
      </c>
      <c r="AC207" s="171" t="str">
        <f t="shared" si="120"/>
        <v>8.99380153991135-10.5152314603166i</v>
      </c>
      <c r="AD207" s="190">
        <f t="shared" si="121"/>
        <v>22.820747854550874</v>
      </c>
      <c r="AE207" s="169">
        <f t="shared" si="122"/>
        <v>-49.459238718898511</v>
      </c>
      <c r="AF207" s="98" t="str">
        <f t="shared" si="108"/>
        <v>-0.0000897803247373448</v>
      </c>
      <c r="AG207" s="98" t="str">
        <f t="shared" si="109"/>
        <v>0.00975460895588384i</v>
      </c>
      <c r="AH207" s="98">
        <f t="shared" si="123"/>
        <v>9.7546089558838405E-3</v>
      </c>
      <c r="AI207" s="98">
        <f t="shared" si="124"/>
        <v>1.5707963267948966</v>
      </c>
      <c r="AJ207" s="98" t="str">
        <f t="shared" si="110"/>
        <v>1+1.14616655231635i</v>
      </c>
      <c r="AK207" s="98">
        <f t="shared" si="125"/>
        <v>1.5210844045117116</v>
      </c>
      <c r="AL207" s="98">
        <f t="shared" si="126"/>
        <v>0.85339903012998297</v>
      </c>
      <c r="AM207" s="98" t="str">
        <f t="shared" si="111"/>
        <v>1+2.29233310463271i</v>
      </c>
      <c r="AN207" s="98">
        <f t="shared" si="127"/>
        <v>2.5009580289551119</v>
      </c>
      <c r="AO207" s="98">
        <f t="shared" si="128"/>
        <v>1.1594466578087601</v>
      </c>
      <c r="AP207" s="168" t="str">
        <f t="shared" si="129"/>
        <v>-0.00455944951551618+0.014429776165022i</v>
      </c>
      <c r="AQ207" s="98">
        <f t="shared" si="130"/>
        <v>-36.401512044489095</v>
      </c>
      <c r="AR207" s="169">
        <f t="shared" si="131"/>
        <v>107.53523739598505</v>
      </c>
      <c r="AS207" s="168" t="str">
        <f t="shared" si="132"/>
        <v>0.110725652221968+0.177722210080832i</v>
      </c>
      <c r="AT207" s="190">
        <f t="shared" si="133"/>
        <v>-13.580764189938229</v>
      </c>
      <c r="AU207" s="169">
        <f t="shared" si="134"/>
        <v>58.075998677086659</v>
      </c>
      <c r="AV207" s="225"/>
      <c r="AX207">
        <f t="shared" si="135"/>
        <v>0</v>
      </c>
      <c r="AY207">
        <f t="shared" si="136"/>
        <v>0</v>
      </c>
    </row>
    <row r="208" spans="14:51" x14ac:dyDescent="0.3">
      <c r="N208" s="170">
        <v>90</v>
      </c>
      <c r="O208" s="199">
        <f t="shared" si="137"/>
        <v>794.32823472428208</v>
      </c>
      <c r="P208" s="189" t="str">
        <f t="shared" si="103"/>
        <v>20.7142857142857</v>
      </c>
      <c r="Q208" s="160" t="str">
        <f t="shared" si="104"/>
        <v>1+1.14077976994229i</v>
      </c>
      <c r="R208" s="160">
        <f t="shared" si="112"/>
        <v>1.5170294932892978</v>
      </c>
      <c r="S208" s="160">
        <f t="shared" si="113"/>
        <v>0.85106459136119272</v>
      </c>
      <c r="T208" s="160" t="str">
        <f t="shared" si="105"/>
        <v>1+0.0000998182298699502i</v>
      </c>
      <c r="U208" s="160">
        <f t="shared" si="114"/>
        <v>1.0000000049818394</v>
      </c>
      <c r="V208" s="160">
        <f t="shared" si="115"/>
        <v>9.9818229538431257E-5</v>
      </c>
      <c r="W208" s="98" t="str">
        <f t="shared" si="106"/>
        <v>1-0.0262022853408619i</v>
      </c>
      <c r="X208" s="160">
        <f t="shared" si="116"/>
        <v>1.0003432209782221</v>
      </c>
      <c r="Y208" s="160">
        <f t="shared" si="117"/>
        <v>-2.6196291331596001E-2</v>
      </c>
      <c r="Z208" s="98" t="str">
        <f t="shared" si="107"/>
        <v>0.999947377465484-0.00195513972543659i</v>
      </c>
      <c r="AA208" s="160">
        <f t="shared" si="118"/>
        <v>0.99994928884991219</v>
      </c>
      <c r="AB208" s="160">
        <f t="shared" si="119"/>
        <v>-1.9552401236506253E-3</v>
      </c>
      <c r="AC208" s="171" t="str">
        <f t="shared" si="120"/>
        <v>8.75378429065526-10.486356841161i</v>
      </c>
      <c r="AD208" s="190">
        <f t="shared" si="121"/>
        <v>22.708939954488791</v>
      </c>
      <c r="AE208" s="169">
        <f t="shared" si="122"/>
        <v>-50.145599939927251</v>
      </c>
      <c r="AF208" s="98" t="str">
        <f t="shared" si="108"/>
        <v>-0.0000897803247373448</v>
      </c>
      <c r="AG208" s="98" t="str">
        <f t="shared" si="109"/>
        <v>0.00998182298699501i</v>
      </c>
      <c r="AH208" s="98">
        <f t="shared" si="123"/>
        <v>9.9818229869950096E-3</v>
      </c>
      <c r="AI208" s="98">
        <f t="shared" si="124"/>
        <v>1.5707963267948966</v>
      </c>
      <c r="AJ208" s="98" t="str">
        <f t="shared" si="110"/>
        <v>1+1.17286420097191i</v>
      </c>
      <c r="AK208" s="98">
        <f t="shared" si="125"/>
        <v>1.5413015389343763</v>
      </c>
      <c r="AL208" s="98">
        <f t="shared" si="126"/>
        <v>0.8647868732220878</v>
      </c>
      <c r="AM208" s="98" t="str">
        <f t="shared" si="111"/>
        <v>1+2.34572840194384i</v>
      </c>
      <c r="AN208" s="98">
        <f t="shared" si="127"/>
        <v>2.5499885755991145</v>
      </c>
      <c r="AO208" s="98">
        <f t="shared" si="128"/>
        <v>1.1678193176045895</v>
      </c>
      <c r="AP208" s="168" t="str">
        <f t="shared" si="129"/>
        <v>-0.00444062208433074+0.0142026282455734i</v>
      </c>
      <c r="AQ208" s="98">
        <f t="shared" si="130"/>
        <v>-36.547561388328859</v>
      </c>
      <c r="AR208" s="169">
        <f t="shared" si="131"/>
        <v>107.36248011865023</v>
      </c>
      <c r="AS208" s="168" t="str">
        <f t="shared" si="132"/>
        <v>0.110061580022884+0.170892691795149i</v>
      </c>
      <c r="AT208" s="190">
        <f t="shared" si="133"/>
        <v>-13.838621433840078</v>
      </c>
      <c r="AU208" s="169">
        <f t="shared" si="134"/>
        <v>57.216880178722874</v>
      </c>
      <c r="AV208" s="225"/>
      <c r="AX208">
        <f t="shared" si="135"/>
        <v>0</v>
      </c>
      <c r="AY208">
        <f t="shared" si="136"/>
        <v>0</v>
      </c>
    </row>
    <row r="209" spans="14:51" x14ac:dyDescent="0.3">
      <c r="N209" s="170">
        <v>91</v>
      </c>
      <c r="O209" s="199">
        <f t="shared" si="137"/>
        <v>812.83051616409978</v>
      </c>
      <c r="P209" s="189" t="str">
        <f t="shared" si="103"/>
        <v>20.7142857142857</v>
      </c>
      <c r="Q209" s="160" t="str">
        <f t="shared" si="104"/>
        <v>1+1.16735194431759i</v>
      </c>
      <c r="R209" s="160">
        <f t="shared" si="112"/>
        <v>1.5371111091596656</v>
      </c>
      <c r="S209" s="160">
        <f t="shared" si="113"/>
        <v>0.8624601916568313</v>
      </c>
      <c r="T209" s="160" t="str">
        <f t="shared" si="105"/>
        <v>1+0.000102143295127789i</v>
      </c>
      <c r="U209" s="160">
        <f t="shared" si="114"/>
        <v>1.0000000052166262</v>
      </c>
      <c r="V209" s="160">
        <f t="shared" si="115"/>
        <v>1.0214329477256007E-4</v>
      </c>
      <c r="W209" s="98" t="str">
        <f t="shared" si="106"/>
        <v>1-0.0268126149710446i</v>
      </c>
      <c r="X209" s="160">
        <f t="shared" si="116"/>
        <v>1.0003593935789206</v>
      </c>
      <c r="Y209" s="160">
        <f t="shared" si="117"/>
        <v>-2.680619239901649E-2</v>
      </c>
      <c r="Z209" s="98" t="str">
        <f t="shared" si="107"/>
        <v>0.999944897441838-0.00200068077996898i</v>
      </c>
      <c r="AA209" s="160">
        <f t="shared" si="118"/>
        <v>0.9999468989119128</v>
      </c>
      <c r="AB209" s="160">
        <f t="shared" si="119"/>
        <v>-2.0007883588473874E-3</v>
      </c>
      <c r="AC209" s="171" t="str">
        <f t="shared" si="120"/>
        <v>8.51520986861907-10.4521162240643i</v>
      </c>
      <c r="AD209" s="190">
        <f t="shared" si="121"/>
        <v>22.59487639726953</v>
      </c>
      <c r="AE209" s="169">
        <f t="shared" si="122"/>
        <v>-50.8307215609031</v>
      </c>
      <c r="AF209" s="98" t="str">
        <f t="shared" si="108"/>
        <v>-0.0000897803247373448</v>
      </c>
      <c r="AG209" s="98" t="str">
        <f t="shared" si="109"/>
        <v>0.0102143295127789i</v>
      </c>
      <c r="AH209" s="98">
        <f t="shared" si="123"/>
        <v>1.02143295127789E-2</v>
      </c>
      <c r="AI209" s="98">
        <f t="shared" si="124"/>
        <v>1.5707963267948966</v>
      </c>
      <c r="AJ209" s="98" t="str">
        <f t="shared" si="110"/>
        <v>1+1.20018371775153i</v>
      </c>
      <c r="AK209" s="98">
        <f t="shared" si="125"/>
        <v>1.5621910754948911</v>
      </c>
      <c r="AL209" s="98">
        <f t="shared" si="126"/>
        <v>0.87613333795607617</v>
      </c>
      <c r="AM209" s="98" t="str">
        <f t="shared" si="111"/>
        <v>1+2.40036743550306i</v>
      </c>
      <c r="AN209" s="98">
        <f t="shared" si="127"/>
        <v>2.6003391750738087</v>
      </c>
      <c r="AO209" s="98">
        <f t="shared" si="128"/>
        <v>1.1760595543698118</v>
      </c>
      <c r="AP209" s="168" t="str">
        <f t="shared" si="129"/>
        <v>-0.00432265657940369+0.0139776264964673i</v>
      </c>
      <c r="AQ209" s="98">
        <f t="shared" si="130"/>
        <v>-36.694656913929016</v>
      </c>
      <c r="AR209" s="169">
        <f t="shared" si="131"/>
        <v>107.1845063658343</v>
      </c>
      <c r="AS209" s="168" t="str">
        <f t="shared" si="132"/>
        <v>0.109287448714047+0.164203332047233i</v>
      </c>
      <c r="AT209" s="190">
        <f t="shared" si="133"/>
        <v>-14.099780516659507</v>
      </c>
      <c r="AU209" s="169">
        <f t="shared" si="134"/>
        <v>56.353784804931252</v>
      </c>
      <c r="AV209" s="225"/>
      <c r="AX209">
        <f t="shared" si="135"/>
        <v>0</v>
      </c>
      <c r="AY209">
        <f t="shared" si="136"/>
        <v>0</v>
      </c>
    </row>
    <row r="210" spans="14:51" x14ac:dyDescent="0.3">
      <c r="N210" s="170">
        <v>92</v>
      </c>
      <c r="O210" s="199">
        <f t="shared" si="137"/>
        <v>831.7637711026714</v>
      </c>
      <c r="P210" s="189" t="str">
        <f t="shared" si="103"/>
        <v>20.7142857142857</v>
      </c>
      <c r="Q210" s="160" t="str">
        <f t="shared" si="104"/>
        <v>1+1.19454306414551i</v>
      </c>
      <c r="R210" s="160">
        <f t="shared" si="112"/>
        <v>1.5578617178999374</v>
      </c>
      <c r="S210" s="160">
        <f t="shared" si="113"/>
        <v>0.87381558703948514</v>
      </c>
      <c r="T210" s="160" t="str">
        <f t="shared" si="105"/>
        <v>1+0.000104522518112732i</v>
      </c>
      <c r="U210" s="160">
        <f t="shared" si="114"/>
        <v>1.0000000054624782</v>
      </c>
      <c r="V210" s="160">
        <f t="shared" si="115"/>
        <v>1.0452251773209733E-4</v>
      </c>
      <c r="W210" s="98" t="str">
        <f t="shared" si="106"/>
        <v>1-0.027437161004592i</v>
      </c>
      <c r="X210" s="160">
        <f t="shared" si="116"/>
        <v>1.00037632809058</v>
      </c>
      <c r="Y210" s="160">
        <f t="shared" si="117"/>
        <v>-2.743027923448952E-2</v>
      </c>
      <c r="Z210" s="98" t="str">
        <f t="shared" si="107"/>
        <v>0.999942300538277-0.00204728262193305i</v>
      </c>
      <c r="AA210" s="160">
        <f t="shared" si="118"/>
        <v>0.99994439634007459</v>
      </c>
      <c r="AB210" s="160">
        <f t="shared" si="119"/>
        <v>-2.0473978950629351E-3</v>
      </c>
      <c r="AC210" s="171" t="str">
        <f t="shared" si="120"/>
        <v>8.27831578820203-10.4125982517525i</v>
      </c>
      <c r="AD210" s="190">
        <f t="shared" si="121"/>
        <v>22.478572295608267</v>
      </c>
      <c r="AE210" s="169">
        <f t="shared" si="122"/>
        <v>-51.514288483609505</v>
      </c>
      <c r="AF210" s="98" t="str">
        <f t="shared" si="108"/>
        <v>-0.0000897803247373448</v>
      </c>
      <c r="AG210" s="98" t="str">
        <f t="shared" si="109"/>
        <v>0.0104522518112732i</v>
      </c>
      <c r="AH210" s="98">
        <f t="shared" si="123"/>
        <v>1.0452251811273201E-2</v>
      </c>
      <c r="AI210" s="98">
        <f t="shared" si="124"/>
        <v>1.5707963267948966</v>
      </c>
      <c r="AJ210" s="98" t="str">
        <f t="shared" si="110"/>
        <v>1+1.2281395878246i</v>
      </c>
      <c r="AK210" s="98">
        <f t="shared" si="125"/>
        <v>1.5837698214014493</v>
      </c>
      <c r="AL210" s="98">
        <f t="shared" si="126"/>
        <v>0.88743275503165897</v>
      </c>
      <c r="AM210" s="98" t="str">
        <f t="shared" si="111"/>
        <v>1+2.4562791756492i</v>
      </c>
      <c r="AN210" s="98">
        <f t="shared" si="127"/>
        <v>2.6520383460138564</v>
      </c>
      <c r="AO210" s="98">
        <f t="shared" si="128"/>
        <v>1.1841672599403645</v>
      </c>
      <c r="AP210" s="168" t="str">
        <f t="shared" si="129"/>
        <v>-0.00420566728314919+0.0137547142015419i</v>
      </c>
      <c r="AQ210" s="98">
        <f t="shared" si="130"/>
        <v>-36.842819121839526</v>
      </c>
      <c r="AR210" s="169">
        <f t="shared" si="131"/>
        <v>107.00163476717282</v>
      </c>
      <c r="AS210" s="168" t="str">
        <f t="shared" si="132"/>
        <v>0.108406471178312+0.157657791536803i</v>
      </c>
      <c r="AT210" s="190">
        <f t="shared" si="133"/>
        <v>-14.364246826231255</v>
      </c>
      <c r="AU210" s="169">
        <f t="shared" si="134"/>
        <v>55.487346283563276</v>
      </c>
      <c r="AV210" s="225"/>
      <c r="AX210">
        <f t="shared" si="135"/>
        <v>0</v>
      </c>
      <c r="AY210">
        <f t="shared" si="136"/>
        <v>0</v>
      </c>
    </row>
    <row r="211" spans="14:51" x14ac:dyDescent="0.3">
      <c r="N211" s="170">
        <v>93</v>
      </c>
      <c r="O211" s="199">
        <f t="shared" si="137"/>
        <v>851.13803820237763</v>
      </c>
      <c r="P211" s="189" t="str">
        <f t="shared" ref="P211:P274" si="138">COMPLEX(Adc,0)</f>
        <v>20.7142857142857</v>
      </c>
      <c r="Q211" s="160" t="str">
        <f t="shared" ref="Q211:Q274" si="139">IMSUM(COMPLEX(1,0),IMDIV(COMPLEX(0,2*PI()*O211),COMPLEX(wp_lf,0)))</f>
        <v>1+1.22236754651768i</v>
      </c>
      <c r="R211" s="160">
        <f t="shared" si="112"/>
        <v>1.5792980778749945</v>
      </c>
      <c r="S211" s="160">
        <f t="shared" si="113"/>
        <v>0.88512508534202616</v>
      </c>
      <c r="T211" s="160" t="str">
        <f t="shared" ref="T211:T274" si="140">IMSUM(COMPLEX(1,0),IMDIV(COMPLEX(0,2*PI()*O211),COMPLEX(wz_esr,0)))</f>
        <v>1+0.000106957160320297i</v>
      </c>
      <c r="U211" s="160">
        <f t="shared" si="114"/>
        <v>1.000000005719917</v>
      </c>
      <c r="V211" s="160">
        <f t="shared" si="115"/>
        <v>1.0695715991243961E-4</v>
      </c>
      <c r="W211" s="98" t="str">
        <f t="shared" ref="W211:W274" si="141">IMSUB(COMPLEX(1,0),IMDIV(COMPLEX(0,2*PI()*O211),COMPLEX(wz_rhp,0)))</f>
        <v>1-0.0280762545840778i</v>
      </c>
      <c r="X211" s="160">
        <f t="shared" si="116"/>
        <v>1.0003940603939379</v>
      </c>
      <c r="Y211" s="160">
        <f t="shared" si="117"/>
        <v>-2.8068880791425943E-2</v>
      </c>
      <c r="Z211" s="98" t="str">
        <f t="shared" ref="Z211:Z274" si="142">IF(Dc_Mode_Loop="CCM",IMSUM(COMPLEX(1,0),IMDIV(COMPLEX(0,2*PI()*O211),COMPLEX(Q*(wsl/2),0)),IMDIV(IMPOWER(COMPLEX(0,2*PI()*O211),2),IMPOWER(COMPLEX(wsl/2,0),2))),COMPLEX(1,0))</f>
        <v>0.999939581246423-0.00209496996024226i</v>
      </c>
      <c r="AA211" s="160">
        <f t="shared" si="118"/>
        <v>0.99994177582617594</v>
      </c>
      <c r="AB211" s="160">
        <f t="shared" si="119"/>
        <v>-2.0950934779458978E-3</v>
      </c>
      <c r="AC211" s="171" t="str">
        <f t="shared" si="120"/>
        <v>8.04333269576464-10.3679043440962i</v>
      </c>
      <c r="AD211" s="190">
        <f t="shared" si="121"/>
        <v>22.360044992388765</v>
      </c>
      <c r="AE211" s="169">
        <f t="shared" si="122"/>
        <v>-52.195991928436158</v>
      </c>
      <c r="AF211" s="98" t="str">
        <f t="shared" ref="AF211:AF274" si="143">COMPLEX(Adc_ea,0)</f>
        <v>-0.0000897803247373448</v>
      </c>
      <c r="AG211" s="98" t="str">
        <f t="shared" ref="AG211:AG274" si="144">COMPLEX(0,2*PI()*O211*wp0_ea)</f>
        <v>0.0106957160320297i</v>
      </c>
      <c r="AH211" s="98">
        <f t="shared" si="123"/>
        <v>1.0695716032029699E-2</v>
      </c>
      <c r="AI211" s="98">
        <f t="shared" si="124"/>
        <v>1.5707963267948966</v>
      </c>
      <c r="AJ211" s="98" t="str">
        <f t="shared" ref="AJ211:AJ274" si="145">IMSUM(COMPLEX(1,0),IMDIV(COMPLEX(0,2*PI()*O211),COMPLEX(wp1_ea,0)))</f>
        <v>1+1.25674663376349i</v>
      </c>
      <c r="AK211" s="98">
        <f t="shared" si="125"/>
        <v>1.6060548251774793</v>
      </c>
      <c r="AL211" s="98">
        <f t="shared" si="126"/>
        <v>0.89867957489838346</v>
      </c>
      <c r="AM211" s="98" t="str">
        <f t="shared" ref="AM211:AM274" si="146">IMSUM(COMPLEX(1,0),IMDIV(COMPLEX(0,2*PI()*O211),COMPLEX(wz_ea,0)))</f>
        <v>1+2.51349326752698i</v>
      </c>
      <c r="AN211" s="98">
        <f t="shared" si="127"/>
        <v>2.7051152296904943</v>
      </c>
      <c r="AO211" s="98">
        <f t="shared" si="128"/>
        <v>1.1921424684086748</v>
      </c>
      <c r="AP211" s="168" t="str">
        <f t="shared" si="129"/>
        <v>-0.00408976454386723+0.0135338431092307i</v>
      </c>
      <c r="AQ211" s="98">
        <f t="shared" si="130"/>
        <v>-36.992065783038193</v>
      </c>
      <c r="AR211" s="169">
        <f t="shared" si="131"/>
        <v>106.81418524183678</v>
      </c>
      <c r="AS211" s="168" t="str">
        <f t="shared" si="132"/>
        <v>0.107422253890843+0.151259490360516i</v>
      </c>
      <c r="AT211" s="190">
        <f t="shared" si="133"/>
        <v>-14.632020790649428</v>
      </c>
      <c r="AU211" s="169">
        <f t="shared" si="134"/>
        <v>54.618193313400674</v>
      </c>
      <c r="AV211" s="225"/>
      <c r="AX211">
        <f t="shared" si="135"/>
        <v>0</v>
      </c>
      <c r="AY211">
        <f t="shared" si="136"/>
        <v>0</v>
      </c>
    </row>
    <row r="212" spans="14:51" x14ac:dyDescent="0.3">
      <c r="N212" s="170">
        <v>94</v>
      </c>
      <c r="O212" s="199">
        <f t="shared" si="137"/>
        <v>870.96358995608091</v>
      </c>
      <c r="P212" s="189" t="str">
        <f t="shared" si="138"/>
        <v>20.7142857142857</v>
      </c>
      <c r="Q212" s="160" t="str">
        <f t="shared" si="139"/>
        <v>1+1.25084014434296i</v>
      </c>
      <c r="R212" s="160">
        <f t="shared" ref="R212:R275" si="147">IMABS(Q212)</f>
        <v>1.6014371878721678</v>
      </c>
      <c r="S212" s="160">
        <f t="shared" ref="S212:S275" si="148">IMARGUMENT(Q212)</f>
        <v>0.89638311145545002</v>
      </c>
      <c r="T212" s="160" t="str">
        <f t="shared" si="140"/>
        <v>1+0.000109448512630009i</v>
      </c>
      <c r="U212" s="160">
        <f t="shared" ref="U212:U275" si="149">IMABS(T212)</f>
        <v>1.0000000059894885</v>
      </c>
      <c r="V212" s="160">
        <f t="shared" ref="V212:V275" si="150">IMARGUMENT(T212)</f>
        <v>1.0944851219298193E-4</v>
      </c>
      <c r="W212" s="98" t="str">
        <f t="shared" si="141"/>
        <v>1-0.0287302345653772i</v>
      </c>
      <c r="X212" s="160">
        <f t="shared" ref="X212:X275" si="151">IMABS(W212)</f>
        <v>1.0004126280581336</v>
      </c>
      <c r="Y212" s="160">
        <f t="shared" ref="Y212:Y275" si="152">IMARGUMENT(W212)</f>
        <v>-2.8722333580196636E-2</v>
      </c>
      <c r="Z212" s="98" t="str">
        <f t="shared" si="142"/>
        <v>0.999936733798292-0.00214376807935459i</v>
      </c>
      <c r="AA212" s="160">
        <f t="shared" ref="AA212:AA275" si="153">IMABS(Z212)</f>
        <v>0.99993903181182708</v>
      </c>
      <c r="AB212" s="160">
        <f t="shared" ref="AB212:AB275" si="154">IMARGUMENT(Z212)</f>
        <v>-2.1439004313171654E-3</v>
      </c>
      <c r="AC212" s="171" t="str">
        <f t="shared" ref="AC212:AC275" si="155">(IMDIV(IMPRODUCT(P212,T212,W212),IMPRODUCT(Q212,Z212)))</f>
        <v>7.81048351641153-10.3181480744757i</v>
      </c>
      <c r="AD212" s="190">
        <f t="shared" ref="AD212:AD275" si="156">20*LOG(IMABS(AC212))</f>
        <v>22.239313992390485</v>
      </c>
      <c r="AE212" s="169">
        <f t="shared" ref="AE212:AE275" si="157">(180/PI())*IMARGUMENT(AC212)</f>
        <v>-52.875530220880982</v>
      </c>
      <c r="AF212" s="98" t="str">
        <f t="shared" si="143"/>
        <v>-0.0000897803247373448</v>
      </c>
      <c r="AG212" s="98" t="str">
        <f t="shared" si="144"/>
        <v>0.0109448512630009i</v>
      </c>
      <c r="AH212" s="98">
        <f t="shared" ref="AH212:AH275" si="158">IMABS(AG212)</f>
        <v>1.0944851263000901E-2</v>
      </c>
      <c r="AI212" s="98">
        <f t="shared" ref="AI212:AI275" si="159">IMARGUMENT(AG212)</f>
        <v>1.5707963267948966</v>
      </c>
      <c r="AJ212" s="98" t="str">
        <f t="shared" si="145"/>
        <v>1+1.2860200234026i</v>
      </c>
      <c r="AK212" s="98">
        <f t="shared" ref="AK212:AK275" si="160">IMABS(AJ212)</f>
        <v>1.6290633813920268</v>
      </c>
      <c r="AL212" s="98">
        <f t="shared" ref="AL212:AL275" si="161">IMARGUMENT(AJ212)</f>
        <v>0.90986838046194463</v>
      </c>
      <c r="AM212" s="98" t="str">
        <f t="shared" si="146"/>
        <v>1+2.57204004680521i</v>
      </c>
      <c r="AN212" s="98">
        <f t="shared" ref="AN212:AN275" si="162">IMABS(AM212)</f>
        <v>2.7595996090682693</v>
      </c>
      <c r="AO212" s="98">
        <f t="shared" ref="AO212:AO275" si="163">IMARGUMENT(AM212)</f>
        <v>1.1999853492576673</v>
      </c>
      <c r="AP212" s="168" t="str">
        <f t="shared" ref="AP212:AP275" si="164">IMPRODUCT(AF212,IMDIV(AM212,IMPRODUCT(AG212,AJ212)))</f>
        <v>-0.00397505438962982+0.0133149730268901i</v>
      </c>
      <c r="AQ212" s="98">
        <f t="shared" ref="AQ212:AQ275" si="165">20*LOG(IMABS(AP212))</f>
        <v>-37.142411978574607</v>
      </c>
      <c r="AR212" s="169">
        <f t="shared" ref="AR212:AR275" si="166">(180/PI())*IMARGUMENT(AP212)</f>
        <v>106.6224778771235</v>
      </c>
      <c r="AS212" s="168" t="str">
        <f t="shared" ref="AS212:AS275" si="167">IMPRODUCT(AC212,AP212)</f>
        <v>0.106338766512059+0.145011577144284i</v>
      </c>
      <c r="AT212" s="190">
        <f t="shared" ref="AT212:AT275" si="168">20*LOG(IMABS(AS212))</f>
        <v>-14.90309798618414</v>
      </c>
      <c r="AU212" s="169">
        <f t="shared" ref="AU212:AU275" si="169">(180/PI())*IMARGUMENT(AS212)</f>
        <v>53.746947656242448</v>
      </c>
      <c r="AV212" s="225"/>
      <c r="AX212">
        <f t="shared" ref="AX212:AX275" si="170">SUM((AT213&lt;0)*(AT212&gt;0))*O212</f>
        <v>0</v>
      </c>
      <c r="AY212">
        <f t="shared" ref="AY212:AY275" si="171">IF(AX212&gt;0,AU212,0)</f>
        <v>0</v>
      </c>
    </row>
    <row r="213" spans="14:51" x14ac:dyDescent="0.3">
      <c r="N213" s="170">
        <v>95</v>
      </c>
      <c r="O213" s="199">
        <f t="shared" si="137"/>
        <v>891.25093813374656</v>
      </c>
      <c r="P213" s="189" t="str">
        <f t="shared" si="138"/>
        <v>20.7142857142857</v>
      </c>
      <c r="Q213" s="160" t="str">
        <f t="shared" si="139"/>
        <v>1+1.2799759541696i</v>
      </c>
      <c r="R213" s="160">
        <f t="shared" si="147"/>
        <v>1.6242962917067743</v>
      </c>
      <c r="S213" s="160">
        <f t="shared" si="148"/>
        <v>0.9075842201898825</v>
      </c>
      <c r="T213" s="160" t="str">
        <f t="shared" si="140"/>
        <v>1+0.00011199789598984i</v>
      </c>
      <c r="U213" s="160">
        <f t="shared" si="149"/>
        <v>1.0000000062717642</v>
      </c>
      <c r="V213" s="160">
        <f t="shared" si="150"/>
        <v>1.1199789552155706E-4</v>
      </c>
      <c r="W213" s="98" t="str">
        <f t="shared" si="141"/>
        <v>1-0.0293994476973328i</v>
      </c>
      <c r="X213" s="160">
        <f t="shared" si="151"/>
        <v>1.0004320704200302</v>
      </c>
      <c r="Y213" s="160">
        <f t="shared" si="152"/>
        <v>-2.9390981836644525E-2</v>
      </c>
      <c r="Z213" s="98" t="str">
        <f t="shared" si="142"/>
        <v>0.999933752154065-0.00219370285267872i</v>
      </c>
      <c r="AA213" s="160">
        <f t="shared" si="153"/>
        <v>0.99993615847668638</v>
      </c>
      <c r="AB213" s="160">
        <f t="shared" si="154"/>
        <v>-2.1938446707640501E-3</v>
      </c>
      <c r="AC213" s="171" t="str">
        <f t="shared" si="155"/>
        <v>7.57998266583025-10.263454481503i</v>
      </c>
      <c r="AD213" s="190">
        <f t="shared" si="156"/>
        <v>22.116400886286833</v>
      </c>
      <c r="AE213" s="169">
        <f t="shared" si="157"/>
        <v>-53.552609537267728</v>
      </c>
      <c r="AF213" s="98" t="str">
        <f t="shared" si="143"/>
        <v>-0.0000897803247373448</v>
      </c>
      <c r="AG213" s="98" t="str">
        <f t="shared" si="144"/>
        <v>0.011199789598984i</v>
      </c>
      <c r="AH213" s="98">
        <f t="shared" si="158"/>
        <v>1.1199789598983999E-2</v>
      </c>
      <c r="AI213" s="98">
        <f t="shared" si="159"/>
        <v>1.5707963267948966</v>
      </c>
      <c r="AJ213" s="98" t="str">
        <f t="shared" si="145"/>
        <v>1+1.31597527788062i</v>
      </c>
      <c r="AK213" s="98">
        <f t="shared" si="160"/>
        <v>1.6528130360064852</v>
      </c>
      <c r="AL213" s="98">
        <f t="shared" si="161"/>
        <v>0.92099389899696249</v>
      </c>
      <c r="AM213" s="98" t="str">
        <f t="shared" si="146"/>
        <v>1+2.63195055576124i</v>
      </c>
      <c r="AN213" s="98">
        <f t="shared" si="162"/>
        <v>2.8155219281639243</v>
      </c>
      <c r="AO213" s="98">
        <f t="shared" si="163"/>
        <v>1.2076962004832799</v>
      </c>
      <c r="AP213" s="168" t="str">
        <f t="shared" si="164"/>
        <v>-0.00386163817775833+0.0130980713887556i</v>
      </c>
      <c r="AQ213" s="98">
        <f t="shared" si="165"/>
        <v>-37.293870150612044</v>
      </c>
      <c r="AR213" s="169">
        <f t="shared" si="166"/>
        <v>106.42683185185328</v>
      </c>
      <c r="AS213" s="168" t="str">
        <f t="shared" si="167"/>
        <v>0.105160309044853+0.138916901744031i</v>
      </c>
      <c r="AT213" s="190">
        <f t="shared" si="168"/>
        <v>-15.177469264325241</v>
      </c>
      <c r="AU213" s="169">
        <f t="shared" si="169"/>
        <v>52.874222314585595</v>
      </c>
      <c r="AV213" s="225"/>
      <c r="AX213">
        <f t="shared" si="170"/>
        <v>0</v>
      </c>
      <c r="AY213">
        <f t="shared" si="171"/>
        <v>0</v>
      </c>
    </row>
    <row r="214" spans="14:51" x14ac:dyDescent="0.3">
      <c r="N214" s="170">
        <v>96</v>
      </c>
      <c r="O214" s="199">
        <f t="shared" si="137"/>
        <v>912.01083935590987</v>
      </c>
      <c r="P214" s="189" t="str">
        <f t="shared" si="138"/>
        <v>20.7142857142857</v>
      </c>
      <c r="Q214" s="160" t="str">
        <f t="shared" si="139"/>
        <v>1+1.30979042418962i</v>
      </c>
      <c r="R214" s="160">
        <f t="shared" si="147"/>
        <v>1.647892883442011</v>
      </c>
      <c r="S214" s="160">
        <f t="shared" si="148"/>
        <v>0.91872310835452975</v>
      </c>
      <c r="T214" s="160" t="str">
        <f t="shared" si="140"/>
        <v>1+0.000114606662116591i</v>
      </c>
      <c r="U214" s="160">
        <f t="shared" si="149"/>
        <v>1.0000000065673433</v>
      </c>
      <c r="V214" s="160">
        <f t="shared" si="150"/>
        <v>1.1460666161481679E-4</v>
      </c>
      <c r="W214" s="98" t="str">
        <f t="shared" si="141"/>
        <v>1-0.0300842488056052i</v>
      </c>
      <c r="X214" s="160">
        <f t="shared" si="151"/>
        <v>1.0004524286672494</v>
      </c>
      <c r="Y214" s="160">
        <f t="shared" si="152"/>
        <v>-3.0075177693986904E-2</v>
      </c>
      <c r="Z214" s="98" t="str">
        <f t="shared" si="142"/>
        <v>0.999930629989274-0.00224480075629243i</v>
      </c>
      <c r="AA214" s="160">
        <f t="shared" si="153"/>
        <v>0.99993314972611125</v>
      </c>
      <c r="AB214" s="160">
        <f t="shared" si="154"/>
        <v>-2.2449527175601365E-3</v>
      </c>
      <c r="AC214" s="171" t="str">
        <f t="shared" si="155"/>
        <v>7.35203533251836-10.2039593236899i</v>
      </c>
      <c r="AD214" s="190">
        <f t="shared" si="156"/>
        <v>21.991329267556061</v>
      </c>
      <c r="AE214" s="169">
        <f t="shared" si="157"/>
        <v>-54.226944605888995</v>
      </c>
      <c r="AF214" s="98" t="str">
        <f t="shared" si="143"/>
        <v>-0.0000897803247373448</v>
      </c>
      <c r="AG214" s="98" t="str">
        <f t="shared" si="144"/>
        <v>0.0114606662116591i</v>
      </c>
      <c r="AH214" s="98">
        <f t="shared" si="158"/>
        <v>1.14606662116591E-2</v>
      </c>
      <c r="AI214" s="98">
        <f t="shared" si="159"/>
        <v>1.5707963267948966</v>
      </c>
      <c r="AJ214" s="98" t="str">
        <f t="shared" si="145"/>
        <v>1+1.34662827986995i</v>
      </c>
      <c r="AK214" s="98">
        <f t="shared" si="160"/>
        <v>1.6773215923446227</v>
      </c>
      <c r="AL214" s="98">
        <f t="shared" si="161"/>
        <v>0.93205101321012751</v>
      </c>
      <c r="AM214" s="98" t="str">
        <f t="shared" si="146"/>
        <v>1+2.6932565597399i</v>
      </c>
      <c r="AN214" s="98">
        <f t="shared" si="162"/>
        <v>2.8729133117067773</v>
      </c>
      <c r="AO214" s="98">
        <f t="shared" si="163"/>
        <v>1.2152754417381642</v>
      </c>
      <c r="AP214" s="168" t="str">
        <f t="shared" si="164"/>
        <v>-0.00374961228196743+0.0128831128015402i</v>
      </c>
      <c r="AQ214" s="98">
        <f t="shared" si="165"/>
        <v>-37.446450164005384</v>
      </c>
      <c r="AR214" s="169">
        <f t="shared" si="166"/>
        <v>106.2275644096611</v>
      </c>
      <c r="AS214" s="168" t="str">
        <f t="shared" si="167"/>
        <v>0.103891477009155+0.132977991714547i</v>
      </c>
      <c r="AT214" s="190">
        <f t="shared" si="168"/>
        <v>-15.45512089644933</v>
      </c>
      <c r="AU214" s="169">
        <f t="shared" si="169"/>
        <v>52.000619803772274</v>
      </c>
      <c r="AV214" s="225"/>
      <c r="AX214">
        <f t="shared" si="170"/>
        <v>0</v>
      </c>
      <c r="AY214">
        <f t="shared" si="171"/>
        <v>0</v>
      </c>
    </row>
    <row r="215" spans="14:51" x14ac:dyDescent="0.3">
      <c r="N215" s="170">
        <v>97</v>
      </c>
      <c r="O215" s="199">
        <f t="shared" si="137"/>
        <v>933.25430079699106</v>
      </c>
      <c r="P215" s="189" t="str">
        <f t="shared" si="138"/>
        <v>20.7142857142857</v>
      </c>
      <c r="Q215" s="160" t="str">
        <f t="shared" si="139"/>
        <v>1+1.34029936242967i</v>
      </c>
      <c r="R215" s="160">
        <f t="shared" si="147"/>
        <v>1.6722447132311047</v>
      </c>
      <c r="S215" s="160">
        <f t="shared" si="148"/>
        <v>0.92979462599880414</v>
      </c>
      <c r="T215" s="160" t="str">
        <f t="shared" si="140"/>
        <v>1+0.000117276194212596i</v>
      </c>
      <c r="U215" s="160">
        <f t="shared" si="149"/>
        <v>1.0000000068768529</v>
      </c>
      <c r="V215" s="160">
        <f t="shared" si="150"/>
        <v>1.1727619367493525E-4</v>
      </c>
      <c r="W215" s="98" t="str">
        <f t="shared" si="141"/>
        <v>1-0.0307850009808064i</v>
      </c>
      <c r="X215" s="160">
        <f t="shared" si="151"/>
        <v>1.0004737459250932</v>
      </c>
      <c r="Y215" s="160">
        <f t="shared" si="152"/>
        <v>-3.0775281358149813E-2</v>
      </c>
      <c r="Z215" s="98" t="str">
        <f t="shared" si="142"/>
        <v>0.999927360681391-0.00229708888298059i</v>
      </c>
      <c r="AA215" s="160">
        <f t="shared" si="153"/>
        <v>0.99992999917823677</v>
      </c>
      <c r="AB215" s="160">
        <f t="shared" si="154"/>
        <v>-2.2972517129191128E-3</v>
      </c>
      <c r="AC215" s="171" t="str">
        <f t="shared" si="155"/>
        <v>7.12683683476149-10.1398082850952i</v>
      </c>
      <c r="AD215" s="190">
        <f t="shared" si="156"/>
        <v>21.864124642993218</v>
      </c>
      <c r="AE215" s="169">
        <f t="shared" si="157"/>
        <v>-54.898259360261534</v>
      </c>
      <c r="AF215" s="98" t="str">
        <f t="shared" si="143"/>
        <v>-0.0000897803247373448</v>
      </c>
      <c r="AG215" s="98" t="str">
        <f t="shared" si="144"/>
        <v>0.0117276194212596i</v>
      </c>
      <c r="AH215" s="98">
        <f t="shared" si="158"/>
        <v>1.17276194212596E-2</v>
      </c>
      <c r="AI215" s="98">
        <f t="shared" si="159"/>
        <v>1.5707963267948966</v>
      </c>
      <c r="AJ215" s="98" t="str">
        <f t="shared" si="145"/>
        <v>1+1.37799528199801i</v>
      </c>
      <c r="AK215" s="98">
        <f t="shared" si="160"/>
        <v>1.7026071176900368</v>
      </c>
      <c r="AL215" s="98">
        <f t="shared" si="161"/>
        <v>0.94303477140687086</v>
      </c>
      <c r="AM215" s="98" t="str">
        <f t="shared" si="146"/>
        <v>1+2.75599056399602i</v>
      </c>
      <c r="AN215" s="98">
        <f t="shared" si="162"/>
        <v>2.9318055851019689</v>
      </c>
      <c r="AO215" s="98">
        <f t="shared" si="163"/>
        <v>1.2227236075264272</v>
      </c>
      <c r="AP215" s="168" t="str">
        <f t="shared" si="164"/>
        <v>-0.0036390678187458+0.0126700785718332i</v>
      </c>
      <c r="AQ215" s="98">
        <f t="shared" si="165"/>
        <v>-37.600159377504312</v>
      </c>
      <c r="AR215" s="169">
        <f t="shared" si="166"/>
        <v>106.02498988657668</v>
      </c>
      <c r="AS215" s="168" t="str">
        <f t="shared" si="167"/>
        <v>0.102537125100649+0.127197032683605i</v>
      </c>
      <c r="AT215" s="190">
        <f t="shared" si="168"/>
        <v>-15.736034734511088</v>
      </c>
      <c r="AU215" s="169">
        <f t="shared" si="169"/>
        <v>51.126730526315058</v>
      </c>
      <c r="AV215" s="225"/>
      <c r="AX215">
        <f t="shared" si="170"/>
        <v>0</v>
      </c>
      <c r="AY215">
        <f t="shared" si="171"/>
        <v>0</v>
      </c>
    </row>
    <row r="216" spans="14:51" x14ac:dyDescent="0.3">
      <c r="N216" s="170">
        <v>98</v>
      </c>
      <c r="O216" s="199">
        <f t="shared" si="137"/>
        <v>954.99258602143675</v>
      </c>
      <c r="P216" s="189" t="str">
        <f t="shared" si="138"/>
        <v>20.7142857142857</v>
      </c>
      <c r="Q216" s="160" t="str">
        <f t="shared" si="139"/>
        <v>1+1.37151894513265i</v>
      </c>
      <c r="R216" s="160">
        <f t="shared" si="147"/>
        <v>1.6973697937861911</v>
      </c>
      <c r="S216" s="160">
        <f t="shared" si="148"/>
        <v>0.9407937867657552</v>
      </c>
      <c r="T216" s="160" t="str">
        <f t="shared" si="140"/>
        <v>1+0.000120007907699107i</v>
      </c>
      <c r="U216" s="160">
        <f t="shared" si="149"/>
        <v>1.0000000072009489</v>
      </c>
      <c r="V216" s="160">
        <f t="shared" si="150"/>
        <v>1.2000790712299313E-4</v>
      </c>
      <c r="W216" s="98" t="str">
        <f t="shared" si="141"/>
        <v>1-0.0315020757710154i</v>
      </c>
      <c r="X216" s="160">
        <f t="shared" si="151"/>
        <v>1.0004960673475347</v>
      </c>
      <c r="Y216" s="160">
        <f t="shared" si="152"/>
        <v>-3.1491661286573443E-2</v>
      </c>
      <c r="Z216" s="98" t="str">
        <f t="shared" si="142"/>
        <v>0.999923937295773-0.00235059495660006i</v>
      </c>
      <c r="AA216" s="160">
        <f t="shared" si="153"/>
        <v>0.9999267001504315</v>
      </c>
      <c r="AB216" s="160">
        <f t="shared" si="154"/>
        <v>-2.3507694325909973E-3</v>
      </c>
      <c r="AC216" s="171" t="str">
        <f t="shared" si="155"/>
        <v>6.90457205572073-10.0711561402977i</v>
      </c>
      <c r="AD216" s="190">
        <f t="shared" si="156"/>
        <v>21.73481433755077</v>
      </c>
      <c r="AE216" s="169">
        <f t="shared" si="157"/>
        <v>-55.566287541702422</v>
      </c>
      <c r="AF216" s="98" t="str">
        <f t="shared" si="143"/>
        <v>-0.0000897803247373448</v>
      </c>
      <c r="AG216" s="98" t="str">
        <f t="shared" si="144"/>
        <v>0.0120007907699107i</v>
      </c>
      <c r="AH216" s="98">
        <f t="shared" si="158"/>
        <v>1.20007907699107E-2</v>
      </c>
      <c r="AI216" s="98">
        <f t="shared" si="159"/>
        <v>1.5707963267948966</v>
      </c>
      <c r="AJ216" s="98" t="str">
        <f t="shared" si="145"/>
        <v>1+1.4100929154645i</v>
      </c>
      <c r="AK216" s="98">
        <f t="shared" si="160"/>
        <v>1.7286879505113621</v>
      </c>
      <c r="AL216" s="98">
        <f t="shared" si="161"/>
        <v>0.95394039672365316</v>
      </c>
      <c r="AM216" s="98" t="str">
        <f t="shared" si="146"/>
        <v>1+2.82018583092901i</v>
      </c>
      <c r="AN216" s="98">
        <f t="shared" si="162"/>
        <v>2.9922312946984482</v>
      </c>
      <c r="AO216" s="98">
        <f t="shared" si="163"/>
        <v>1.2300413404762514</v>
      </c>
      <c r="AP216" s="168" t="str">
        <f t="shared" si="164"/>
        <v>-0.00353009041403851+0.0124589562195271i</v>
      </c>
      <c r="AQ216" s="98">
        <f t="shared" si="165"/>
        <v>-37.755002723638064</v>
      </c>
      <c r="AR216" s="169">
        <f t="shared" si="166"/>
        <v>105.81941879660286</v>
      </c>
      <c r="AS216" s="168" t="str">
        <f t="shared" si="167"/>
        <v>0.101102329805053+0.121575852705945i</v>
      </c>
      <c r="AT216" s="190">
        <f t="shared" si="168"/>
        <v>-16.020188386087273</v>
      </c>
      <c r="AU216" s="169">
        <f t="shared" si="169"/>
        <v>50.253131254900389</v>
      </c>
      <c r="AV216" s="225"/>
      <c r="AX216">
        <f t="shared" si="170"/>
        <v>0</v>
      </c>
      <c r="AY216">
        <f t="shared" si="171"/>
        <v>0</v>
      </c>
    </row>
    <row r="217" spans="14:51" x14ac:dyDescent="0.3">
      <c r="N217" s="170">
        <v>99</v>
      </c>
      <c r="O217" s="199">
        <f t="shared" si="137"/>
        <v>977.23722095581138</v>
      </c>
      <c r="P217" s="189" t="str">
        <f t="shared" si="138"/>
        <v>20.7142857142857</v>
      </c>
      <c r="Q217" s="160" t="str">
        <f t="shared" si="139"/>
        <v>1+1.40346572533453i</v>
      </c>
      <c r="R217" s="160">
        <f t="shared" si="147"/>
        <v>1.723286407475199</v>
      </c>
      <c r="S217" s="160">
        <f t="shared" si="148"/>
        <v>0.95171577731815082</v>
      </c>
      <c r="T217" s="160" t="str">
        <f t="shared" si="140"/>
        <v>1+0.000122803250966771i</v>
      </c>
      <c r="U217" s="160">
        <f t="shared" si="149"/>
        <v>1.0000000075403193</v>
      </c>
      <c r="V217" s="160">
        <f t="shared" si="150"/>
        <v>1.2280325034945386E-4</v>
      </c>
      <c r="W217" s="98" t="str">
        <f t="shared" si="141"/>
        <v>1-0.0322358533787774i</v>
      </c>
      <c r="X217" s="160">
        <f t="shared" si="151"/>
        <v>1.0005194402124618</v>
      </c>
      <c r="Y217" s="160">
        <f t="shared" si="152"/>
        <v>-3.2224694370525331E-2</v>
      </c>
      <c r="Z217" s="98" t="str">
        <f t="shared" si="142"/>
        <v>0.999920352570962-0.00240534734677933i</v>
      </c>
      <c r="AA217" s="160">
        <f t="shared" si="153"/>
        <v>0.99992324564513235</v>
      </c>
      <c r="AB217" s="160">
        <f t="shared" si="154"/>
        <v>-2.4055343018096098E-3</v>
      </c>
      <c r="AC217" s="171" t="str">
        <f t="shared" si="155"/>
        <v>6.68541495896877-9.99816588720754i</v>
      </c>
      <c r="AD217" s="190">
        <f t="shared" si="156"/>
        <v>21.603427394256695</v>
      </c>
      <c r="AE217" s="169">
        <f t="shared" si="157"/>
        <v>-56.230773248949419</v>
      </c>
      <c r="AF217" s="98" t="str">
        <f t="shared" si="143"/>
        <v>-0.0000897803247373448</v>
      </c>
      <c r="AG217" s="98" t="str">
        <f t="shared" si="144"/>
        <v>0.0122803250966771i</v>
      </c>
      <c r="AH217" s="98">
        <f t="shared" si="158"/>
        <v>1.22803250966771E-2</v>
      </c>
      <c r="AI217" s="98">
        <f t="shared" si="159"/>
        <v>1.5707963267948966</v>
      </c>
      <c r="AJ217" s="98" t="str">
        <f t="shared" si="145"/>
        <v>1+1.44293819885956i</v>
      </c>
      <c r="AK217" s="98">
        <f t="shared" si="160"/>
        <v>1.7555827083131317</v>
      </c>
      <c r="AL217" s="98">
        <f t="shared" si="161"/>
        <v>0.96476329539756545</v>
      </c>
      <c r="AM217" s="98" t="str">
        <f t="shared" si="146"/>
        <v>1+2.88587639771913i</v>
      </c>
      <c r="AN217" s="98">
        <f t="shared" si="162"/>
        <v>3.0542237283657436</v>
      </c>
      <c r="AO217" s="98">
        <f t="shared" si="163"/>
        <v>1.2372293847145295</v>
      </c>
      <c r="AP217" s="168" t="str">
        <f t="shared" si="164"/>
        <v>-0.00342276001079335+0.012249738981512i</v>
      </c>
      <c r="AQ217" s="98">
        <f t="shared" si="165"/>
        <v>-37.910982796313291</v>
      </c>
      <c r="AR217" s="169">
        <f t="shared" si="166"/>
        <v>105.61115697829662</v>
      </c>
      <c r="AS217" s="168" t="str">
        <f t="shared" si="167"/>
        <v>0.0995923514350317+0.116115910610475i</v>
      </c>
      <c r="AT217" s="190">
        <f t="shared" si="168"/>
        <v>-16.307555402056618</v>
      </c>
      <c r="AU217" s="169">
        <f t="shared" si="169"/>
        <v>49.380383729347137</v>
      </c>
      <c r="AV217" s="225"/>
      <c r="AX217">
        <f t="shared" si="170"/>
        <v>0</v>
      </c>
      <c r="AY217">
        <f t="shared" si="171"/>
        <v>0</v>
      </c>
    </row>
    <row r="218" spans="14:51" x14ac:dyDescent="0.3">
      <c r="N218" s="170">
        <v>100</v>
      </c>
      <c r="O218" s="199">
        <f t="shared" si="137"/>
        <v>1000</v>
      </c>
      <c r="P218" s="189" t="str">
        <f t="shared" si="138"/>
        <v>20.7142857142857</v>
      </c>
      <c r="Q218" s="160" t="str">
        <f t="shared" si="139"/>
        <v>1+1.43615664164105i</v>
      </c>
      <c r="R218" s="160">
        <f t="shared" si="147"/>
        <v>1.750013114045063</v>
      </c>
      <c r="S218" s="160">
        <f t="shared" si="148"/>
        <v>0.96255596580690539</v>
      </c>
      <c r="T218" s="160" t="str">
        <f t="shared" si="140"/>
        <v>1+0.000125663706143592i</v>
      </c>
      <c r="U218" s="160">
        <f t="shared" si="149"/>
        <v>1.0000000078956834</v>
      </c>
      <c r="V218" s="160">
        <f t="shared" si="150"/>
        <v>1.2566370548212479E-4</v>
      </c>
      <c r="W218" s="98" t="str">
        <f t="shared" si="141"/>
        <v>1-0.0329867228626928i</v>
      </c>
      <c r="X218" s="160">
        <f t="shared" si="151"/>
        <v>1.0005439140213788</v>
      </c>
      <c r="Y218" s="160">
        <f t="shared" si="152"/>
        <v>-3.2974766120958329E-2</v>
      </c>
      <c r="Z218" s="98" t="str">
        <f t="shared" si="142"/>
        <v>0.999916598903276-0.00246137508396039i</v>
      </c>
      <c r="AA218" s="160">
        <f t="shared" si="153"/>
        <v>0.99991962833499726</v>
      </c>
      <c r="AB218" s="160">
        <f t="shared" si="154"/>
        <v>-2.4615754106000493E-3</v>
      </c>
      <c r="AC218" s="171" t="str">
        <f t="shared" si="155"/>
        <v>6.46952818580879-9.92100785627909i</v>
      </c>
      <c r="AD218" s="190">
        <f t="shared" si="156"/>
        <v>21.469994469982399</v>
      </c>
      <c r="AE218" s="169">
        <f t="shared" si="157"/>
        <v>-56.891471433093571</v>
      </c>
      <c r="AF218" s="98" t="str">
        <f t="shared" si="143"/>
        <v>-0.0000897803247373448</v>
      </c>
      <c r="AG218" s="98" t="str">
        <f t="shared" si="144"/>
        <v>0.0125663706143592i</v>
      </c>
      <c r="AH218" s="98">
        <f t="shared" si="158"/>
        <v>1.2566370614359199E-2</v>
      </c>
      <c r="AI218" s="98">
        <f t="shared" si="159"/>
        <v>1.5707963267948966</v>
      </c>
      <c r="AJ218" s="98" t="str">
        <f t="shared" si="145"/>
        <v>1+1.4765485471872i</v>
      </c>
      <c r="AK218" s="98">
        <f t="shared" si="160"/>
        <v>1.7833102961068306</v>
      </c>
      <c r="AL218" s="98">
        <f t="shared" si="161"/>
        <v>0.97549906405395537</v>
      </c>
      <c r="AM218" s="98" t="str">
        <f t="shared" si="146"/>
        <v>1+2.95309709437441i</v>
      </c>
      <c r="AN218" s="98">
        <f t="shared" si="162"/>
        <v>3.1178169363839472</v>
      </c>
      <c r="AO218" s="98">
        <f t="shared" si="163"/>
        <v>1.2442885793647911</v>
      </c>
      <c r="AP218" s="168" t="str">
        <f t="shared" si="164"/>
        <v>-0.00331715071744855+0.0120424253098217i</v>
      </c>
      <c r="AQ218" s="98">
        <f t="shared" si="165"/>
        <v>-38.068099945145754</v>
      </c>
      <c r="AR218" s="169">
        <f t="shared" si="166"/>
        <v>105.40050480467782</v>
      </c>
      <c r="AS218" s="168" t="str">
        <f t="shared" si="167"/>
        <v>0.098012596044286+0.110818288295658i</v>
      </c>
      <c r="AT218" s="190">
        <f t="shared" si="168"/>
        <v>-16.598105475163337</v>
      </c>
      <c r="AU218" s="169">
        <f t="shared" si="169"/>
        <v>48.509033371584373</v>
      </c>
      <c r="AV218" s="225"/>
      <c r="AX218">
        <f t="shared" si="170"/>
        <v>0</v>
      </c>
      <c r="AY218">
        <f t="shared" si="171"/>
        <v>0</v>
      </c>
    </row>
    <row r="219" spans="14:51" x14ac:dyDescent="0.3">
      <c r="N219" s="170">
        <v>1</v>
      </c>
      <c r="O219" s="199">
        <f>10^(3+(N219/100))</f>
        <v>1023.2929922807547</v>
      </c>
      <c r="P219" s="189" t="str">
        <f t="shared" si="138"/>
        <v>20.7142857142857</v>
      </c>
      <c r="Q219" s="160" t="str">
        <f t="shared" si="139"/>
        <v>1+1.46960902720875i</v>
      </c>
      <c r="R219" s="160">
        <f t="shared" si="147"/>
        <v>1.7775687589664286</v>
      </c>
      <c r="S219" s="160">
        <f t="shared" si="148"/>
        <v>0.97330990936071782</v>
      </c>
      <c r="T219" s="160" t="str">
        <f t="shared" si="140"/>
        <v>1+0.000128590789880765i</v>
      </c>
      <c r="U219" s="160">
        <f t="shared" si="149"/>
        <v>1.0000000082677956</v>
      </c>
      <c r="V219" s="160">
        <f t="shared" si="150"/>
        <v>1.2859078917199009E-4</v>
      </c>
      <c r="W219" s="98" t="str">
        <f t="shared" si="141"/>
        <v>1-0.0337550823437008i</v>
      </c>
      <c r="X219" s="160">
        <f t="shared" si="151"/>
        <v>1.0005695406037654</v>
      </c>
      <c r="Y219" s="160">
        <f t="shared" si="152"/>
        <v>-3.3742270857944068E-2</v>
      </c>
      <c r="Z219" s="98" t="str">
        <f t="shared" si="142"/>
        <v>0.999912668330681-0.00251870787479112i</v>
      </c>
      <c r="AA219" s="160">
        <f t="shared" si="153"/>
        <v>0.99991584054736382</v>
      </c>
      <c r="AB219" s="160">
        <f t="shared" si="154"/>
        <v>-2.5189225294556857E-3</v>
      </c>
      <c r="AC219" s="171" t="str">
        <f t="shared" si="155"/>
        <v>6.25706273472568-9.83985880459881i</v>
      </c>
      <c r="AD219" s="190">
        <f t="shared" si="156"/>
        <v>21.334547727837631</v>
      </c>
      <c r="AE219" s="169">
        <f t="shared" si="157"/>
        <v>-57.548148336615199</v>
      </c>
      <c r="AF219" s="98" t="str">
        <f t="shared" si="143"/>
        <v>-0.0000897803247373448</v>
      </c>
      <c r="AG219" s="98" t="str">
        <f t="shared" si="144"/>
        <v>0.0128590789880765i</v>
      </c>
      <c r="AH219" s="98">
        <f t="shared" si="158"/>
        <v>1.28590789880765E-2</v>
      </c>
      <c r="AI219" s="98">
        <f t="shared" si="159"/>
        <v>1.5707963267948966</v>
      </c>
      <c r="AJ219" s="98" t="str">
        <f t="shared" si="145"/>
        <v>1+1.51094178109899i</v>
      </c>
      <c r="AK219" s="98">
        <f t="shared" si="160"/>
        <v>1.8118899154944785</v>
      </c>
      <c r="AL219" s="98">
        <f t="shared" si="161"/>
        <v>0.98614349600204065</v>
      </c>
      <c r="AM219" s="98" t="str">
        <f t="shared" si="146"/>
        <v>1+3.02188356219799i</v>
      </c>
      <c r="AN219" s="98">
        <f t="shared" si="162"/>
        <v>3.1830457526530176</v>
      </c>
      <c r="AO219" s="98">
        <f t="shared" si="163"/>
        <v>1.2512198521871225</v>
      </c>
      <c r="AP219" s="168" t="str">
        <f t="shared" si="164"/>
        <v>-0.00321333069697302+0.0118370183683016i</v>
      </c>
      <c r="AQ219" s="98">
        <f t="shared" si="165"/>
        <v>-38.226352375547819</v>
      </c>
      <c r="AR219" s="169">
        <f t="shared" si="166"/>
        <v>105.18775645811171</v>
      </c>
      <c r="AS219" s="168" t="str">
        <f t="shared" si="167"/>
        <v>0.0963685776531504+0.105683686873261i</v>
      </c>
      <c r="AT219" s="190">
        <f t="shared" si="168"/>
        <v>-16.891804647710181</v>
      </c>
      <c r="AU219" s="169">
        <f t="shared" si="169"/>
        <v>47.639608121496522</v>
      </c>
      <c r="AV219" s="225"/>
      <c r="AX219">
        <f t="shared" si="170"/>
        <v>0</v>
      </c>
      <c r="AY219">
        <f t="shared" si="171"/>
        <v>0</v>
      </c>
    </row>
    <row r="220" spans="14:51" x14ac:dyDescent="0.3">
      <c r="N220" s="170">
        <v>2</v>
      </c>
      <c r="O220" s="199">
        <f t="shared" ref="O220:O283" si="172">10^(3+(N220/100))</f>
        <v>1047.1285480509</v>
      </c>
      <c r="P220" s="189" t="str">
        <f t="shared" si="138"/>
        <v>20.7142857142857</v>
      </c>
      <c r="Q220" s="160" t="str">
        <f t="shared" si="139"/>
        <v>1+1.50384061893525i</v>
      </c>
      <c r="R220" s="160">
        <f t="shared" si="147"/>
        <v>1.8059724823926735</v>
      </c>
      <c r="S220" s="160">
        <f t="shared" si="148"/>
        <v>0.98397336058503437</v>
      </c>
      <c r="T220" s="160" t="str">
        <f t="shared" si="140"/>
        <v>1+0.000131586054156834i</v>
      </c>
      <c r="U220" s="160">
        <f t="shared" si="149"/>
        <v>1.0000000086574448</v>
      </c>
      <c r="V220" s="160">
        <f t="shared" si="150"/>
        <v>1.3158605339736799E-4</v>
      </c>
      <c r="W220" s="98" t="str">
        <f t="shared" si="141"/>
        <v>1-0.0345413392161689i</v>
      </c>
      <c r="X220" s="160">
        <f t="shared" si="151"/>
        <v>1.0005963742263144</v>
      </c>
      <c r="Y220" s="160">
        <f t="shared" si="152"/>
        <v>-3.4527611903713853E-2</v>
      </c>
      <c r="Z220" s="98" t="str">
        <f t="shared" si="142"/>
        <v>0.999908552515907-0.0025773761178761i</v>
      </c>
      <c r="AA220" s="160">
        <f t="shared" si="153"/>
        <v>0.99991187424798078</v>
      </c>
      <c r="AB220" s="160">
        <f t="shared" si="154"/>
        <v>-2.5776061253939219E-3</v>
      </c>
      <c r="AC220" s="171" t="str">
        <f t="shared" si="155"/>
        <v>6.04815772237732-9.75490100311792i</v>
      </c>
      <c r="AD220" s="190">
        <f t="shared" si="156"/>
        <v>21.197120726968002</v>
      </c>
      <c r="AE220" s="169">
        <f t="shared" si="157"/>
        <v>-58.200581875840783</v>
      </c>
      <c r="AF220" s="98" t="str">
        <f t="shared" si="143"/>
        <v>-0.0000897803247373448</v>
      </c>
      <c r="AG220" s="98" t="str">
        <f t="shared" si="144"/>
        <v>0.0131586054156834i</v>
      </c>
      <c r="AH220" s="98">
        <f t="shared" si="158"/>
        <v>1.3158605415683399E-2</v>
      </c>
      <c r="AI220" s="98">
        <f t="shared" si="159"/>
        <v>1.5707963267948966</v>
      </c>
      <c r="AJ220" s="98" t="str">
        <f t="shared" si="145"/>
        <v>1+1.5461361363428i</v>
      </c>
      <c r="AK220" s="98">
        <f t="shared" si="160"/>
        <v>1.8413410743545153</v>
      </c>
      <c r="AL220" s="98">
        <f t="shared" si="161"/>
        <v>0.99669258653714565</v>
      </c>
      <c r="AM220" s="98" t="str">
        <f t="shared" si="146"/>
        <v>1+3.09227227268561i</v>
      </c>
      <c r="AN220" s="98">
        <f t="shared" si="162"/>
        <v>3.2499458162283612</v>
      </c>
      <c r="AO220" s="98">
        <f t="shared" si="163"/>
        <v>1.2580242133762336</v>
      </c>
      <c r="AP220" s="168" t="str">
        <f t="shared" si="164"/>
        <v>-0.00311136209563753+0.0116335255317068i</v>
      </c>
      <c r="AQ220" s="98">
        <f t="shared" si="165"/>
        <v>-38.385736253601578</v>
      </c>
      <c r="AR220" s="169">
        <f t="shared" si="166"/>
        <v>104.97319927116746</v>
      </c>
      <c r="AS220" s="168" t="str">
        <f t="shared" si="167"/>
        <v>0.0946658811932024+0.100712426510864i</v>
      </c>
      <c r="AT220" s="190">
        <f t="shared" si="168"/>
        <v>-17.188615526633569</v>
      </c>
      <c r="AU220" s="169">
        <f t="shared" si="169"/>
        <v>46.772617395326733</v>
      </c>
      <c r="AV220" s="225"/>
      <c r="AX220">
        <f t="shared" si="170"/>
        <v>0</v>
      </c>
      <c r="AY220">
        <f t="shared" si="171"/>
        <v>0</v>
      </c>
    </row>
    <row r="221" spans="14:51" x14ac:dyDescent="0.3">
      <c r="N221" s="170">
        <v>3</v>
      </c>
      <c r="O221" s="199">
        <f t="shared" si="172"/>
        <v>1071.5193052376069</v>
      </c>
      <c r="P221" s="189" t="str">
        <f t="shared" si="138"/>
        <v>20.7142857142857</v>
      </c>
      <c r="Q221" s="160" t="str">
        <f t="shared" si="139"/>
        <v>1+1.53886956686359i</v>
      </c>
      <c r="R221" s="160">
        <f t="shared" si="147"/>
        <v>1.8352437287234993</v>
      </c>
      <c r="S221" s="160">
        <f t="shared" si="148"/>
        <v>0.99454227306721665</v>
      </c>
      <c r="T221" s="160" t="str">
        <f t="shared" si="140"/>
        <v>1+0.000134651087100564i</v>
      </c>
      <c r="U221" s="160">
        <f t="shared" si="149"/>
        <v>1.0000000090654575</v>
      </c>
      <c r="V221" s="160">
        <f t="shared" si="150"/>
        <v>1.3465108628678152E-4</v>
      </c>
      <c r="W221" s="98" t="str">
        <f t="shared" si="141"/>
        <v>1-0.035345910363898i</v>
      </c>
      <c r="X221" s="160">
        <f t="shared" si="151"/>
        <v>1.0006244717072699</v>
      </c>
      <c r="Y221" s="160">
        <f t="shared" si="152"/>
        <v>-3.5331201779331911E-2</v>
      </c>
      <c r="Z221" s="98" t="str">
        <f t="shared" si="142"/>
        <v>0.999904242728759-0.00263741091989439i</v>
      </c>
      <c r="AA221" s="160">
        <f t="shared" si="153"/>
        <v>0.99990772102396197</v>
      </c>
      <c r="AB221" s="160">
        <f t="shared" si="154"/>
        <v>-2.6376573784007862E-3</v>
      </c>
      <c r="AC221" s="171" t="str">
        <f t="shared" si="155"/>
        <v>5.84294022465099-9.66632132499011i</v>
      </c>
      <c r="AD221" s="190">
        <f t="shared" si="156"/>
        <v>21.057748310523337</v>
      </c>
      <c r="AE221" s="169">
        <f t="shared" si="157"/>
        <v>-58.848561966644787</v>
      </c>
      <c r="AF221" s="98" t="str">
        <f t="shared" si="143"/>
        <v>-0.0000897803247373448</v>
      </c>
      <c r="AG221" s="98" t="str">
        <f t="shared" si="144"/>
        <v>0.0134651087100564i</v>
      </c>
      <c r="AH221" s="98">
        <f t="shared" si="158"/>
        <v>1.3465108710056401E-2</v>
      </c>
      <c r="AI221" s="98">
        <f t="shared" si="159"/>
        <v>1.5707963267948966</v>
      </c>
      <c r="AJ221" s="98" t="str">
        <f t="shared" si="145"/>
        <v>1+1.58215027343163i</v>
      </c>
      <c r="AK221" s="98">
        <f t="shared" si="160"/>
        <v>1.8716835971177881</v>
      </c>
      <c r="AL221" s="98">
        <f t="shared" si="161"/>
        <v>1.007142537256591</v>
      </c>
      <c r="AM221" s="98" t="str">
        <f t="shared" si="146"/>
        <v>1+3.16430054686327i</v>
      </c>
      <c r="AN221" s="98">
        <f t="shared" si="162"/>
        <v>3.3185535931907424</v>
      </c>
      <c r="AO221" s="98">
        <f t="shared" si="163"/>
        <v>1.2647027495314329</v>
      </c>
      <c r="AP221" s="168" t="str">
        <f t="shared" si="164"/>
        <v>-0.00301130101029573+0.0114319578909216i</v>
      </c>
      <c r="AQ221" s="98">
        <f t="shared" si="165"/>
        <v>-38.5462458147706</v>
      </c>
      <c r="AR221" s="169">
        <f t="shared" si="166"/>
        <v>104.7571131338419</v>
      </c>
      <c r="AS221" s="168" t="str">
        <f t="shared" si="167"/>
        <v>0.0929101265458153+0.095904449779168i</v>
      </c>
      <c r="AT221" s="190">
        <f t="shared" si="168"/>
        <v>-17.488497504247263</v>
      </c>
      <c r="AU221" s="169">
        <f t="shared" si="169"/>
        <v>45.908551167197125</v>
      </c>
      <c r="AV221" s="225"/>
      <c r="AX221">
        <f t="shared" si="170"/>
        <v>0</v>
      </c>
      <c r="AY221">
        <f t="shared" si="171"/>
        <v>0</v>
      </c>
    </row>
    <row r="222" spans="14:51" x14ac:dyDescent="0.3">
      <c r="N222" s="170">
        <v>4</v>
      </c>
      <c r="O222" s="199">
        <f t="shared" si="172"/>
        <v>1096.4781961431863</v>
      </c>
      <c r="P222" s="189" t="str">
        <f t="shared" si="138"/>
        <v>20.7142857142857</v>
      </c>
      <c r="Q222" s="160" t="str">
        <f t="shared" si="139"/>
        <v>1+1.57471444380563i</v>
      </c>
      <c r="R222" s="160">
        <f t="shared" si="147"/>
        <v>1.8654022567612796</v>
      </c>
      <c r="S222" s="160">
        <f t="shared" si="148"/>
        <v>1.0050128058932719</v>
      </c>
      <c r="T222" s="160" t="str">
        <f t="shared" si="140"/>
        <v>1+0.000137787513832993i</v>
      </c>
      <c r="U222" s="160">
        <f t="shared" si="149"/>
        <v>1.0000000094926995</v>
      </c>
      <c r="V222" s="160">
        <f t="shared" si="150"/>
        <v>1.3778751296100936E-4</v>
      </c>
      <c r="W222" s="98" t="str">
        <f t="shared" si="141"/>
        <v>1-0.0361692223811605i</v>
      </c>
      <c r="X222" s="160">
        <f t="shared" si="151"/>
        <v>1.0006538925361046</v>
      </c>
      <c r="Y222" s="160">
        <f t="shared" si="152"/>
        <v>-3.6153462405027301E-2</v>
      </c>
      <c r="Z222" s="98" t="str">
        <f t="shared" si="142"/>
        <v>0.9998997298276-0.00269884411209267i</v>
      </c>
      <c r="AA222" s="160">
        <f t="shared" si="153"/>
        <v>0.99990337206594559</v>
      </c>
      <c r="AB222" s="160">
        <f t="shared" si="154"/>
        <v>-2.6991081982742473E-3</v>
      </c>
      <c r="AC222" s="171" t="str">
        <f t="shared" si="155"/>
        <v>5.64152519549311-9.57431034256363i</v>
      </c>
      <c r="AD222" s="190">
        <f t="shared" si="156"/>
        <v>20.91646649254551</v>
      </c>
      <c r="AE222" s="169">
        <f t="shared" si="157"/>
        <v>-59.491890793705622</v>
      </c>
      <c r="AF222" s="98" t="str">
        <f t="shared" si="143"/>
        <v>-0.0000897803247373448</v>
      </c>
      <c r="AG222" s="98" t="str">
        <f t="shared" si="144"/>
        <v>0.0137787513832993i</v>
      </c>
      <c r="AH222" s="98">
        <f t="shared" si="158"/>
        <v>1.3778751383299301E-2</v>
      </c>
      <c r="AI222" s="98">
        <f t="shared" si="159"/>
        <v>1.5707963267948966</v>
      </c>
      <c r="AJ222" s="98" t="str">
        <f t="shared" si="145"/>
        <v>1+1.61900328753767i</v>
      </c>
      <c r="AK222" s="98">
        <f t="shared" si="160"/>
        <v>1.9029376356196708</v>
      </c>
      <c r="AL222" s="98">
        <f t="shared" si="161"/>
        <v>1.0174897594041123</v>
      </c>
      <c r="AM222" s="98" t="str">
        <f t="shared" si="146"/>
        <v>1+3.23800657507534i</v>
      </c>
      <c r="AN222" s="98">
        <f t="shared" si="162"/>
        <v>3.3889063988595396</v>
      </c>
      <c r="AO222" s="98">
        <f t="shared" si="163"/>
        <v>1.271256617810028</v>
      </c>
      <c r="AP222" s="168" t="str">
        <f t="shared" si="164"/>
        <v>-0.00291319749259488+0.0112323297677418i</v>
      </c>
      <c r="AQ222" s="98">
        <f t="shared" si="165"/>
        <v>-38.70787347553042</v>
      </c>
      <c r="AR222" s="169">
        <f t="shared" si="166"/>
        <v>104.53976996695287</v>
      </c>
      <c r="AS222" s="168" t="str">
        <f t="shared" si="167"/>
        <v>0.0911069340124543+0.0912593282720842i</v>
      </c>
      <c r="AT222" s="190">
        <f t="shared" si="168"/>
        <v>-17.79140698298491</v>
      </c>
      <c r="AU222" s="169">
        <f t="shared" si="169"/>
        <v>45.047879173247239</v>
      </c>
      <c r="AV222" s="225"/>
      <c r="AX222">
        <f t="shared" si="170"/>
        <v>0</v>
      </c>
      <c r="AY222">
        <f t="shared" si="171"/>
        <v>0</v>
      </c>
    </row>
    <row r="223" spans="14:51" x14ac:dyDescent="0.3">
      <c r="N223" s="170">
        <v>5</v>
      </c>
      <c r="O223" s="199">
        <f t="shared" si="172"/>
        <v>1122.0184543019636</v>
      </c>
      <c r="P223" s="189" t="str">
        <f t="shared" si="138"/>
        <v>20.7142857142857</v>
      </c>
      <c r="Q223" s="160" t="str">
        <f t="shared" si="139"/>
        <v>1+1.61139425518959i</v>
      </c>
      <c r="R223" s="160">
        <f t="shared" si="147"/>
        <v>1.8964681504465117</v>
      </c>
      <c r="S223" s="160">
        <f t="shared" si="148"/>
        <v>1.015381327189449</v>
      </c>
      <c r="T223" s="160" t="str">
        <f t="shared" si="140"/>
        <v>1+0.000140996997329089i</v>
      </c>
      <c r="U223" s="160">
        <f t="shared" si="149"/>
        <v>1.0000000099400765</v>
      </c>
      <c r="V223" s="160">
        <f t="shared" si="150"/>
        <v>1.409969963947417E-4</v>
      </c>
      <c r="W223" s="98" t="str">
        <f t="shared" si="141"/>
        <v>1-0.0370117117988858i</v>
      </c>
      <c r="X223" s="160">
        <f t="shared" si="151"/>
        <v>1.0006846989987823</v>
      </c>
      <c r="Y223" s="160">
        <f t="shared" si="152"/>
        <v>-3.6994825304201895E-2</v>
      </c>
      <c r="Z223" s="98" t="str">
        <f t="shared" si="142"/>
        <v>0.999895004239962-0.0027617082671626i</v>
      </c>
      <c r="AA223" s="160">
        <f t="shared" si="153"/>
        <v>0.99989881814940973</v>
      </c>
      <c r="AB223" s="160">
        <f t="shared" si="154"/>
        <v>-2.7619912418768238E-3</v>
      </c>
      <c r="AC223" s="171" t="str">
        <f t="shared" si="155"/>
        <v>5.44401546048603-9.47906144008408i</v>
      </c>
      <c r="AD223" s="190">
        <f t="shared" si="156"/>
        <v>20.773312344499331</v>
      </c>
      <c r="AE223" s="169">
        <f t="shared" si="157"/>
        <v>-60.130383024072934</v>
      </c>
      <c r="AF223" s="98" t="str">
        <f t="shared" si="143"/>
        <v>-0.0000897803247373448</v>
      </c>
      <c r="AG223" s="98" t="str">
        <f t="shared" si="144"/>
        <v>0.0140996997329089i</v>
      </c>
      <c r="AH223" s="98">
        <f t="shared" si="158"/>
        <v>1.40996997329089E-2</v>
      </c>
      <c r="AI223" s="98">
        <f t="shared" si="159"/>
        <v>1.5707963267948966</v>
      </c>
      <c r="AJ223" s="98" t="str">
        <f t="shared" si="145"/>
        <v>1+1.6567147186168i</v>
      </c>
      <c r="AK223" s="98">
        <f t="shared" si="160"/>
        <v>1.9351236805128356</v>
      </c>
      <c r="AL223" s="98">
        <f t="shared" si="161"/>
        <v>1.0277308762649235</v>
      </c>
      <c r="AM223" s="98" t="str">
        <f t="shared" si="146"/>
        <v>1+3.3134294372336i</v>
      </c>
      <c r="AN223" s="98">
        <f t="shared" si="162"/>
        <v>3.4610424203592438</v>
      </c>
      <c r="AO223" s="98">
        <f t="shared" si="163"/>
        <v>1.2776870402735503</v>
      </c>
      <c r="AP223" s="168" t="str">
        <f t="shared" si="164"/>
        <v>-0.0028170955882231+0.0110346582423775i</v>
      </c>
      <c r="AQ223" s="98">
        <f t="shared" si="165"/>
        <v>-38.870609947032769</v>
      </c>
      <c r="AR223" s="169">
        <f t="shared" si="166"/>
        <v>104.32143326097419</v>
      </c>
      <c r="AS223" s="168" t="str">
        <f t="shared" si="167"/>
        <v>0.089261891513873+0.0867762722360393i</v>
      </c>
      <c r="AT223" s="190">
        <f t="shared" si="168"/>
        <v>-18.09729760253343</v>
      </c>
      <c r="AU223" s="169">
        <f t="shared" si="169"/>
        <v>44.191050236901255</v>
      </c>
      <c r="AV223" s="225"/>
      <c r="AX223">
        <f t="shared" si="170"/>
        <v>0</v>
      </c>
      <c r="AY223">
        <f t="shared" si="171"/>
        <v>0</v>
      </c>
    </row>
    <row r="224" spans="14:51" x14ac:dyDescent="0.3">
      <c r="N224" s="170">
        <v>6</v>
      </c>
      <c r="O224" s="199">
        <f t="shared" si="172"/>
        <v>1148.1536214968839</v>
      </c>
      <c r="P224" s="189" t="str">
        <f t="shared" si="138"/>
        <v>20.7142857142857</v>
      </c>
      <c r="Q224" s="160" t="str">
        <f t="shared" si="139"/>
        <v>1+1.64892844913697i</v>
      </c>
      <c r="R224" s="160">
        <f t="shared" si="147"/>
        <v>1.9284618301571992</v>
      </c>
      <c r="S224" s="160">
        <f t="shared" si="148"/>
        <v>1.0256444167094005</v>
      </c>
      <c r="T224" s="160" t="str">
        <f t="shared" si="140"/>
        <v>1+0.000144281239299485i</v>
      </c>
      <c r="U224" s="160">
        <f t="shared" si="149"/>
        <v>1.000000010408538</v>
      </c>
      <c r="V224" s="160">
        <f t="shared" si="150"/>
        <v>1.4428123829831384E-4</v>
      </c>
      <c r="W224" s="98" t="str">
        <f t="shared" si="141"/>
        <v>1-0.0378738253161147i</v>
      </c>
      <c r="X224" s="160">
        <f t="shared" si="151"/>
        <v>1.0007169563088634</v>
      </c>
      <c r="Y224" s="160">
        <f t="shared" si="152"/>
        <v>-3.785573181113161E-2</v>
      </c>
      <c r="Z224" s="98" t="str">
        <f t="shared" si="142"/>
        <v>0.99989005594224-0.00282603671651131i</v>
      </c>
      <c r="AA224" s="160">
        <f t="shared" si="153"/>
        <v>0.99989404961510742</v>
      </c>
      <c r="AB224" s="160">
        <f t="shared" si="154"/>
        <v>-2.8263399308081833E-3</v>
      </c>
      <c r="AC224" s="171" t="str">
        <f t="shared" si="155"/>
        <v>5.25050178149512-9.3807699486055i</v>
      </c>
      <c r="AD224" s="190">
        <f t="shared" si="156"/>
        <v>20.628323882139942</v>
      </c>
      <c r="AE224" s="169">
        <f t="shared" si="157"/>
        <v>-60.763865966240644</v>
      </c>
      <c r="AF224" s="98" t="str">
        <f t="shared" si="143"/>
        <v>-0.0000897803247373448</v>
      </c>
      <c r="AG224" s="98" t="str">
        <f t="shared" si="144"/>
        <v>0.0144281239299485i</v>
      </c>
      <c r="AH224" s="98">
        <f t="shared" si="158"/>
        <v>1.4428123929948499E-2</v>
      </c>
      <c r="AI224" s="98">
        <f t="shared" si="159"/>
        <v>1.5707963267948966</v>
      </c>
      <c r="AJ224" s="98" t="str">
        <f t="shared" si="145"/>
        <v>1+1.69530456176895i</v>
      </c>
      <c r="AK224" s="98">
        <f t="shared" si="160"/>
        <v>1.9682625732240633</v>
      </c>
      <c r="AL224" s="98">
        <f t="shared" si="161"/>
        <v>1.0378627246401662</v>
      </c>
      <c r="AM224" s="98" t="str">
        <f t="shared" si="146"/>
        <v>1+3.39060912353791i</v>
      </c>
      <c r="AN224" s="98">
        <f t="shared" si="162"/>
        <v>3.5350007395499246</v>
      </c>
      <c r="AO224" s="98">
        <f t="shared" si="163"/>
        <v>1.2839952984342533</v>
      </c>
      <c r="AP224" s="168" t="str">
        <f t="shared" si="164"/>
        <v>-0.00272303340903025+0.0108389626965153i</v>
      </c>
      <c r="AQ224" s="98">
        <f t="shared" si="165"/>
        <v>-39.034444349966869</v>
      </c>
      <c r="AR224" s="169">
        <f t="shared" si="166"/>
        <v>104.10235767909353</v>
      </c>
      <c r="AS224" s="168" t="str">
        <f t="shared" si="167"/>
        <v>0.0873805237723427+0.0824541429200925i</v>
      </c>
      <c r="AT224" s="190">
        <f t="shared" si="168"/>
        <v>-18.406120467826931</v>
      </c>
      <c r="AU224" s="169">
        <f t="shared" si="169"/>
        <v>43.3384917128529</v>
      </c>
      <c r="AV224" s="225"/>
      <c r="AX224">
        <f t="shared" si="170"/>
        <v>0</v>
      </c>
      <c r="AY224">
        <f t="shared" si="171"/>
        <v>0</v>
      </c>
    </row>
    <row r="225" spans="14:51" x14ac:dyDescent="0.3">
      <c r="N225" s="170">
        <v>7</v>
      </c>
      <c r="O225" s="199">
        <f t="shared" si="172"/>
        <v>1174.8975549395295</v>
      </c>
      <c r="P225" s="189" t="str">
        <f t="shared" si="138"/>
        <v>20.7142857142857</v>
      </c>
      <c r="Q225" s="160" t="str">
        <f t="shared" si="139"/>
        <v>1+1.68733692677423i</v>
      </c>
      <c r="R225" s="160">
        <f t="shared" si="147"/>
        <v>1.9614040645557724</v>
      </c>
      <c r="S225" s="160">
        <f t="shared" si="148"/>
        <v>1.0357988674943521</v>
      </c>
      <c r="T225" s="160" t="str">
        <f t="shared" si="140"/>
        <v>1+0.000147641981092745i</v>
      </c>
      <c r="U225" s="160">
        <f t="shared" si="149"/>
        <v>1.0000000108990772</v>
      </c>
      <c r="V225" s="160">
        <f t="shared" si="150"/>
        <v>1.4764198001997078E-4</v>
      </c>
      <c r="W225" s="98" t="str">
        <f t="shared" si="141"/>
        <v>1-0.0387560200368456i</v>
      </c>
      <c r="X225" s="160">
        <f t="shared" si="151"/>
        <v>1.0007507327447211</v>
      </c>
      <c r="Y225" s="160">
        <f t="shared" si="152"/>
        <v>-3.8736633282372548E-2</v>
      </c>
      <c r="Z225" s="98" t="str">
        <f t="shared" si="142"/>
        <v>0.999884874438431-0.00289186356793414i</v>
      </c>
      <c r="AA225" s="160">
        <f t="shared" si="153"/>
        <v>0.99988905634857939</v>
      </c>
      <c r="AB225" s="160">
        <f t="shared" si="154"/>
        <v>-2.8921884695087721E-3</v>
      </c>
      <c r="AC225" s="171" t="str">
        <f t="shared" si="155"/>
        <v>5.06106298815421-9.27963230898663i</v>
      </c>
      <c r="AD225" s="190">
        <f t="shared" si="156"/>
        <v>20.481539953370358</v>
      </c>
      <c r="AE225" s="169">
        <f t="shared" si="157"/>
        <v>-61.392179676289253</v>
      </c>
      <c r="AF225" s="98" t="str">
        <f t="shared" si="143"/>
        <v>-0.0000897803247373448</v>
      </c>
      <c r="AG225" s="98" t="str">
        <f t="shared" si="144"/>
        <v>0.0147641981092745i</v>
      </c>
      <c r="AH225" s="98">
        <f t="shared" si="158"/>
        <v>1.47641981092745E-2</v>
      </c>
      <c r="AI225" s="98">
        <f t="shared" si="159"/>
        <v>1.5707963267948966</v>
      </c>
      <c r="AJ225" s="98" t="str">
        <f t="shared" si="145"/>
        <v>1+1.73479327783976i</v>
      </c>
      <c r="AK225" s="98">
        <f t="shared" si="160"/>
        <v>2.0023755184375425</v>
      </c>
      <c r="AL225" s="98">
        <f t="shared" si="161"/>
        <v>1.0478823554353582</v>
      </c>
      <c r="AM225" s="98" t="str">
        <f t="shared" si="146"/>
        <v>1+3.46958655567953i</v>
      </c>
      <c r="AN225" s="98">
        <f t="shared" si="162"/>
        <v>3.6108213563332296</v>
      </c>
      <c r="AO225" s="98">
        <f t="shared" si="163"/>
        <v>1.2901827280075269</v>
      </c>
      <c r="AP225" s="168" t="str">
        <f t="shared" si="164"/>
        <v>-0.00263104323564126+0.0106452643744569i</v>
      </c>
      <c r="AQ225" s="98">
        <f t="shared" si="165"/>
        <v>-39.199364329823887</v>
      </c>
      <c r="AR225" s="169">
        <f t="shared" si="166"/>
        <v>103.88278872283264</v>
      </c>
      <c r="AS225" s="168" t="str">
        <f t="shared" si="167"/>
        <v>0.0854682636867771+0.0782914673404777i</v>
      </c>
      <c r="AT225" s="190">
        <f t="shared" si="168"/>
        <v>-18.717824376453528</v>
      </c>
      <c r="AU225" s="169">
        <f t="shared" si="169"/>
        <v>42.490609046543383</v>
      </c>
      <c r="AV225" s="225"/>
      <c r="AX225">
        <f t="shared" si="170"/>
        <v>0</v>
      </c>
      <c r="AY225">
        <f t="shared" si="171"/>
        <v>0</v>
      </c>
    </row>
    <row r="226" spans="14:51" x14ac:dyDescent="0.3">
      <c r="N226" s="170">
        <v>8</v>
      </c>
      <c r="O226" s="199">
        <f t="shared" si="172"/>
        <v>1202.2644346174138</v>
      </c>
      <c r="P226" s="189" t="str">
        <f t="shared" si="138"/>
        <v>20.7142857142857</v>
      </c>
      <c r="Q226" s="160" t="str">
        <f t="shared" si="139"/>
        <v>1+1.72664005278462i</v>
      </c>
      <c r="R226" s="160">
        <f t="shared" si="147"/>
        <v>1.9953159829661256</v>
      </c>
      <c r="S226" s="160">
        <f t="shared" si="148"/>
        <v>1.0458416866397366</v>
      </c>
      <c r="T226" s="160" t="str">
        <f t="shared" si="140"/>
        <v>1+0.000151081004618654i</v>
      </c>
      <c r="U226" s="160">
        <f t="shared" si="149"/>
        <v>1.000000011412735</v>
      </c>
      <c r="V226" s="160">
        <f t="shared" si="150"/>
        <v>1.5108100346915569E-4</v>
      </c>
      <c r="W226" s="98" t="str">
        <f t="shared" si="141"/>
        <v>1-0.0396587637123966i</v>
      </c>
      <c r="X226" s="160">
        <f t="shared" si="151"/>
        <v>1.0007860997931555</v>
      </c>
      <c r="Y226" s="160">
        <f t="shared" si="152"/>
        <v>-3.9637991311876793E-2</v>
      </c>
      <c r="Z226" s="98" t="str">
        <f t="shared" si="142"/>
        <v>0.999879448737871-0.00295922372369903i</v>
      </c>
      <c r="AA226" s="160">
        <f t="shared" si="153"/>
        <v>0.99988382775870299</v>
      </c>
      <c r="AB226" s="160">
        <f t="shared" si="154"/>
        <v>-2.9595718638059372E-3</v>
      </c>
      <c r="AC226" s="171" t="str">
        <f t="shared" si="155"/>
        <v>4.87576617149537-9.17584526819651i</v>
      </c>
      <c r="AD226" s="190">
        <f t="shared" si="156"/>
        <v>20.33300012770345</v>
      </c>
      <c r="AE226" s="169">
        <f t="shared" si="157"/>
        <v>-62.015177013022168</v>
      </c>
      <c r="AF226" s="98" t="str">
        <f t="shared" si="143"/>
        <v>-0.0000897803247373448</v>
      </c>
      <c r="AG226" s="98" t="str">
        <f t="shared" si="144"/>
        <v>0.0151081004618654i</v>
      </c>
      <c r="AH226" s="98">
        <f t="shared" si="158"/>
        <v>1.5108100461865399E-2</v>
      </c>
      <c r="AI226" s="98">
        <f t="shared" si="159"/>
        <v>1.5707963267948966</v>
      </c>
      <c r="AJ226" s="98" t="str">
        <f t="shared" si="145"/>
        <v>1+1.77520180426919i</v>
      </c>
      <c r="AK226" s="98">
        <f t="shared" si="160"/>
        <v>2.0374840970865482</v>
      </c>
      <c r="AL226" s="98">
        <f t="shared" si="161"/>
        <v>1.057787033402638</v>
      </c>
      <c r="AM226" s="98" t="str">
        <f t="shared" si="146"/>
        <v>1+3.55040360853838i</v>
      </c>
      <c r="AN226" s="98">
        <f t="shared" si="162"/>
        <v>3.688545212346237</v>
      </c>
      <c r="AO226" s="98">
        <f t="shared" si="163"/>
        <v>1.2962507138742128</v>
      </c>
      <c r="AP226" s="168" t="str">
        <f t="shared" si="164"/>
        <v>-0.00254115164800673+0.0104535859645033i</v>
      </c>
      <c r="AQ226" s="98">
        <f t="shared" si="165"/>
        <v>-39.365356171828175</v>
      </c>
      <c r="AR226" s="169">
        <f t="shared" si="166"/>
        <v>103.66296245817755</v>
      </c>
      <c r="AS226" s="168" t="str">
        <f t="shared" si="167"/>
        <v>0.0835304260660821+0.0742864551416763i</v>
      </c>
      <c r="AT226" s="190">
        <f t="shared" si="168"/>
        <v>-19.032356044124729</v>
      </c>
      <c r="AU226" s="169">
        <f t="shared" si="169"/>
        <v>41.647785445155392</v>
      </c>
      <c r="AV226" s="225"/>
      <c r="AX226">
        <f t="shared" si="170"/>
        <v>0</v>
      </c>
      <c r="AY226">
        <f t="shared" si="171"/>
        <v>0</v>
      </c>
    </row>
    <row r="227" spans="14:51" x14ac:dyDescent="0.3">
      <c r="N227" s="170">
        <v>9</v>
      </c>
      <c r="O227" s="199">
        <f t="shared" si="172"/>
        <v>1230.2687708123824</v>
      </c>
      <c r="P227" s="189" t="str">
        <f t="shared" si="138"/>
        <v>20.7142857142857</v>
      </c>
      <c r="Q227" s="160" t="str">
        <f t="shared" si="139"/>
        <v>1+1.76685866620577i</v>
      </c>
      <c r="R227" s="160">
        <f t="shared" si="147"/>
        <v>2.0302190882627498</v>
      </c>
      <c r="S227" s="160">
        <f t="shared" si="148"/>
        <v>1.0557700952070939</v>
      </c>
      <c r="T227" s="160" t="str">
        <f t="shared" si="140"/>
        <v>1+0.000154600133293005i</v>
      </c>
      <c r="U227" s="160">
        <f t="shared" si="149"/>
        <v>1.0000000119506005</v>
      </c>
      <c r="V227" s="160">
        <f t="shared" si="150"/>
        <v>1.5460013206129537E-4</v>
      </c>
      <c r="W227" s="98" t="str">
        <f t="shared" si="141"/>
        <v>1-0.0405825349894137i</v>
      </c>
      <c r="X227" s="160">
        <f t="shared" si="151"/>
        <v>1.0008231322996921</v>
      </c>
      <c r="Y227" s="160">
        <f t="shared" si="152"/>
        <v>-4.0560277949820644E-2</v>
      </c>
      <c r="Z227" s="98" t="str">
        <f t="shared" si="142"/>
        <v>0.999873767331921-0.00302815289905217i</v>
      </c>
      <c r="AA227" s="160">
        <f t="shared" si="153"/>
        <v>0.99987835275522818</v>
      </c>
      <c r="AB227" s="160">
        <f t="shared" si="154"/>
        <v>-3.0285259399143727E-3</v>
      </c>
      <c r="AC227" s="171" t="str">
        <f t="shared" si="155"/>
        <v>4.69466693466472-9.06960511346741i</v>
      </c>
      <c r="AD227" s="190">
        <f t="shared" si="156"/>
        <v>20.182744587894259</v>
      </c>
      <c r="AE227" s="169">
        <f t="shared" si="157"/>
        <v>-62.632723644311461</v>
      </c>
      <c r="AF227" s="98" t="str">
        <f t="shared" si="143"/>
        <v>-0.0000897803247373448</v>
      </c>
      <c r="AG227" s="98" t="str">
        <f t="shared" si="144"/>
        <v>0.0154600133293005i</v>
      </c>
      <c r="AH227" s="98">
        <f t="shared" si="158"/>
        <v>1.54600133293005E-2</v>
      </c>
      <c r="AI227" s="98">
        <f t="shared" si="159"/>
        <v>1.5707963267948966</v>
      </c>
      <c r="AJ227" s="98" t="str">
        <f t="shared" si="145"/>
        <v>1+1.81655156619281i</v>
      </c>
      <c r="AK227" s="98">
        <f t="shared" si="160"/>
        <v>2.0736102798350395</v>
      </c>
      <c r="AL227" s="98">
        <f t="shared" si="161"/>
        <v>1.0675742360809963</v>
      </c>
      <c r="AM227" s="98" t="str">
        <f t="shared" si="146"/>
        <v>1+3.63310313238563i</v>
      </c>
      <c r="AN227" s="98">
        <f t="shared" si="162"/>
        <v>3.7682142150560227</v>
      </c>
      <c r="AO227" s="98">
        <f t="shared" si="163"/>
        <v>1.3022006852552921</v>
      </c>
      <c r="AP227" s="168" t="str">
        <f t="shared" si="164"/>
        <v>-0.00245337968121122+0.0102639512024102i</v>
      </c>
      <c r="AQ227" s="98">
        <f t="shared" si="165"/>
        <v>-39.532404914853643</v>
      </c>
      <c r="AR227" s="169">
        <f t="shared" si="166"/>
        <v>103.44310529982795</v>
      </c>
      <c r="AS227" s="168" t="str">
        <f t="shared" si="167"/>
        <v>0.0815721838421989+0.0704370172309577i</v>
      </c>
      <c r="AT227" s="190">
        <f t="shared" si="168"/>
        <v>-19.349660326959388</v>
      </c>
      <c r="AU227" s="169">
        <f t="shared" si="169"/>
        <v>40.81038165551653</v>
      </c>
      <c r="AV227" s="225"/>
      <c r="AX227">
        <f t="shared" si="170"/>
        <v>0</v>
      </c>
      <c r="AY227">
        <f t="shared" si="171"/>
        <v>0</v>
      </c>
    </row>
    <row r="228" spans="14:51" x14ac:dyDescent="0.3">
      <c r="N228" s="170">
        <v>10</v>
      </c>
      <c r="O228" s="199">
        <f t="shared" si="172"/>
        <v>1258.925411794168</v>
      </c>
      <c r="P228" s="189" t="str">
        <f t="shared" si="138"/>
        <v>20.7142857142857</v>
      </c>
      <c r="Q228" s="160" t="str">
        <f t="shared" si="139"/>
        <v>1+1.80801409147889i</v>
      </c>
      <c r="R228" s="160">
        <f t="shared" si="147"/>
        <v>2.0661352702536773</v>
      </c>
      <c r="S228" s="160">
        <f t="shared" si="148"/>
        <v>1.0655815273246241</v>
      </c>
      <c r="T228" s="160" t="str">
        <f t="shared" si="140"/>
        <v>1+0.000158201233004403i</v>
      </c>
      <c r="U228" s="160">
        <f t="shared" si="149"/>
        <v>1.0000000125138151</v>
      </c>
      <c r="V228" s="160">
        <f t="shared" si="150"/>
        <v>1.5820123168460237E-4</v>
      </c>
      <c r="W228" s="98" t="str">
        <f t="shared" si="141"/>
        <v>1-0.0415278236636556i</v>
      </c>
      <c r="X228" s="160">
        <f t="shared" si="151"/>
        <v>1.0008619086258801</v>
      </c>
      <c r="Y228" s="160">
        <f t="shared" si="152"/>
        <v>-4.1503975925139214E-2</v>
      </c>
      <c r="Z228" s="98" t="str">
        <f t="shared" si="142"/>
        <v>0.999867818169558-0.00309868764115474i</v>
      </c>
      <c r="AA228" s="160">
        <f t="shared" si="153"/>
        <v>0.99987261972525765</v>
      </c>
      <c r="AB228" s="160">
        <f t="shared" si="154"/>
        <v>-3.0990873639030574E-3</v>
      </c>
      <c r="AC228" s="171" t="str">
        <f t="shared" si="155"/>
        <v>4.51780969539357-8.96110694813938i</v>
      </c>
      <c r="AD228" s="190">
        <f t="shared" si="156"/>
        <v>20.03081402426012</v>
      </c>
      <c r="AE228" s="169">
        <f t="shared" si="157"/>
        <v>-63.244698007144926</v>
      </c>
      <c r="AF228" s="98" t="str">
        <f t="shared" si="143"/>
        <v>-0.0000897803247373448</v>
      </c>
      <c r="AG228" s="98" t="str">
        <f t="shared" si="144"/>
        <v>0.0158201233004403i</v>
      </c>
      <c r="AH228" s="98">
        <f t="shared" si="158"/>
        <v>1.58201233004403E-2</v>
      </c>
      <c r="AI228" s="98">
        <f t="shared" si="159"/>
        <v>1.5707963267948966</v>
      </c>
      <c r="AJ228" s="98" t="str">
        <f t="shared" si="145"/>
        <v>1+1.85886448780173i</v>
      </c>
      <c r="AK228" s="98">
        <f t="shared" si="160"/>
        <v>2.1107764410307381</v>
      </c>
      <c r="AL228" s="98">
        <f t="shared" si="161"/>
        <v>1.0772416519823649</v>
      </c>
      <c r="AM228" s="98" t="str">
        <f t="shared" si="146"/>
        <v>1+3.71772897560347i</v>
      </c>
      <c r="AN228" s="98">
        <f t="shared" si="162"/>
        <v>3.8498712622686004</v>
      </c>
      <c r="AO228" s="98">
        <f t="shared" si="163"/>
        <v>1.3080341111000582</v>
      </c>
      <c r="AP228" s="168" t="str">
        <f t="shared" si="164"/>
        <v>-0.00236774300377919+0.010076384498392i</v>
      </c>
      <c r="AQ228" s="98">
        <f t="shared" si="165"/>
        <v>-39.700494463704601</v>
      </c>
      <c r="AR228" s="169">
        <f t="shared" si="166"/>
        <v>103.22343385088948</v>
      </c>
      <c r="AS228" s="168" t="str">
        <f t="shared" si="167"/>
        <v>0.0795985468419906+0.066740785863923i</v>
      </c>
      <c r="AT228" s="190">
        <f t="shared" si="168"/>
        <v>-19.66968043944448</v>
      </c>
      <c r="AU228" s="169">
        <f t="shared" si="169"/>
        <v>39.978735843744566</v>
      </c>
      <c r="AV228" s="225"/>
      <c r="AX228">
        <f t="shared" si="170"/>
        <v>0</v>
      </c>
      <c r="AY228">
        <f t="shared" si="171"/>
        <v>0</v>
      </c>
    </row>
    <row r="229" spans="14:51" x14ac:dyDescent="0.3">
      <c r="N229" s="170">
        <v>11</v>
      </c>
      <c r="O229" s="199">
        <f t="shared" si="172"/>
        <v>1288.2495516931347</v>
      </c>
      <c r="P229" s="189" t="str">
        <f t="shared" si="138"/>
        <v>20.7142857142857</v>
      </c>
      <c r="Q229" s="160" t="str">
        <f t="shared" si="139"/>
        <v>1+1.8501281497552i</v>
      </c>
      <c r="R229" s="160">
        <f t="shared" si="147"/>
        <v>2.1030868195385088</v>
      </c>
      <c r="S229" s="160">
        <f t="shared" si="148"/>
        <v>1.0752736285234956</v>
      </c>
      <c r="T229" s="160" t="str">
        <f t="shared" si="140"/>
        <v>1+0.00016188621310358i</v>
      </c>
      <c r="U229" s="160">
        <f t="shared" si="149"/>
        <v>1.0000000131035729</v>
      </c>
      <c r="V229" s="160">
        <f t="shared" si="150"/>
        <v>1.6188621168938816E-4</v>
      </c>
      <c r="W229" s="98" t="str">
        <f t="shared" si="141"/>
        <v>1-0.0424951309396896i</v>
      </c>
      <c r="X229" s="160">
        <f t="shared" si="151"/>
        <v>1.000902510813906</v>
      </c>
      <c r="Y229" s="160">
        <f t="shared" si="152"/>
        <v>-4.2469578871755884E-2</v>
      </c>
      <c r="Z229" s="98" t="str">
        <f t="shared" si="142"/>
        <v>0.99986158863181-0.00317086534846062i</v>
      </c>
      <c r="AA229" s="160">
        <f t="shared" si="153"/>
        <v>0.99986661650861441</v>
      </c>
      <c r="AB229" s="160">
        <f t="shared" si="154"/>
        <v>-3.1712936616411472E-3</v>
      </c>
      <c r="AC229" s="171" t="str">
        <f t="shared" si="155"/>
        <v>4.3452280347196-8.85054401234609i</v>
      </c>
      <c r="AD229" s="190">
        <f t="shared" si="156"/>
        <v>19.877249532156664</v>
      </c>
      <c r="AE229" s="169">
        <f t="shared" si="157"/>
        <v>-63.850991224063932</v>
      </c>
      <c r="AF229" s="98" t="str">
        <f t="shared" si="143"/>
        <v>-0.0000897803247373448</v>
      </c>
      <c r="AG229" s="98" t="str">
        <f t="shared" si="144"/>
        <v>0.016188621310358i</v>
      </c>
      <c r="AH229" s="98">
        <f t="shared" si="158"/>
        <v>1.6188621310358E-2</v>
      </c>
      <c r="AI229" s="98">
        <f t="shared" si="159"/>
        <v>1.5707963267948966</v>
      </c>
      <c r="AJ229" s="98" t="str">
        <f t="shared" si="145"/>
        <v>1+1.90216300396706i</v>
      </c>
      <c r="AK229" s="98">
        <f t="shared" si="160"/>
        <v>2.1490053731112422</v>
      </c>
      <c r="AL229" s="98">
        <f t="shared" si="161"/>
        <v>1.0867871780742762</v>
      </c>
      <c r="AM229" s="98" t="str">
        <f t="shared" si="146"/>
        <v>1+3.80432600793413i</v>
      </c>
      <c r="AN229" s="98">
        <f t="shared" si="162"/>
        <v>3.9335602670664698</v>
      </c>
      <c r="AO229" s="98">
        <f t="shared" si="163"/>
        <v>1.3137524956876598</v>
      </c>
      <c r="AP229" s="168" t="str">
        <f t="shared" si="164"/>
        <v>-0.00228425211568186+0.0098909105888172i</v>
      </c>
      <c r="AQ229" s="98">
        <f t="shared" si="165"/>
        <v>-39.869607699198333</v>
      </c>
      <c r="AR229" s="169">
        <f t="shared" si="166"/>
        <v>103.00415479509317</v>
      </c>
      <c r="AS229" s="168" t="str">
        <f t="shared" si="167"/>
        <v>0.0776143431570782+0.0631951358645704i</v>
      </c>
      <c r="AT229" s="190">
        <f t="shared" si="168"/>
        <v>-19.992358167041676</v>
      </c>
      <c r="AU229" s="169">
        <f t="shared" si="169"/>
        <v>39.153163571029246</v>
      </c>
      <c r="AV229" s="225"/>
      <c r="AX229">
        <f t="shared" si="170"/>
        <v>0</v>
      </c>
      <c r="AY229">
        <f t="shared" si="171"/>
        <v>0</v>
      </c>
    </row>
    <row r="230" spans="14:51" x14ac:dyDescent="0.3">
      <c r="N230" s="170">
        <v>12</v>
      </c>
      <c r="O230" s="199">
        <f t="shared" si="172"/>
        <v>1318.2567385564089</v>
      </c>
      <c r="P230" s="189" t="str">
        <f t="shared" si="138"/>
        <v>20.7142857142857</v>
      </c>
      <c r="Q230" s="160" t="str">
        <f t="shared" si="139"/>
        <v>1+1.89322317046585i</v>
      </c>
      <c r="R230" s="160">
        <f t="shared" si="147"/>
        <v>2.141096441823386</v>
      </c>
      <c r="S230" s="160">
        <f t="shared" si="148"/>
        <v>1.0848442533601965</v>
      </c>
      <c r="T230" s="160" t="str">
        <f t="shared" si="140"/>
        <v>1+0.000165657027415762i</v>
      </c>
      <c r="U230" s="160">
        <f t="shared" si="149"/>
        <v>1.0000000137211253</v>
      </c>
      <c r="V230" s="160">
        <f t="shared" si="150"/>
        <v>1.6565702590042814E-4</v>
      </c>
      <c r="W230" s="98" t="str">
        <f t="shared" si="141"/>
        <v>1-0.0434849696966375i</v>
      </c>
      <c r="X230" s="160">
        <f t="shared" si="151"/>
        <v>1.0009450247588614</v>
      </c>
      <c r="Y230" s="160">
        <f t="shared" si="152"/>
        <v>-4.3457591558489231E-2</v>
      </c>
      <c r="Z230" s="98" t="str">
        <f t="shared" si="142"/>
        <v>0.999855065504994-0.00324472429054563i</v>
      </c>
      <c r="AA230" s="160">
        <f t="shared" si="153"/>
        <v>0.99986033037205646</v>
      </c>
      <c r="AB230" s="160">
        <f t="shared" si="154"/>
        <v>-3.245183239236045E-3</v>
      </c>
      <c r="AC230" s="171" t="str">
        <f t="shared" si="155"/>
        <v>4.17694508635526-8.73810705100619i</v>
      </c>
      <c r="AD230" s="190">
        <f t="shared" si="156"/>
        <v>19.722092513021597</v>
      </c>
      <c r="AE230" s="169">
        <f t="shared" si="157"/>
        <v>-64.451506978879394</v>
      </c>
      <c r="AF230" s="98" t="str">
        <f t="shared" si="143"/>
        <v>-0.0000897803247373448</v>
      </c>
      <c r="AG230" s="98" t="str">
        <f t="shared" si="144"/>
        <v>0.0165657027415762i</v>
      </c>
      <c r="AH230" s="98">
        <f t="shared" si="158"/>
        <v>1.6565702741576201E-2</v>
      </c>
      <c r="AI230" s="98">
        <f t="shared" si="159"/>
        <v>1.5707963267948966</v>
      </c>
      <c r="AJ230" s="98" t="str">
        <f t="shared" si="145"/>
        <v>1+1.94647007213521i</v>
      </c>
      <c r="AK230" s="98">
        <f t="shared" si="160"/>
        <v>2.1883203014453918</v>
      </c>
      <c r="AL230" s="98">
        <f t="shared" si="161"/>
        <v>1.0962089166120628</v>
      </c>
      <c r="AM230" s="98" t="str">
        <f t="shared" si="146"/>
        <v>1+3.89294014427042i</v>
      </c>
      <c r="AN230" s="98">
        <f t="shared" si="162"/>
        <v>4.0193261831894409</v>
      </c>
      <c r="AO230" s="98">
        <f t="shared" si="163"/>
        <v>1.3193573744408005</v>
      </c>
      <c r="AP230" s="168" t="str">
        <f t="shared" si="164"/>
        <v>-0.00220291256324946+0.00970755421340695i</v>
      </c>
      <c r="AQ230" s="98">
        <f t="shared" si="165"/>
        <v>-40.039726585551591</v>
      </c>
      <c r="AR230" s="169">
        <f t="shared" si="166"/>
        <v>102.78546483843967</v>
      </c>
      <c r="AS230" s="168" t="str">
        <f t="shared" si="167"/>
        <v>0.075624203113461+0.0597972066738977i</v>
      </c>
      <c r="AT230" s="190">
        <f t="shared" si="168"/>
        <v>-20.317634072529994</v>
      </c>
      <c r="AU230" s="169">
        <f t="shared" si="169"/>
        <v>38.3339578595603</v>
      </c>
      <c r="AV230" s="225"/>
      <c r="AX230">
        <f t="shared" si="170"/>
        <v>0</v>
      </c>
      <c r="AY230">
        <f t="shared" si="171"/>
        <v>0</v>
      </c>
    </row>
    <row r="231" spans="14:51" x14ac:dyDescent="0.3">
      <c r="N231" s="170">
        <v>13</v>
      </c>
      <c r="O231" s="199">
        <f t="shared" si="172"/>
        <v>1348.9628825916541</v>
      </c>
      <c r="P231" s="189" t="str">
        <f t="shared" si="138"/>
        <v>20.7142857142857</v>
      </c>
      <c r="Q231" s="160" t="str">
        <f t="shared" si="139"/>
        <v>1+1.93732200316126i</v>
      </c>
      <c r="R231" s="160">
        <f t="shared" si="147"/>
        <v>2.1801872726747025</v>
      </c>
      <c r="S231" s="160">
        <f t="shared" si="148"/>
        <v>1.0942914623774129</v>
      </c>
      <c r="T231" s="160" t="str">
        <f t="shared" si="140"/>
        <v>1+0.00016951567527661i</v>
      </c>
      <c r="U231" s="160">
        <f t="shared" si="149"/>
        <v>1.0000000143677821</v>
      </c>
      <c r="V231" s="160">
        <f t="shared" si="150"/>
        <v>1.6951567365290052E-4</v>
      </c>
      <c r="W231" s="98" t="str">
        <f t="shared" si="141"/>
        <v>1-0.04449786476011i</v>
      </c>
      <c r="X231" s="160">
        <f t="shared" si="151"/>
        <v>1.0009895403890137</v>
      </c>
      <c r="Y231" s="160">
        <f t="shared" si="152"/>
        <v>-4.446853012260895E-2</v>
      </c>
      <c r="Z231" s="98" t="str">
        <f t="shared" si="142"/>
        <v>0.999848234952682-0.00332030362839848i</v>
      </c>
      <c r="AA231" s="160">
        <f t="shared" si="153"/>
        <v>0.9998537479822629</v>
      </c>
      <c r="AB231" s="160">
        <f t="shared" si="154"/>
        <v>-3.3207954039768117E-3</v>
      </c>
      <c r="AC231" s="171" t="str">
        <f t="shared" si="155"/>
        <v>4.01297396109534-8.62398373092587i</v>
      </c>
      <c r="AD231" s="190">
        <f t="shared" si="156"/>
        <v>19.565384579349427</v>
      </c>
      <c r="AE231" s="169">
        <f t="shared" si="157"/>
        <v>-65.046161354664676</v>
      </c>
      <c r="AF231" s="98" t="str">
        <f t="shared" si="143"/>
        <v>-0.0000897803247373448</v>
      </c>
      <c r="AG231" s="98" t="str">
        <f t="shared" si="144"/>
        <v>0.016951567527661i</v>
      </c>
      <c r="AH231" s="98">
        <f t="shared" si="158"/>
        <v>1.6951567527660999E-2</v>
      </c>
      <c r="AI231" s="98">
        <f t="shared" si="159"/>
        <v>1.5707963267948966</v>
      </c>
      <c r="AJ231" s="98" t="str">
        <f t="shared" si="145"/>
        <v>1+1.99180918450017i</v>
      </c>
      <c r="AK231" s="98">
        <f t="shared" si="160"/>
        <v>2.2287448995924213</v>
      </c>
      <c r="AL231" s="98">
        <f t="shared" si="161"/>
        <v>1.1055051713749575</v>
      </c>
      <c r="AM231" s="98" t="str">
        <f t="shared" si="146"/>
        <v>1+3.98361836900035i</v>
      </c>
      <c r="AN231" s="98">
        <f t="shared" si="162"/>
        <v>4.107215030873963</v>
      </c>
      <c r="AO231" s="98">
        <f t="shared" si="163"/>
        <v>1.3248503099494162</v>
      </c>
      <c r="AP231" s="168" t="str">
        <f t="shared" si="164"/>
        <v>-0.00212372516823357+0.00952633981844205i</v>
      </c>
      <c r="AQ231" s="98">
        <f t="shared" si="165"/>
        <v>-40.210832274630562</v>
      </c>
      <c r="AR231" s="169">
        <f t="shared" si="166"/>
        <v>102.56755069702869</v>
      </c>
      <c r="AS231" s="168" t="str">
        <f t="shared" si="167"/>
        <v>0.0736325458088714+0.0565439249357578i</v>
      </c>
      <c r="AT231" s="190">
        <f t="shared" si="168"/>
        <v>-20.645447695281138</v>
      </c>
      <c r="AU231" s="169">
        <f t="shared" si="169"/>
        <v>37.521389342364053</v>
      </c>
      <c r="AV231" s="225"/>
      <c r="AX231">
        <f t="shared" si="170"/>
        <v>0</v>
      </c>
      <c r="AY231">
        <f t="shared" si="171"/>
        <v>0</v>
      </c>
    </row>
    <row r="232" spans="14:51" x14ac:dyDescent="0.3">
      <c r="N232" s="170">
        <v>14</v>
      </c>
      <c r="O232" s="199">
        <f t="shared" si="172"/>
        <v>1380.3842646028863</v>
      </c>
      <c r="P232" s="189" t="str">
        <f t="shared" si="138"/>
        <v>20.7142857142857</v>
      </c>
      <c r="Q232" s="160" t="str">
        <f t="shared" si="139"/>
        <v>1+1.98244802962623i</v>
      </c>
      <c r="R232" s="160">
        <f t="shared" si="147"/>
        <v>2.2203828926941678</v>
      </c>
      <c r="S232" s="160">
        <f t="shared" si="148"/>
        <v>1.1036135184576148</v>
      </c>
      <c r="T232" s="160" t="str">
        <f t="shared" si="140"/>
        <v>1+0.000173464202592295i</v>
      </c>
      <c r="U232" s="160">
        <f t="shared" si="149"/>
        <v>1.0000000150449146</v>
      </c>
      <c r="V232" s="160">
        <f t="shared" si="150"/>
        <v>1.7346420085245895E-4</v>
      </c>
      <c r="W232" s="98" t="str">
        <f t="shared" si="141"/>
        <v>1-0.0455343531804773i</v>
      </c>
      <c r="X232" s="160">
        <f t="shared" si="151"/>
        <v>1.0010361518544495</v>
      </c>
      <c r="Y232" s="160">
        <f t="shared" si="152"/>
        <v>-4.5502922307009502E-2</v>
      </c>
      <c r="Z232" s="98" t="str">
        <f t="shared" si="142"/>
        <v>0.999841082486357-0.00339764343518453i</v>
      </c>
      <c r="AA232" s="160">
        <f t="shared" si="153"/>
        <v>0.99984685537756357</v>
      </c>
      <c r="AB232" s="160">
        <f t="shared" si="154"/>
        <v>-3.3981703857970673E-3</v>
      </c>
      <c r="AC232" s="171" t="str">
        <f t="shared" si="155"/>
        <v>3.85331820071477-8.50835810818531i</v>
      </c>
      <c r="AD232" s="190">
        <f t="shared" si="156"/>
        <v>19.407167463904639</v>
      </c>
      <c r="AE232" s="169">
        <f t="shared" si="157"/>
        <v>-65.634882637129905</v>
      </c>
      <c r="AF232" s="98" t="str">
        <f t="shared" si="143"/>
        <v>-0.0000897803247373448</v>
      </c>
      <c r="AG232" s="98" t="str">
        <f t="shared" si="144"/>
        <v>0.0173464202592295i</v>
      </c>
      <c r="AH232" s="98">
        <f t="shared" si="158"/>
        <v>1.73464202592295E-2</v>
      </c>
      <c r="AI232" s="98">
        <f t="shared" si="159"/>
        <v>1.5707963267948966</v>
      </c>
      <c r="AJ232" s="98" t="str">
        <f t="shared" si="145"/>
        <v>1+2.03820438045947i</v>
      </c>
      <c r="AK232" s="98">
        <f t="shared" si="160"/>
        <v>2.2703033049626153</v>
      </c>
      <c r="AL232" s="98">
        <f t="shared" si="161"/>
        <v>1.1146744433613758</v>
      </c>
      <c r="AM232" s="98" t="str">
        <f t="shared" si="146"/>
        <v>1+4.07640876091894i</v>
      </c>
      <c r="AN232" s="98">
        <f t="shared" si="162"/>
        <v>4.197273923166879</v>
      </c>
      <c r="AO232" s="98">
        <f t="shared" si="163"/>
        <v>1.3302328882013152</v>
      </c>
      <c r="AP232" s="168" t="str">
        <f t="shared" si="164"/>
        <v>-0.00204668626833275+0.00934729128619007i</v>
      </c>
      <c r="AQ232" s="98">
        <f t="shared" si="165"/>
        <v>-40.382905206686971</v>
      </c>
      <c r="AR232" s="169">
        <f t="shared" si="166"/>
        <v>102.35058912773212</v>
      </c>
      <c r="AS232" s="168" t="str">
        <f t="shared" si="167"/>
        <v>0.0716435681555056+0.0534320273465393i</v>
      </c>
      <c r="AT232" s="190">
        <f t="shared" si="168"/>
        <v>-20.975737742782336</v>
      </c>
      <c r="AU232" s="169">
        <f t="shared" si="169"/>
        <v>36.715706490602251</v>
      </c>
      <c r="AV232" s="225"/>
      <c r="AX232">
        <f t="shared" si="170"/>
        <v>0</v>
      </c>
      <c r="AY232">
        <f t="shared" si="171"/>
        <v>0</v>
      </c>
    </row>
    <row r="233" spans="14:51" x14ac:dyDescent="0.3">
      <c r="N233" s="170">
        <v>15</v>
      </c>
      <c r="O233" s="199">
        <f t="shared" si="172"/>
        <v>1412.5375446227545</v>
      </c>
      <c r="P233" s="189" t="str">
        <f t="shared" si="138"/>
        <v>20.7142857142857</v>
      </c>
      <c r="Q233" s="160" t="str">
        <f t="shared" si="139"/>
        <v>1+2.02862517627731i</v>
      </c>
      <c r="R233" s="160">
        <f t="shared" si="147"/>
        <v>2.2617073430986041</v>
      </c>
      <c r="S233" s="160">
        <f t="shared" si="148"/>
        <v>1.11280888262447</v>
      </c>
      <c r="T233" s="160" t="str">
        <f t="shared" si="140"/>
        <v>1+0.000177504702924264i</v>
      </c>
      <c r="U233" s="160">
        <f t="shared" si="149"/>
        <v>1.0000000157539597</v>
      </c>
      <c r="V233" s="160">
        <f t="shared" si="150"/>
        <v>1.7750470105999607E-4</v>
      </c>
      <c r="W233" s="98" t="str">
        <f t="shared" si="141"/>
        <v>1-0.0465949845176193i</v>
      </c>
      <c r="X233" s="160">
        <f t="shared" si="151"/>
        <v>1.0010849577244667</v>
      </c>
      <c r="Y233" s="160">
        <f t="shared" si="152"/>
        <v>-4.6561307700953812E-2</v>
      </c>
      <c r="Z233" s="98" t="str">
        <f t="shared" si="142"/>
        <v>0.999833592934679-0.00347678471749303i</v>
      </c>
      <c r="AA233" s="160">
        <f t="shared" si="153"/>
        <v>0.99983963793832509</v>
      </c>
      <c r="AB233" s="160">
        <f t="shared" si="154"/>
        <v>-3.4773493592714557E-3</v>
      </c>
      <c r="AC233" s="171" t="str">
        <f t="shared" si="155"/>
        <v>3.69797225593788-8.39141014639025i</v>
      </c>
      <c r="AD233" s="190">
        <f t="shared" si="156"/>
        <v>19.247482933429929</v>
      </c>
      <c r="AE233" s="169">
        <f t="shared" si="157"/>
        <v>-66.2176110865326</v>
      </c>
      <c r="AF233" s="98" t="str">
        <f t="shared" si="143"/>
        <v>-0.0000897803247373448</v>
      </c>
      <c r="AG233" s="98" t="str">
        <f t="shared" si="144"/>
        <v>0.0177504702924264i</v>
      </c>
      <c r="AH233" s="98">
        <f t="shared" si="158"/>
        <v>1.77504702924264E-2</v>
      </c>
      <c r="AI233" s="98">
        <f t="shared" si="159"/>
        <v>1.5707963267948966</v>
      </c>
      <c r="AJ233" s="98" t="str">
        <f t="shared" si="145"/>
        <v>1+2.08568025936011i</v>
      </c>
      <c r="AK233" s="98">
        <f t="shared" si="160"/>
        <v>2.3130201348636064</v>
      </c>
      <c r="AL233" s="98">
        <f t="shared" si="161"/>
        <v>1.1237154259987465</v>
      </c>
      <c r="AM233" s="98" t="str">
        <f t="shared" si="146"/>
        <v>1+4.17136051872022i</v>
      </c>
      <c r="AN233" s="98">
        <f t="shared" si="162"/>
        <v>4.2895510927296128</v>
      </c>
      <c r="AO233" s="98">
        <f t="shared" si="163"/>
        <v>1.3355067150160147</v>
      </c>
      <c r="AP233" s="168" t="str">
        <f t="shared" si="164"/>
        <v>-0.00197178796659547+0.00917043169049737i</v>
      </c>
      <c r="AQ233" s="98">
        <f t="shared" si="165"/>
        <v>-40.555925207259264</v>
      </c>
      <c r="AR233" s="169">
        <f t="shared" si="166"/>
        <v>102.13474699832481</v>
      </c>
      <c r="AS233" s="168" t="str">
        <f t="shared" si="167"/>
        <v>0.0696612363393561+0.0504580835158522i</v>
      </c>
      <c r="AT233" s="190">
        <f t="shared" si="168"/>
        <v>-21.308442273829332</v>
      </c>
      <c r="AU233" s="169">
        <f t="shared" si="169"/>
        <v>35.917135911792236</v>
      </c>
      <c r="AV233" s="225"/>
      <c r="AX233">
        <f t="shared" si="170"/>
        <v>0</v>
      </c>
      <c r="AY233">
        <f t="shared" si="171"/>
        <v>0</v>
      </c>
    </row>
    <row r="234" spans="14:51" x14ac:dyDescent="0.3">
      <c r="N234" s="170">
        <v>16</v>
      </c>
      <c r="O234" s="199">
        <f t="shared" si="172"/>
        <v>1445.4397707459289</v>
      </c>
      <c r="P234" s="189" t="str">
        <f t="shared" si="138"/>
        <v>20.7142857142857</v>
      </c>
      <c r="Q234" s="160" t="str">
        <f t="shared" si="139"/>
        <v>1+2.07587792684888i</v>
      </c>
      <c r="R234" s="160">
        <f t="shared" si="147"/>
        <v>2.3041851416885764</v>
      </c>
      <c r="S234" s="160">
        <f t="shared" si="148"/>
        <v>1.1218762093474968</v>
      </c>
      <c r="T234" s="160" t="str">
        <f t="shared" si="140"/>
        <v>1+0.000181639318599277i</v>
      </c>
      <c r="U234" s="160">
        <f t="shared" si="149"/>
        <v>1.0000000164964209</v>
      </c>
      <c r="V234" s="160">
        <f t="shared" si="150"/>
        <v>1.8163931660167791E-4</v>
      </c>
      <c r="W234" s="98" t="str">
        <f t="shared" si="141"/>
        <v>1-0.0476803211323101i</v>
      </c>
      <c r="X234" s="160">
        <f t="shared" si="151"/>
        <v>1.0011360611941218</v>
      </c>
      <c r="Y234" s="160">
        <f t="shared" si="152"/>
        <v>-4.7644237984337208E-2</v>
      </c>
      <c r="Z234" s="98" t="str">
        <f t="shared" si="142"/>
        <v>0.999825750411305-0.00355776943707944i</v>
      </c>
      <c r="AA234" s="160">
        <f t="shared" si="153"/>
        <v>0.99983208035594473</v>
      </c>
      <c r="AB234" s="160">
        <f t="shared" si="154"/>
        <v>-3.5583744661608413E-3</v>
      </c>
      <c r="AC234" s="171" t="str">
        <f t="shared" si="155"/>
        <v>3.54692198324818-8.27331528582128i</v>
      </c>
      <c r="AD234" s="190">
        <f t="shared" si="156"/>
        <v>19.086372707056711</v>
      </c>
      <c r="AE234" s="169">
        <f t="shared" si="157"/>
        <v>-66.794298681293043</v>
      </c>
      <c r="AF234" s="98" t="str">
        <f t="shared" si="143"/>
        <v>-0.0000897803247373448</v>
      </c>
      <c r="AG234" s="98" t="str">
        <f t="shared" si="144"/>
        <v>0.0181639318599277i</v>
      </c>
      <c r="AH234" s="98">
        <f t="shared" si="158"/>
        <v>1.81639318599277E-2</v>
      </c>
      <c r="AI234" s="98">
        <f t="shared" si="159"/>
        <v>1.5707963267948966</v>
      </c>
      <c r="AJ234" s="98" t="str">
        <f t="shared" si="145"/>
        <v>1+2.13426199354151i</v>
      </c>
      <c r="AK234" s="98">
        <f t="shared" si="160"/>
        <v>2.3569205029181148</v>
      </c>
      <c r="AL234" s="98">
        <f t="shared" si="161"/>
        <v>1.1326269999230352</v>
      </c>
      <c r="AM234" s="98" t="str">
        <f t="shared" si="146"/>
        <v>1+4.26852398708302i</v>
      </c>
      <c r="AN234" s="98">
        <f t="shared" si="162"/>
        <v>4.3840959191494795</v>
      </c>
      <c r="AO234" s="98">
        <f t="shared" si="163"/>
        <v>1.3406734126773832</v>
      </c>
      <c r="AP234" s="168" t="str">
        <f t="shared" si="164"/>
        <v>-0.00189901838723416+0.00899578307824488i</v>
      </c>
      <c r="AQ234" s="98">
        <f t="shared" si="165"/>
        <v>-40.729871579976574</v>
      </c>
      <c r="AR234" s="169">
        <f t="shared" si="166"/>
        <v>101.92018139366087</v>
      </c>
      <c r="AS234" s="168" t="str">
        <f t="shared" si="167"/>
        <v>0.0676892795849024+0.0476185186079188i</v>
      </c>
      <c r="AT234" s="190">
        <f t="shared" si="168"/>
        <v>-21.643498872919867</v>
      </c>
      <c r="AU234" s="169">
        <f t="shared" si="169"/>
        <v>35.125882712367833</v>
      </c>
      <c r="AV234" s="225"/>
      <c r="AX234">
        <f t="shared" si="170"/>
        <v>0</v>
      </c>
      <c r="AY234">
        <f t="shared" si="171"/>
        <v>0</v>
      </c>
    </row>
    <row r="235" spans="14:51" x14ac:dyDescent="0.3">
      <c r="N235" s="170">
        <v>17</v>
      </c>
      <c r="O235" s="199">
        <f t="shared" si="172"/>
        <v>1479.1083881682086</v>
      </c>
      <c r="P235" s="189" t="str">
        <f t="shared" si="138"/>
        <v>20.7142857142857</v>
      </c>
      <c r="Q235" s="160" t="str">
        <f t="shared" si="139"/>
        <v>1+2.12423133537476i</v>
      </c>
      <c r="R235" s="160">
        <f t="shared" si="147"/>
        <v>2.3478412991912454</v>
      </c>
      <c r="S235" s="160">
        <f t="shared" si="148"/>
        <v>1.1308143414051741</v>
      </c>
      <c r="T235" s="160" t="str">
        <f t="shared" si="140"/>
        <v>1+0.000185870241845291i</v>
      </c>
      <c r="U235" s="160">
        <f t="shared" si="149"/>
        <v>1.0000000172738732</v>
      </c>
      <c r="V235" s="160">
        <f t="shared" si="150"/>
        <v>1.8587023970482503E-4</v>
      </c>
      <c r="W235" s="98" t="str">
        <f t="shared" si="141"/>
        <v>1-0.0487909384843889i</v>
      </c>
      <c r="X235" s="160">
        <f t="shared" si="151"/>
        <v>1.0011895703003439</v>
      </c>
      <c r="Y235" s="160">
        <f t="shared" si="152"/>
        <v>-4.8752277175404944E-2</v>
      </c>
      <c r="Z235" s="98" t="str">
        <f t="shared" si="142"/>
        <v>0.999817538281191-0.00364064053311404i</v>
      </c>
      <c r="AA235" s="160">
        <f t="shared" si="153"/>
        <v>0.99982416660038398</v>
      </c>
      <c r="AB235" s="160">
        <f t="shared" si="154"/>
        <v>-3.6412888385212888E-3</v>
      </c>
      <c r="AC235" s="171" t="str">
        <f t="shared" si="155"/>
        <v>3.40014515554181-8.15424406301276i</v>
      </c>
      <c r="AD235" s="190">
        <f t="shared" si="156"/>
        <v>18.923878379575651</v>
      </c>
      <c r="AE235" s="169">
        <f t="shared" si="157"/>
        <v>-67.364908836477397</v>
      </c>
      <c r="AF235" s="98" t="str">
        <f t="shared" si="143"/>
        <v>-0.0000897803247373448</v>
      </c>
      <c r="AG235" s="98" t="str">
        <f t="shared" si="144"/>
        <v>0.0185870241845291i</v>
      </c>
      <c r="AH235" s="98">
        <f t="shared" si="158"/>
        <v>1.8587024184529101E-2</v>
      </c>
      <c r="AI235" s="98">
        <f t="shared" si="159"/>
        <v>1.5707963267948966</v>
      </c>
      <c r="AJ235" s="98" t="str">
        <f t="shared" si="145"/>
        <v>1+2.18397534168217i</v>
      </c>
      <c r="AK235" s="98">
        <f t="shared" si="160"/>
        <v>2.4020300358396334</v>
      </c>
      <c r="AL235" s="98">
        <f t="shared" si="161"/>
        <v>1.141408227382134</v>
      </c>
      <c r="AM235" s="98" t="str">
        <f t="shared" si="146"/>
        <v>1+4.36795068336436i</v>
      </c>
      <c r="AN235" s="98">
        <f t="shared" si="162"/>
        <v>4.4809589567751216</v>
      </c>
      <c r="AO235" s="98">
        <f t="shared" si="163"/>
        <v>1.3457346167601714</v>
      </c>
      <c r="AP235" s="168" t="str">
        <f t="shared" si="164"/>
        <v>-0.00182836193552813+0.00882336627615292i</v>
      </c>
      <c r="AQ235" s="98">
        <f t="shared" si="165"/>
        <v>-40.904723195052071</v>
      </c>
      <c r="AR235" s="169">
        <f t="shared" si="166"/>
        <v>101.70703975450822</v>
      </c>
      <c r="AS235" s="168" t="str">
        <f t="shared" si="167"/>
        <v>0.0657311860954439+0.0449096355572511i</v>
      </c>
      <c r="AT235" s="190">
        <f t="shared" si="168"/>
        <v>-21.980844815476427</v>
      </c>
      <c r="AU235" s="169">
        <f t="shared" si="169"/>
        <v>34.34213091803084</v>
      </c>
      <c r="AV235" s="225"/>
      <c r="AX235">
        <f t="shared" si="170"/>
        <v>0</v>
      </c>
      <c r="AY235">
        <f t="shared" si="171"/>
        <v>0</v>
      </c>
    </row>
    <row r="236" spans="14:51" x14ac:dyDescent="0.3">
      <c r="N236" s="170">
        <v>18</v>
      </c>
      <c r="O236" s="199">
        <f t="shared" si="172"/>
        <v>1513.5612484362093</v>
      </c>
      <c r="P236" s="189" t="str">
        <f t="shared" si="138"/>
        <v>20.7142857142857</v>
      </c>
      <c r="Q236" s="160" t="str">
        <f t="shared" si="139"/>
        <v>1+2.17371103947218i</v>
      </c>
      <c r="R236" s="160">
        <f t="shared" si="147"/>
        <v>2.3927013359638569</v>
      </c>
      <c r="S236" s="160">
        <f t="shared" si="148"/>
        <v>1.1396223043609355</v>
      </c>
      <c r="T236" s="160" t="str">
        <f t="shared" si="140"/>
        <v>1+0.000190199715953816i</v>
      </c>
      <c r="U236" s="160">
        <f t="shared" si="149"/>
        <v>1.0000000180879658</v>
      </c>
      <c r="V236" s="160">
        <f t="shared" si="150"/>
        <v>1.901997136602654E-4</v>
      </c>
      <c r="W236" s="98" t="str">
        <f t="shared" si="141"/>
        <v>1-0.0499274254378765i</v>
      </c>
      <c r="X236" s="160">
        <f t="shared" si="151"/>
        <v>1.0012455981480541</v>
      </c>
      <c r="Y236" s="160">
        <f t="shared" si="152"/>
        <v>-4.9886001881848725E-2</v>
      </c>
      <c r="Z236" s="98" t="str">
        <f t="shared" si="142"/>
        <v>0.999808939125309-0.00372544194494886i</v>
      </c>
      <c r="AA236" s="160">
        <f t="shared" si="153"/>
        <v>0.99981587988617238</v>
      </c>
      <c r="AB236" s="160">
        <f t="shared" si="154"/>
        <v>-3.7261366223929819E-3</v>
      </c>
      <c r="AC236" s="171" t="str">
        <f t="shared" si="155"/>
        <v>3.25761198190637-8.03436177984408i</v>
      </c>
      <c r="AD236" s="190">
        <f t="shared" si="156"/>
        <v>18.760041349679998</v>
      </c>
      <c r="AE236" s="169">
        <f t="shared" si="157"/>
        <v>-67.929416100256873</v>
      </c>
      <c r="AF236" s="98" t="str">
        <f t="shared" si="143"/>
        <v>-0.0000897803247373448</v>
      </c>
      <c r="AG236" s="98" t="str">
        <f t="shared" si="144"/>
        <v>0.0190199715953816i</v>
      </c>
      <c r="AH236" s="98">
        <f t="shared" si="158"/>
        <v>1.9019971595381598E-2</v>
      </c>
      <c r="AI236" s="98">
        <f t="shared" si="159"/>
        <v>1.5707963267948966</v>
      </c>
      <c r="AJ236" s="98" t="str">
        <f t="shared" si="145"/>
        <v>1+2.23484666245733i</v>
      </c>
      <c r="AK236" s="98">
        <f t="shared" si="160"/>
        <v>2.4483748905542768</v>
      </c>
      <c r="AL236" s="98">
        <f t="shared" si="161"/>
        <v>1.1500583463160834</v>
      </c>
      <c r="AM236" s="98" t="str">
        <f t="shared" si="146"/>
        <v>1+4.46969332491468i</v>
      </c>
      <c r="AN236" s="98">
        <f t="shared" si="162"/>
        <v>4.5801919630935615</v>
      </c>
      <c r="AO236" s="98">
        <f t="shared" si="163"/>
        <v>1.3506919731450679</v>
      </c>
      <c r="AP236" s="168" t="str">
        <f t="shared" si="164"/>
        <v>-0.00175979955964806+0.00865320072222056i</v>
      </c>
      <c r="AQ236" s="98">
        <f t="shared" si="165"/>
        <v>-41.080458573310345</v>
      </c>
      <c r="AR236" s="169">
        <f t="shared" si="166"/>
        <v>101.49546004570352</v>
      </c>
      <c r="AS236" s="168" t="str">
        <f t="shared" si="167"/>
        <v>0.063790201024665+0.0423276366767694i</v>
      </c>
      <c r="AT236" s="190">
        <f t="shared" si="168"/>
        <v>-22.32041722363034</v>
      </c>
      <c r="AU236" s="169">
        <f t="shared" si="169"/>
        <v>33.566043945446665</v>
      </c>
      <c r="AV236" s="225"/>
      <c r="AX236">
        <f t="shared" si="170"/>
        <v>0</v>
      </c>
      <c r="AY236">
        <f t="shared" si="171"/>
        <v>0</v>
      </c>
    </row>
    <row r="237" spans="14:51" x14ac:dyDescent="0.3">
      <c r="N237" s="170">
        <v>19</v>
      </c>
      <c r="O237" s="199">
        <f t="shared" si="172"/>
        <v>1548.8166189124822</v>
      </c>
      <c r="P237" s="189" t="str">
        <f t="shared" si="138"/>
        <v>20.7142857142857</v>
      </c>
      <c r="Q237" s="160" t="str">
        <f t="shared" si="139"/>
        <v>1+2.22434327393519i</v>
      </c>
      <c r="R237" s="160">
        <f t="shared" si="147"/>
        <v>2.43879129904564</v>
      </c>
      <c r="S237" s="160">
        <f t="shared" si="148"/>
        <v>1.148299300705272</v>
      </c>
      <c r="T237" s="160" t="str">
        <f t="shared" si="140"/>
        <v>1+0.000194630036469329i</v>
      </c>
      <c r="U237" s="160">
        <f t="shared" si="149"/>
        <v>1.0000000189404255</v>
      </c>
      <c r="V237" s="160">
        <f t="shared" si="150"/>
        <v>1.9463003401174524E-4</v>
      </c>
      <c r="W237" s="98" t="str">
        <f t="shared" si="141"/>
        <v>1-0.0510903845731988i</v>
      </c>
      <c r="X237" s="160">
        <f t="shared" si="151"/>
        <v>1.0013042631467406</v>
      </c>
      <c r="Y237" s="160">
        <f t="shared" si="152"/>
        <v>-5.1046001555193572E-2</v>
      </c>
      <c r="Z237" s="98" t="str">
        <f t="shared" si="142"/>
        <v>0.999799934703695-0.00381221863541495i</v>
      </c>
      <c r="AA237" s="160">
        <f t="shared" si="153"/>
        <v>0.99980720263680678</v>
      </c>
      <c r="AB237" s="160">
        <f t="shared" si="154"/>
        <v>-3.8129630020855339E-3</v>
      </c>
      <c r="AC237" s="171" t="str">
        <f t="shared" si="155"/>
        <v>3.11928563211393-7.91382822082975i</v>
      </c>
      <c r="AD237" s="190">
        <f t="shared" si="156"/>
        <v>18.594902753250597</v>
      </c>
      <c r="AE237" s="169">
        <f t="shared" si="157"/>
        <v>-68.487805831392308</v>
      </c>
      <c r="AF237" s="98" t="str">
        <f t="shared" si="143"/>
        <v>-0.0000897803247373448</v>
      </c>
      <c r="AG237" s="98" t="str">
        <f t="shared" si="144"/>
        <v>0.0194630036469329i</v>
      </c>
      <c r="AH237" s="98">
        <f t="shared" si="158"/>
        <v>1.9463003646932899E-2</v>
      </c>
      <c r="AI237" s="98">
        <f t="shared" si="159"/>
        <v>1.5707963267948966</v>
      </c>
      <c r="AJ237" s="98" t="str">
        <f t="shared" si="145"/>
        <v>1+2.28690292851462i</v>
      </c>
      <c r="AK237" s="98">
        <f t="shared" si="160"/>
        <v>2.4959817716579473</v>
      </c>
      <c r="AL237" s="98">
        <f t="shared" si="161"/>
        <v>1.1585767641652962</v>
      </c>
      <c r="AM237" s="98" t="str">
        <f t="shared" si="146"/>
        <v>1+4.57380585702925i</v>
      </c>
      <c r="AN237" s="98">
        <f t="shared" si="162"/>
        <v>4.6818479276664968</v>
      </c>
      <c r="AO237" s="98">
        <f t="shared" si="163"/>
        <v>1.3555471352165465</v>
      </c>
      <c r="AP237" s="168" t="str">
        <f t="shared" si="164"/>
        <v>-0.00169330901240464+0.00848530432092951i</v>
      </c>
      <c r="AQ237" s="98">
        <f t="shared" si="165"/>
        <v>-41.257055965631857</v>
      </c>
      <c r="AR237" s="169">
        <f t="shared" si="166"/>
        <v>101.28557095036244</v>
      </c>
      <c r="AS237" s="168" t="str">
        <f t="shared" si="167"/>
        <v>0.0618693263241777+0.0398686445013429i</v>
      </c>
      <c r="AT237" s="190">
        <f t="shared" si="168"/>
        <v>-22.662153212381256</v>
      </c>
      <c r="AU237" s="169">
        <f t="shared" si="169"/>
        <v>32.79776511897019</v>
      </c>
      <c r="AV237" s="225"/>
      <c r="AX237">
        <f t="shared" si="170"/>
        <v>0</v>
      </c>
      <c r="AY237">
        <f t="shared" si="171"/>
        <v>0</v>
      </c>
    </row>
    <row r="238" spans="14:51" x14ac:dyDescent="0.3">
      <c r="N238" s="170">
        <v>20</v>
      </c>
      <c r="O238" s="199">
        <f t="shared" si="172"/>
        <v>1584.8931924611156</v>
      </c>
      <c r="P238" s="189" t="str">
        <f t="shared" si="138"/>
        <v>20.7142857142857</v>
      </c>
      <c r="Q238" s="160" t="str">
        <f t="shared" si="139"/>
        <v>1+2.27615488464472i</v>
      </c>
      <c r="R238" s="160">
        <f t="shared" si="147"/>
        <v>2.486137779547227</v>
      </c>
      <c r="S238" s="160">
        <f t="shared" si="148"/>
        <v>1.1568447037155434</v>
      </c>
      <c r="T238" s="160" t="str">
        <f t="shared" si="140"/>
        <v>1+0.000199163552406413i</v>
      </c>
      <c r="U238" s="160">
        <f t="shared" si="149"/>
        <v>1.0000000198330601</v>
      </c>
      <c r="V238" s="160">
        <f t="shared" si="150"/>
        <v>1.9916354977306456E-4</v>
      </c>
      <c r="W238" s="98" t="str">
        <f t="shared" si="141"/>
        <v>1-0.0522804325066832i</v>
      </c>
      <c r="X238" s="160">
        <f t="shared" si="151"/>
        <v>1.0013656892579683</v>
      </c>
      <c r="Y238" s="160">
        <f t="shared" si="152"/>
        <v>-5.2232878748373721E-2</v>
      </c>
      <c r="Z238" s="98" t="str">
        <f t="shared" si="142"/>
        <v>0.999790505916765-0.00390101661466222i</v>
      </c>
      <c r="AA238" s="160">
        <f t="shared" si="153"/>
        <v>0.99979811644747996</v>
      </c>
      <c r="AB238" s="160">
        <f t="shared" si="154"/>
        <v>-3.9018142250766092E-3</v>
      </c>
      <c r="AC238" s="171" t="str">
        <f t="shared" si="155"/>
        <v>2.98512276175263-7.79279741695303i</v>
      </c>
      <c r="AD238" s="190">
        <f t="shared" si="156"/>
        <v>18.428503401713343</v>
      </c>
      <c r="AE238" s="169">
        <f t="shared" si="157"/>
        <v>-69.040073860687315</v>
      </c>
      <c r="AF238" s="98" t="str">
        <f t="shared" si="143"/>
        <v>-0.0000897803247373448</v>
      </c>
      <c r="AG238" s="98" t="str">
        <f t="shared" si="144"/>
        <v>0.0199163552406413i</v>
      </c>
      <c r="AH238" s="98">
        <f t="shared" si="158"/>
        <v>1.9916355240641299E-2</v>
      </c>
      <c r="AI238" s="98">
        <f t="shared" si="159"/>
        <v>1.5707963267948966</v>
      </c>
      <c r="AJ238" s="98" t="str">
        <f t="shared" si="145"/>
        <v>1+2.34017174077535i</v>
      </c>
      <c r="AK238" s="98">
        <f t="shared" si="160"/>
        <v>2.5448779491998299</v>
      </c>
      <c r="AL238" s="98">
        <f t="shared" si="161"/>
        <v>1.1669630514560234</v>
      </c>
      <c r="AM238" s="98" t="str">
        <f t="shared" si="146"/>
        <v>1+4.68034348155071i</v>
      </c>
      <c r="AN238" s="98">
        <f t="shared" si="162"/>
        <v>4.7859811016440741</v>
      </c>
      <c r="AO238" s="98">
        <f t="shared" si="163"/>
        <v>1.3603017612374979</v>
      </c>
      <c r="AP238" s="168" t="str">
        <f t="shared" si="164"/>
        <v>-0.00162886511109821+0.00831969332119495i</v>
      </c>
      <c r="AQ238" s="98">
        <f t="shared" si="165"/>
        <v>-41.434493427749651</v>
      </c>
      <c r="AR238" s="169">
        <f t="shared" si="166"/>
        <v>101.07749208698323</v>
      </c>
      <c r="AS238" s="168" t="str">
        <f t="shared" si="167"/>
        <v>0.0599713223042854+0.0375287217342314i</v>
      </c>
      <c r="AT238" s="190">
        <f t="shared" si="168"/>
        <v>-23.005990026036311</v>
      </c>
      <c r="AU238" s="169">
        <f t="shared" si="169"/>
        <v>32.037418226295898</v>
      </c>
      <c r="AV238" s="225"/>
      <c r="AX238">
        <f t="shared" si="170"/>
        <v>0</v>
      </c>
      <c r="AY238">
        <f t="shared" si="171"/>
        <v>0</v>
      </c>
    </row>
    <row r="239" spans="14:51" x14ac:dyDescent="0.3">
      <c r="N239" s="170">
        <v>21</v>
      </c>
      <c r="O239" s="199">
        <f t="shared" si="172"/>
        <v>1621.8100973589308</v>
      </c>
      <c r="P239" s="189" t="str">
        <f t="shared" si="138"/>
        <v>20.7142857142857</v>
      </c>
      <c r="Q239" s="160" t="str">
        <f t="shared" si="139"/>
        <v>1+2.32917334280254i</v>
      </c>
      <c r="R239" s="160">
        <f t="shared" si="147"/>
        <v>2.5347679303679773</v>
      </c>
      <c r="S239" s="160">
        <f t="shared" si="148"/>
        <v>1.1652580510831079</v>
      </c>
      <c r="T239" s="160" t="str">
        <f t="shared" si="140"/>
        <v>1+0.000203802667495222i</v>
      </c>
      <c r="U239" s="160">
        <f t="shared" si="149"/>
        <v>1.0000000207677635</v>
      </c>
      <c r="V239" s="160">
        <f t="shared" si="150"/>
        <v>2.0380266467353832E-4</v>
      </c>
      <c r="W239" s="98" t="str">
        <f t="shared" si="141"/>
        <v>1-0.0534982002174956i</v>
      </c>
      <c r="X239" s="160">
        <f t="shared" si="151"/>
        <v>1.001430006254312</v>
      </c>
      <c r="Y239" s="160">
        <f t="shared" si="152"/>
        <v>-5.3447249376379367E-2</v>
      </c>
      <c r="Z239" s="98" t="str">
        <f t="shared" si="142"/>
        <v>0.999780632764797-0.00399188296455463i</v>
      </c>
      <c r="AA239" s="160">
        <f t="shared" si="153"/>
        <v>0.99978860204604292</v>
      </c>
      <c r="AB239" s="160">
        <f t="shared" si="154"/>
        <v>-3.9927376275417812E-3</v>
      </c>
      <c r="AC239" s="171" t="str">
        <f t="shared" si="155"/>
        <v>2.85507403426873-7.67141745409625i</v>
      </c>
      <c r="AD239" s="190">
        <f t="shared" si="156"/>
        <v>18.260883725460438</v>
      </c>
      <c r="AE239" s="169">
        <f t="shared" si="157"/>
        <v>-69.586226139250925</v>
      </c>
      <c r="AF239" s="98" t="str">
        <f t="shared" si="143"/>
        <v>-0.0000897803247373448</v>
      </c>
      <c r="AG239" s="98" t="str">
        <f t="shared" si="144"/>
        <v>0.0203802667495223i</v>
      </c>
      <c r="AH239" s="98">
        <f t="shared" si="158"/>
        <v>2.0380266749522299E-2</v>
      </c>
      <c r="AI239" s="98">
        <f t="shared" si="159"/>
        <v>1.5707963267948966</v>
      </c>
      <c r="AJ239" s="98" t="str">
        <f t="shared" si="145"/>
        <v>1+2.39468134306886i</v>
      </c>
      <c r="AK239" s="98">
        <f t="shared" si="160"/>
        <v>2.5950912767843213</v>
      </c>
      <c r="AL239" s="98">
        <f t="shared" si="161"/>
        <v>1.1752169352099191</v>
      </c>
      <c r="AM239" s="98" t="str">
        <f t="shared" si="146"/>
        <v>1+4.78936268613773i</v>
      </c>
      <c r="AN239" s="98">
        <f t="shared" si="162"/>
        <v>4.8926470278744221</v>
      </c>
      <c r="AO239" s="98">
        <f t="shared" si="163"/>
        <v>1.3649575118944104</v>
      </c>
      <c r="AP239" s="168" t="str">
        <f t="shared" si="164"/>
        <v>-0.0015664399938276+0.00815638221593926i</v>
      </c>
      <c r="AQ239" s="98">
        <f t="shared" si="165"/>
        <v>-41.612748890366753</v>
      </c>
      <c r="AR239" s="169">
        <f t="shared" si="166"/>
        <v>100.87133424639967</v>
      </c>
      <c r="AS239" s="168" t="str">
        <f t="shared" si="167"/>
        <v>0.0580987107410194+0.0353038901877429i</v>
      </c>
      <c r="AT239" s="190">
        <f t="shared" si="168"/>
        <v>-23.351865164906318</v>
      </c>
      <c r="AU239" s="169">
        <f t="shared" si="169"/>
        <v>31.285108107148773</v>
      </c>
      <c r="AV239" s="225"/>
      <c r="AX239">
        <f t="shared" si="170"/>
        <v>0</v>
      </c>
      <c r="AY239">
        <f t="shared" si="171"/>
        <v>0</v>
      </c>
    </row>
    <row r="240" spans="14:51" x14ac:dyDescent="0.3">
      <c r="N240" s="170">
        <v>22</v>
      </c>
      <c r="O240" s="199">
        <f t="shared" si="172"/>
        <v>1659.5869074375626</v>
      </c>
      <c r="P240" s="189" t="str">
        <f t="shared" si="138"/>
        <v>20.7142857142857</v>
      </c>
      <c r="Q240" s="160" t="str">
        <f t="shared" si="139"/>
        <v>1+2.38342675949698i</v>
      </c>
      <c r="R240" s="160">
        <f t="shared" si="147"/>
        <v>2.5847094842334362</v>
      </c>
      <c r="S240" s="160">
        <f t="shared" si="148"/>
        <v>1.1735390383552027</v>
      </c>
      <c r="T240" s="160" t="str">
        <f t="shared" si="140"/>
        <v>1+0.000208549841455986i</v>
      </c>
      <c r="U240" s="160">
        <f t="shared" si="149"/>
        <v>1.0000000217465179</v>
      </c>
      <c r="V240" s="160">
        <f t="shared" si="150"/>
        <v>2.0854983843249749E-4</v>
      </c>
      <c r="W240" s="98" t="str">
        <f t="shared" si="141"/>
        <v>1-0.0547443333821962i</v>
      </c>
      <c r="X240" s="160">
        <f t="shared" si="151"/>
        <v>1.001497349990234</v>
      </c>
      <c r="Y240" s="160">
        <f t="shared" si="152"/>
        <v>-5.4689742979847196E-2</v>
      </c>
      <c r="Z240" s="98" t="str">
        <f t="shared" si="142"/>
        <v>0.999770294305512-0.00408486586363369i</v>
      </c>
      <c r="AA240" s="160">
        <f t="shared" si="153"/>
        <v>0.99977863925213672</v>
      </c>
      <c r="AB240" s="160">
        <f t="shared" si="154"/>
        <v>-4.0857816605339558E-3</v>
      </c>
      <c r="AC240" s="171" t="str">
        <f t="shared" si="155"/>
        <v>2.72908463655232-7.54983032388419i</v>
      </c>
      <c r="AD240" s="190">
        <f t="shared" si="156"/>
        <v>18.09208372229541</v>
      </c>
      <c r="AE240" s="169">
        <f t="shared" si="157"/>
        <v>-70.126278376273959</v>
      </c>
      <c r="AF240" s="98" t="str">
        <f t="shared" si="143"/>
        <v>-0.0000897803247373448</v>
      </c>
      <c r="AG240" s="98" t="str">
        <f t="shared" si="144"/>
        <v>0.0208549841455986i</v>
      </c>
      <c r="AH240" s="98">
        <f t="shared" si="158"/>
        <v>2.0854984145598599E-2</v>
      </c>
      <c r="AI240" s="98">
        <f t="shared" si="159"/>
        <v>1.5707963267948966</v>
      </c>
      <c r="AJ240" s="98" t="str">
        <f t="shared" si="145"/>
        <v>1+2.45046063710784i</v>
      </c>
      <c r="AK240" s="98">
        <f t="shared" si="160"/>
        <v>2.6466502099852485</v>
      </c>
      <c r="AL240" s="98">
        <f t="shared" si="161"/>
        <v>1.1833382922220954</v>
      </c>
      <c r="AM240" s="98" t="str">
        <f t="shared" si="146"/>
        <v>1+4.90092127421568i</v>
      </c>
      <c r="AN240" s="98">
        <f t="shared" si="162"/>
        <v>5.0019025716281043</v>
      </c>
      <c r="AO240" s="98">
        <f t="shared" si="163"/>
        <v>1.3695160480067228</v>
      </c>
      <c r="AP240" s="168" t="str">
        <f t="shared" si="164"/>
        <v>-0.0015060033707965+0.00799538366207078i</v>
      </c>
      <c r="AQ240" s="98">
        <f t="shared" si="165"/>
        <v>-41.791800224603904</v>
      </c>
      <c r="AR240" s="169">
        <f t="shared" si="166"/>
        <v>100.66719964567649</v>
      </c>
      <c r="AS240" s="168" t="str">
        <f t="shared" si="167"/>
        <v>0.0562537793611535+0.03319014863221i</v>
      </c>
      <c r="AT240" s="190">
        <f t="shared" si="168"/>
        <v>-23.699716502308487</v>
      </c>
      <c r="AU240" s="169">
        <f t="shared" si="169"/>
        <v>30.540921269402517</v>
      </c>
      <c r="AV240" s="225"/>
      <c r="AX240">
        <f t="shared" si="170"/>
        <v>0</v>
      </c>
      <c r="AY240">
        <f t="shared" si="171"/>
        <v>0</v>
      </c>
    </row>
    <row r="241" spans="14:51" x14ac:dyDescent="0.3">
      <c r="N241" s="170">
        <v>23</v>
      </c>
      <c r="O241" s="199">
        <f t="shared" si="172"/>
        <v>1698.2436524617447</v>
      </c>
      <c r="P241" s="189" t="str">
        <f t="shared" si="138"/>
        <v>20.7142857142857</v>
      </c>
      <c r="Q241" s="160" t="str">
        <f t="shared" si="139"/>
        <v>1+2.43894390060768i</v>
      </c>
      <c r="R241" s="160">
        <f t="shared" si="147"/>
        <v>2.6359907720459499</v>
      </c>
      <c r="S241" s="160">
        <f t="shared" si="148"/>
        <v>1.181687512236397</v>
      </c>
      <c r="T241" s="160" t="str">
        <f t="shared" si="140"/>
        <v>1+0.000213407591303172i</v>
      </c>
      <c r="U241" s="160">
        <f t="shared" si="149"/>
        <v>1.0000000227713997</v>
      </c>
      <c r="V241" s="160">
        <f t="shared" si="150"/>
        <v>2.1340758806344566E-4</v>
      </c>
      <c r="W241" s="98" t="str">
        <f t="shared" si="141"/>
        <v>1-0.0560194927170825i</v>
      </c>
      <c r="X241" s="160">
        <f t="shared" si="151"/>
        <v>1.0015678626854394</v>
      </c>
      <c r="Y241" s="160">
        <f t="shared" si="152"/>
        <v>-5.5961002991436748E-2</v>
      </c>
      <c r="Z241" s="98" t="str">
        <f t="shared" si="142"/>
        <v>0.999759468609651-0.00418001461266321i</v>
      </c>
      <c r="AA241" s="160">
        <f t="shared" si="153"/>
        <v>0.99976820693439428</v>
      </c>
      <c r="AB241" s="160">
        <f t="shared" si="154"/>
        <v>-4.1809959168311777E-3</v>
      </c>
      <c r="AC241" s="171" t="str">
        <f t="shared" si="155"/>
        <v>2.60709478506297-7.42817181456807i</v>
      </c>
      <c r="AD241" s="190">
        <f t="shared" si="156"/>
        <v>17.922142910831894</v>
      </c>
      <c r="AE241" s="169">
        <f t="shared" si="157"/>
        <v>-70.660255668879671</v>
      </c>
      <c r="AF241" s="98" t="str">
        <f t="shared" si="143"/>
        <v>-0.0000897803247373448</v>
      </c>
      <c r="AG241" s="98" t="str">
        <f t="shared" si="144"/>
        <v>0.0213407591303173i</v>
      </c>
      <c r="AH241" s="98">
        <f t="shared" si="158"/>
        <v>2.1340759130317299E-2</v>
      </c>
      <c r="AI241" s="98">
        <f t="shared" si="159"/>
        <v>1.5707963267948966</v>
      </c>
      <c r="AJ241" s="98" t="str">
        <f t="shared" si="145"/>
        <v>1+2.50753919781227i</v>
      </c>
      <c r="AK241" s="98">
        <f t="shared" si="160"/>
        <v>2.6995838250673012</v>
      </c>
      <c r="AL241" s="98">
        <f t="shared" si="161"/>
        <v>1.1913271422492859</v>
      </c>
      <c r="AM241" s="98" t="str">
        <f t="shared" si="146"/>
        <v>1+5.01507839562455i</v>
      </c>
      <c r="AN241" s="98">
        <f t="shared" si="162"/>
        <v>5.1138059519559507</v>
      </c>
      <c r="AO241" s="98">
        <f t="shared" si="163"/>
        <v>1.3739790283938382</v>
      </c>
      <c r="AP241" s="168" t="str">
        <f t="shared" si="164"/>
        <v>-0.00144752276933563+0.0078367084195872i</v>
      </c>
      <c r="AQ241" s="98">
        <f t="shared" si="165"/>
        <v>-41.971625302816598</v>
      </c>
      <c r="AR241" s="169">
        <f t="shared" si="166"/>
        <v>100.46518219618686</v>
      </c>
      <c r="AS241" s="168" t="str">
        <f t="shared" si="167"/>
        <v>0.0544385875381711+0.0311834894888893i</v>
      </c>
      <c r="AT241" s="190">
        <f t="shared" si="168"/>
        <v>-24.049482391984711</v>
      </c>
      <c r="AU241" s="169">
        <f t="shared" si="169"/>
        <v>29.804926527307192</v>
      </c>
      <c r="AV241" s="225"/>
      <c r="AX241">
        <f t="shared" si="170"/>
        <v>0</v>
      </c>
      <c r="AY241">
        <f t="shared" si="171"/>
        <v>0</v>
      </c>
    </row>
    <row r="242" spans="14:51" x14ac:dyDescent="0.3">
      <c r="N242" s="170">
        <v>24</v>
      </c>
      <c r="O242" s="199">
        <f t="shared" si="172"/>
        <v>1737.8008287493772</v>
      </c>
      <c r="P242" s="189" t="str">
        <f t="shared" si="138"/>
        <v>20.7142857142857</v>
      </c>
      <c r="Q242" s="160" t="str">
        <f t="shared" si="139"/>
        <v>1+2.49575420205774i</v>
      </c>
      <c r="R242" s="160">
        <f t="shared" si="147"/>
        <v>2.6886407415437392</v>
      </c>
      <c r="S242" s="160">
        <f t="shared" si="148"/>
        <v>1.1897034637919213</v>
      </c>
      <c r="T242" s="160" t="str">
        <f t="shared" si="140"/>
        <v>1+0.000218378492680052i</v>
      </c>
      <c r="U242" s="160">
        <f t="shared" si="149"/>
        <v>1.0000000238445828</v>
      </c>
      <c r="V242" s="160">
        <f t="shared" si="150"/>
        <v>2.183784892086227E-4</v>
      </c>
      <c r="W242" s="98" t="str">
        <f t="shared" si="141"/>
        <v>1-0.0573243543285135i</v>
      </c>
      <c r="X242" s="160">
        <f t="shared" si="151"/>
        <v>1.0016416932212739</v>
      </c>
      <c r="Y242" s="160">
        <f t="shared" si="152"/>
        <v>-5.7261687004837712E-2</v>
      </c>
      <c r="Z242" s="98" t="str">
        <f t="shared" si="142"/>
        <v>0.999748132714464-0.00427737966076943i</v>
      </c>
      <c r="AA242" s="160">
        <f t="shared" si="153"/>
        <v>0.9997572829656306</v>
      </c>
      <c r="AB242" s="160">
        <f t="shared" si="154"/>
        <v>-4.2784311584731635E-3</v>
      </c>
      <c r="AC242" s="171" t="str">
        <f t="shared" si="155"/>
        <v>2.48904021985111-7.30657143943483i</v>
      </c>
      <c r="AD242" s="190">
        <f t="shared" si="156"/>
        <v>17.751100288748514</v>
      </c>
      <c r="AE242" s="169">
        <f t="shared" si="157"/>
        <v>-71.188192126462525</v>
      </c>
      <c r="AF242" s="98" t="str">
        <f t="shared" si="143"/>
        <v>-0.0000897803247373448</v>
      </c>
      <c r="AG242" s="98" t="str">
        <f t="shared" si="144"/>
        <v>0.0218378492680052i</v>
      </c>
      <c r="AH242" s="98">
        <f t="shared" si="158"/>
        <v>2.1837849268005201E-2</v>
      </c>
      <c r="AI242" s="98">
        <f t="shared" si="159"/>
        <v>1.5707963267948966</v>
      </c>
      <c r="AJ242" s="98" t="str">
        <f t="shared" si="145"/>
        <v>1+2.56594728899061i</v>
      </c>
      <c r="AK242" s="98">
        <f t="shared" si="160"/>
        <v>2.7539218380117942</v>
      </c>
      <c r="AL242" s="98">
        <f t="shared" si="161"/>
        <v>1.1991836411470493</v>
      </c>
      <c r="AM242" s="98" t="str">
        <f t="shared" si="146"/>
        <v>1+5.13189457798123i</v>
      </c>
      <c r="AN242" s="98">
        <f t="shared" si="162"/>
        <v>5.2284167737005385</v>
      </c>
      <c r="AO242" s="98">
        <f t="shared" si="163"/>
        <v>1.3783481078932869</v>
      </c>
      <c r="AP242" s="168" t="str">
        <f t="shared" si="164"/>
        <v>-0.00139096377153409+0.00768036530847618i</v>
      </c>
      <c r="AQ242" s="98">
        <f t="shared" si="165"/>
        <v>-42.152202054851188</v>
      </c>
      <c r="AR242" s="169">
        <f t="shared" si="166"/>
        <v>100.26536778327137</v>
      </c>
      <c r="AS242" s="168" t="str">
        <f t="shared" si="167"/>
        <v>0.052654973035634+0.0292799143223259i</v>
      </c>
      <c r="AT242" s="190">
        <f t="shared" si="168"/>
        <v>-24.401101766102677</v>
      </c>
      <c r="AU242" s="169">
        <f t="shared" si="169"/>
        <v>29.077175656808834</v>
      </c>
      <c r="AV242" s="225"/>
      <c r="AX242">
        <f t="shared" si="170"/>
        <v>0</v>
      </c>
      <c r="AY242">
        <f t="shared" si="171"/>
        <v>0</v>
      </c>
    </row>
    <row r="243" spans="14:51" x14ac:dyDescent="0.3">
      <c r="N243" s="170">
        <v>25</v>
      </c>
      <c r="O243" s="199">
        <f t="shared" si="172"/>
        <v>1778.2794100389244</v>
      </c>
      <c r="P243" s="189" t="str">
        <f t="shared" si="138"/>
        <v>20.7142857142857</v>
      </c>
      <c r="Q243" s="160" t="str">
        <f t="shared" si="139"/>
        <v>1+2.55388778542094i</v>
      </c>
      <c r="R243" s="160">
        <f t="shared" si="147"/>
        <v>2.742688976264402</v>
      </c>
      <c r="S243" s="160">
        <f t="shared" si="148"/>
        <v>1.1975870215922446</v>
      </c>
      <c r="T243" s="160" t="str">
        <f t="shared" si="140"/>
        <v>1+0.000223465181224332i</v>
      </c>
      <c r="U243" s="160">
        <f t="shared" si="149"/>
        <v>1.0000000249683434</v>
      </c>
      <c r="V243" s="160">
        <f t="shared" si="150"/>
        <v>2.2346517750462851E-4</v>
      </c>
      <c r="W243" s="98" t="str">
        <f t="shared" si="141"/>
        <v>1-0.058659610071387i</v>
      </c>
      <c r="X243" s="160">
        <f t="shared" si="151"/>
        <v>1.0017189974507457</v>
      </c>
      <c r="Y243" s="160">
        <f t="shared" si="152"/>
        <v>-5.8592467046207568E-2</v>
      </c>
      <c r="Z243" s="98" t="str">
        <f t="shared" si="142"/>
        <v>0.999736262574995-0.0043770126321896i</v>
      </c>
      <c r="AA243" s="160">
        <f t="shared" si="153"/>
        <v>0.9997458441759095</v>
      </c>
      <c r="AB243" s="160">
        <f t="shared" si="154"/>
        <v>-4.3781393450063981E-3</v>
      </c>
      <c r="AC243" s="171" t="str">
        <f t="shared" si="155"/>
        <v>2.37485268418627-7.18515240012748i</v>
      </c>
      <c r="AD243" s="190">
        <f t="shared" si="156"/>
        <v>17.578994295779733</v>
      </c>
      <c r="AE243" s="169">
        <f t="shared" si="157"/>
        <v>-71.710130491757042</v>
      </c>
      <c r="AF243" s="98" t="str">
        <f t="shared" si="143"/>
        <v>-0.0000897803247373448</v>
      </c>
      <c r="AG243" s="98" t="str">
        <f t="shared" si="144"/>
        <v>0.0223465181224331i</v>
      </c>
      <c r="AH243" s="98">
        <f t="shared" si="158"/>
        <v>2.2346518122433101E-2</v>
      </c>
      <c r="AI243" s="98">
        <f t="shared" si="159"/>
        <v>1.5707963267948966</v>
      </c>
      <c r="AJ243" s="98" t="str">
        <f t="shared" si="145"/>
        <v>1+2.6257158793859i</v>
      </c>
      <c r="AK243" s="98">
        <f t="shared" si="160"/>
        <v>2.8096946238442482</v>
      </c>
      <c r="AL243" s="98">
        <f t="shared" si="161"/>
        <v>1.2069080739918712</v>
      </c>
      <c r="AM243" s="98" t="str">
        <f t="shared" si="146"/>
        <v>1+5.25143175877182i</v>
      </c>
      <c r="AN243" s="98">
        <f t="shared" si="162"/>
        <v>5.3457960601801204</v>
      </c>
      <c r="AO243" s="98">
        <f t="shared" si="163"/>
        <v>1.3826249355234488</v>
      </c>
      <c r="AP243" s="168" t="str">
        <f t="shared" si="164"/>
        <v>-0.0013362902435431+0.00752636118206172i</v>
      </c>
      <c r="AQ243" s="98">
        <f t="shared" si="165"/>
        <v>-42.333508519834091</v>
      </c>
      <c r="AR243" s="169">
        <f t="shared" si="166"/>
        <v>100.06783455504403</v>
      </c>
      <c r="AS243" s="168" t="str">
        <f t="shared" si="167"/>
        <v>0.0509045596397868+0.0274754481060353i</v>
      </c>
      <c r="AT243" s="190">
        <f t="shared" si="168"/>
        <v>-24.754514224054351</v>
      </c>
      <c r="AU243" s="169">
        <f t="shared" si="169"/>
        <v>28.357704063287038</v>
      </c>
      <c r="AV243" s="225"/>
      <c r="AX243">
        <f t="shared" si="170"/>
        <v>0</v>
      </c>
      <c r="AY243">
        <f t="shared" si="171"/>
        <v>0</v>
      </c>
    </row>
    <row r="244" spans="14:51" x14ac:dyDescent="0.3">
      <c r="N244" s="170">
        <v>26</v>
      </c>
      <c r="O244" s="199">
        <f t="shared" si="172"/>
        <v>1819.7008586099832</v>
      </c>
      <c r="P244" s="189" t="str">
        <f t="shared" si="138"/>
        <v>20.7142857142857</v>
      </c>
      <c r="Q244" s="160" t="str">
        <f t="shared" si="139"/>
        <v>1+2.61337547389264i</v>
      </c>
      <c r="R244" s="160">
        <f t="shared" si="147"/>
        <v>2.7981657148109687</v>
      </c>
      <c r="S244" s="160">
        <f t="shared" si="148"/>
        <v>1.2053384448355047</v>
      </c>
      <c r="T244" s="160" t="str">
        <f t="shared" si="140"/>
        <v>1+0.000228670353965606i</v>
      </c>
      <c r="U244" s="160">
        <f t="shared" si="149"/>
        <v>1.000000026145065</v>
      </c>
      <c r="V244" s="160">
        <f t="shared" si="150"/>
        <v>2.286703499798719E-4</v>
      </c>
      <c r="W244" s="98" t="str">
        <f t="shared" si="141"/>
        <v>1-0.0600259679159714i</v>
      </c>
      <c r="X244" s="160">
        <f t="shared" si="151"/>
        <v>1.0017999385227816</v>
      </c>
      <c r="Y244" s="160">
        <f t="shared" si="152"/>
        <v>-5.9954029847842844E-2</v>
      </c>
      <c r="Z244" s="98" t="str">
        <f t="shared" si="142"/>
        <v>0.999723833013088-0.00447896635364393i</v>
      </c>
      <c r="AA244" s="160">
        <f t="shared" si="153"/>
        <v>0.99973386630341665</v>
      </c>
      <c r="AB244" s="160">
        <f t="shared" si="154"/>
        <v>-4.4801736624597742E-3</v>
      </c>
      <c r="AC244" s="171" t="str">
        <f t="shared" si="155"/>
        <v>2.26446038784478-7.06403158220432i</v>
      </c>
      <c r="AD244" s="190">
        <f t="shared" si="156"/>
        <v>17.405862781303195</v>
      </c>
      <c r="AE244" s="169">
        <f t="shared" si="157"/>
        <v>-72.226121760721156</v>
      </c>
      <c r="AF244" s="98" t="str">
        <f t="shared" si="143"/>
        <v>-0.0000897803247373448</v>
      </c>
      <c r="AG244" s="98" t="str">
        <f t="shared" si="144"/>
        <v>0.0228670353965607i</v>
      </c>
      <c r="AH244" s="98">
        <f t="shared" si="158"/>
        <v>2.2867035396560698E-2</v>
      </c>
      <c r="AI244" s="98">
        <f t="shared" si="159"/>
        <v>1.5707963267948966</v>
      </c>
      <c r="AJ244" s="98" t="str">
        <f t="shared" si="145"/>
        <v>1+2.68687665909587i</v>
      </c>
      <c r="AK244" s="98">
        <f t="shared" si="160"/>
        <v>2.8669332362638276</v>
      </c>
      <c r="AL244" s="98">
        <f t="shared" si="161"/>
        <v>1.2145008482212791</v>
      </c>
      <c r="AM244" s="98" t="str">
        <f t="shared" si="146"/>
        <v>1+5.37375331819175i</v>
      </c>
      <c r="AN244" s="98">
        <f t="shared" si="162"/>
        <v>5.4660062865657997</v>
      </c>
      <c r="AO244" s="98">
        <f t="shared" si="163"/>
        <v>1.3868111527843412</v>
      </c>
      <c r="AP244" s="168" t="str">
        <f t="shared" si="164"/>
        <v>-0.00128346455577657+0.00737470091543655i</v>
      </c>
      <c r="AQ244" s="98">
        <f t="shared" si="165"/>
        <v>-42.515522893610409</v>
      </c>
      <c r="AR244" s="169">
        <f t="shared" si="166"/>
        <v>99.872653218077261</v>
      </c>
      <c r="AS244" s="168" t="str">
        <f t="shared" si="167"/>
        <v>0.0491887655301961+0.0257661522518542i</v>
      </c>
      <c r="AT244" s="190">
        <f t="shared" si="168"/>
        <v>-25.109660112307211</v>
      </c>
      <c r="AU244" s="169">
        <f t="shared" si="169"/>
        <v>27.646531457356073</v>
      </c>
      <c r="AV244" s="225"/>
      <c r="AX244">
        <f t="shared" si="170"/>
        <v>0</v>
      </c>
      <c r="AY244">
        <f t="shared" si="171"/>
        <v>0</v>
      </c>
    </row>
    <row r="245" spans="14:51" x14ac:dyDescent="0.3">
      <c r="N245" s="170">
        <v>27</v>
      </c>
      <c r="O245" s="199">
        <f t="shared" si="172"/>
        <v>1862.0871366628687</v>
      </c>
      <c r="P245" s="189" t="str">
        <f t="shared" si="138"/>
        <v>20.7142857142857</v>
      </c>
      <c r="Q245" s="160" t="str">
        <f t="shared" si="139"/>
        <v>1+2.67424880863273i</v>
      </c>
      <c r="R245" s="160">
        <f t="shared" si="147"/>
        <v>2.8551018704196132</v>
      </c>
      <c r="S245" s="160">
        <f t="shared" si="148"/>
        <v>1.212958116481399</v>
      </c>
      <c r="T245" s="160" t="str">
        <f t="shared" si="140"/>
        <v>1+0.000233996770755364i</v>
      </c>
      <c r="U245" s="160">
        <f t="shared" si="149"/>
        <v>1.000000027377244</v>
      </c>
      <c r="V245" s="160">
        <f t="shared" si="150"/>
        <v>2.3399676648457296E-4</v>
      </c>
      <c r="W245" s="98" t="str">
        <f t="shared" si="141"/>
        <v>1-0.0614241523232829i</v>
      </c>
      <c r="X245" s="160">
        <f t="shared" si="151"/>
        <v>1.0018846872213558</v>
      </c>
      <c r="Y245" s="160">
        <f t="shared" si="152"/>
        <v>-6.1347077123849708E-2</v>
      </c>
      <c r="Z245" s="98" t="str">
        <f t="shared" si="142"/>
        <v>0.999710817663975-0.00458329488234511i</v>
      </c>
      <c r="AA245" s="160">
        <f t="shared" si="153"/>
        <v>0.9997213239430035</v>
      </c>
      <c r="AB245" s="160">
        <f t="shared" si="154"/>
        <v>-4.5845885530728034E-3</v>
      </c>
      <c r="AC245" s="171" t="str">
        <f t="shared" si="155"/>
        <v>2.15778845243712-6.94331958024047i</v>
      </c>
      <c r="AD245" s="190">
        <f t="shared" si="156"/>
        <v>17.23174297636637</v>
      </c>
      <c r="AE245" s="169">
        <f t="shared" si="157"/>
        <v>-72.736224803147635</v>
      </c>
      <c r="AF245" s="98" t="str">
        <f t="shared" si="143"/>
        <v>-0.0000897803247373448</v>
      </c>
      <c r="AG245" s="98" t="str">
        <f t="shared" si="144"/>
        <v>0.0233996770755365i</v>
      </c>
      <c r="AH245" s="98">
        <f t="shared" si="158"/>
        <v>2.3399677075536501E-2</v>
      </c>
      <c r="AI245" s="98">
        <f t="shared" si="159"/>
        <v>1.5707963267948966</v>
      </c>
      <c r="AJ245" s="98" t="str">
        <f t="shared" si="145"/>
        <v>1+2.74946205637553i</v>
      </c>
      <c r="AK245" s="98">
        <f t="shared" si="160"/>
        <v>2.9256694275752957</v>
      </c>
      <c r="AL245" s="98">
        <f t="shared" si="161"/>
        <v>1.2219624868220311</v>
      </c>
      <c r="AM245" s="98" t="str">
        <f t="shared" si="146"/>
        <v>1+5.49892411275107i</v>
      </c>
      <c r="AN245" s="98">
        <f t="shared" si="162"/>
        <v>5.5891114139722742</v>
      </c>
      <c r="AO245" s="98">
        <f t="shared" si="163"/>
        <v>1.3909083920900036</v>
      </c>
      <c r="AP245" s="168" t="str">
        <f t="shared" si="164"/>
        <v>-0.0012324477933862+0.00722538740762912i</v>
      </c>
      <c r="AQ245" s="98">
        <f t="shared" si="165"/>
        <v>-42.698223571966125</v>
      </c>
      <c r="AR245" s="169">
        <f t="shared" si="166"/>
        <v>99.679887337871818</v>
      </c>
      <c r="AS245" s="168" t="str">
        <f t="shared" si="167"/>
        <v>0.0475088122454138+0.0241481364080093i</v>
      </c>
      <c r="AT245" s="190">
        <f t="shared" si="168"/>
        <v>-25.466480595599755</v>
      </c>
      <c r="AU245" s="169">
        <f t="shared" si="169"/>
        <v>26.943662534724265</v>
      </c>
      <c r="AV245" s="225"/>
      <c r="AX245">
        <f t="shared" si="170"/>
        <v>0</v>
      </c>
      <c r="AY245">
        <f t="shared" si="171"/>
        <v>0</v>
      </c>
    </row>
    <row r="246" spans="14:51" x14ac:dyDescent="0.3">
      <c r="N246" s="170">
        <v>28</v>
      </c>
      <c r="O246" s="199">
        <f t="shared" si="172"/>
        <v>1905.4607179632501</v>
      </c>
      <c r="P246" s="189" t="str">
        <f t="shared" si="138"/>
        <v>20.7142857142857</v>
      </c>
      <c r="Q246" s="160" t="str">
        <f t="shared" si="139"/>
        <v>1+2.73654006548905i</v>
      </c>
      <c r="R246" s="160">
        <f t="shared" si="147"/>
        <v>2.9135290508293914</v>
      </c>
      <c r="S246" s="160">
        <f t="shared" si="148"/>
        <v>1.2204465364272055</v>
      </c>
      <c r="T246" s="160" t="str">
        <f t="shared" si="140"/>
        <v>1+0.000239447255730292i</v>
      </c>
      <c r="U246" s="160">
        <f t="shared" si="149"/>
        <v>1.0000000286674937</v>
      </c>
      <c r="V246" s="160">
        <f t="shared" si="150"/>
        <v>2.3944725115405697E-4</v>
      </c>
      <c r="W246" s="98" t="str">
        <f t="shared" si="141"/>
        <v>1-0.0628549046292015i</v>
      </c>
      <c r="X246" s="160">
        <f t="shared" si="151"/>
        <v>1.0019734223201462</v>
      </c>
      <c r="Y246" s="160">
        <f t="shared" si="152"/>
        <v>-6.277232584755324E-2</v>
      </c>
      <c r="Z246" s="98" t="str">
        <f t="shared" si="142"/>
        <v>0.999697188920356-0.00469005353466003i</v>
      </c>
      <c r="AA246" s="160">
        <f t="shared" si="153"/>
        <v>0.99970819049231541</v>
      </c>
      <c r="AB246" s="160">
        <f t="shared" si="154"/>
        <v>-4.691439745799191E-3</v>
      </c>
      <c r="AC246" s="171" t="str">
        <f t="shared" si="155"/>
        <v>2.05475933746654-6.82312074978512i</v>
      </c>
      <c r="AD246" s="190">
        <f t="shared" si="156"/>
        <v>17.056671469983101</v>
      </c>
      <c r="AE246" s="169">
        <f t="shared" si="157"/>
        <v>-73.240505985741592</v>
      </c>
      <c r="AF246" s="98" t="str">
        <f t="shared" si="143"/>
        <v>-0.0000897803247373448</v>
      </c>
      <c r="AG246" s="98" t="str">
        <f t="shared" si="144"/>
        <v>0.0239447255730291i</v>
      </c>
      <c r="AH246" s="98">
        <f t="shared" si="158"/>
        <v>2.39447255730291E-2</v>
      </c>
      <c r="AI246" s="98">
        <f t="shared" si="159"/>
        <v>1.5707963267948966</v>
      </c>
      <c r="AJ246" s="98" t="str">
        <f t="shared" si="145"/>
        <v>1+2.81350525483093i</v>
      </c>
      <c r="AK246" s="98">
        <f t="shared" si="160"/>
        <v>2.985935668925447</v>
      </c>
      <c r="AL246" s="98">
        <f t="shared" si="161"/>
        <v>1.2292936215935533</v>
      </c>
      <c r="AM246" s="98" t="str">
        <f t="shared" si="146"/>
        <v>1+5.62701050966188i</v>
      </c>
      <c r="AN246" s="98">
        <f t="shared" si="162"/>
        <v>5.7151769242819821</v>
      </c>
      <c r="AO246" s="98">
        <f t="shared" si="163"/>
        <v>1.3949182753260765</v>
      </c>
      <c r="AP246" s="168" t="str">
        <f t="shared" si="164"/>
        <v>-0.00118319995653152+0.00707842159617414i</v>
      </c>
      <c r="AQ246" s="98">
        <f t="shared" si="165"/>
        <v>-42.881589189784421</v>
      </c>
      <c r="AR246" s="169">
        <f t="shared" si="166"/>
        <v>99.489593642189277</v>
      </c>
      <c r="AS246" s="168" t="str">
        <f t="shared" si="167"/>
        <v>0.0458657341098097+0.0226175690438187i</v>
      </c>
      <c r="AT246" s="190">
        <f t="shared" si="168"/>
        <v>-25.82491771980132</v>
      </c>
      <c r="AU246" s="169">
        <f t="shared" si="169"/>
        <v>26.249087656447731</v>
      </c>
      <c r="AV246" s="225"/>
      <c r="AX246">
        <f t="shared" si="170"/>
        <v>0</v>
      </c>
      <c r="AY246">
        <f t="shared" si="171"/>
        <v>0</v>
      </c>
    </row>
    <row r="247" spans="14:51" x14ac:dyDescent="0.3">
      <c r="N247" s="170">
        <v>29</v>
      </c>
      <c r="O247" s="199">
        <f t="shared" si="172"/>
        <v>1949.8445997580463</v>
      </c>
      <c r="P247" s="189" t="str">
        <f t="shared" si="138"/>
        <v>20.7142857142857</v>
      </c>
      <c r="Q247" s="160" t="str">
        <f t="shared" si="139"/>
        <v>1+2.80028227211045i</v>
      </c>
      <c r="R247" s="160">
        <f t="shared" si="147"/>
        <v>2.9734795784562005</v>
      </c>
      <c r="S247" s="160">
        <f t="shared" si="148"/>
        <v>1.227804314753761</v>
      </c>
      <c r="T247" s="160" t="str">
        <f t="shared" si="140"/>
        <v>1+0.000245024698809664i</v>
      </c>
      <c r="U247" s="160">
        <f t="shared" si="149"/>
        <v>1.000000030018551</v>
      </c>
      <c r="V247" s="160">
        <f t="shared" si="150"/>
        <v>2.4502469390613979E-4</v>
      </c>
      <c r="W247" s="98" t="str">
        <f t="shared" si="141"/>
        <v>1-0.0643189834375366i</v>
      </c>
      <c r="X247" s="160">
        <f t="shared" si="151"/>
        <v>1.0020663309534146</v>
      </c>
      <c r="Y247" s="160">
        <f t="shared" si="152"/>
        <v>-6.4230508530371294E-2</v>
      </c>
      <c r="Z247" s="98" t="str">
        <f t="shared" si="142"/>
        <v>0.999682917873839-0.00479929891543916i</v>
      </c>
      <c r="AA247" s="160">
        <f t="shared" si="153"/>
        <v>0.99969443809537739</v>
      </c>
      <c r="AB247" s="160">
        <f t="shared" si="154"/>
        <v>-4.8007842876101109E-3</v>
      </c>
      <c r="AC247" s="171" t="str">
        <f t="shared" si="155"/>
        <v>1.95529324609976-6.70353328352404i</v>
      </c>
      <c r="AD247" s="190">
        <f t="shared" si="156"/>
        <v>16.880684189518288</v>
      </c>
      <c r="AE247" s="169">
        <f t="shared" si="157"/>
        <v>-73.739038799241854</v>
      </c>
      <c r="AF247" s="98" t="str">
        <f t="shared" si="143"/>
        <v>-0.0000897803247373448</v>
      </c>
      <c r="AG247" s="98" t="str">
        <f t="shared" si="144"/>
        <v>0.0245024698809664i</v>
      </c>
      <c r="AH247" s="98">
        <f t="shared" si="158"/>
        <v>2.4502469880966399E-2</v>
      </c>
      <c r="AI247" s="98">
        <f t="shared" si="159"/>
        <v>1.5707963267948966</v>
      </c>
      <c r="AJ247" s="98" t="str">
        <f t="shared" si="145"/>
        <v>1+2.87904021101355i</v>
      </c>
      <c r="AK247" s="98">
        <f t="shared" si="160"/>
        <v>3.0477651708478044</v>
      </c>
      <c r="AL247" s="98">
        <f t="shared" si="161"/>
        <v>1.2364949865110282</v>
      </c>
      <c r="AM247" s="98" t="str">
        <f t="shared" si="146"/>
        <v>1+5.75808042202712i</v>
      </c>
      <c r="AN247" s="98">
        <f t="shared" si="162"/>
        <v>5.844269855724666</v>
      </c>
      <c r="AO247" s="98">
        <f t="shared" si="163"/>
        <v>1.3988424125263506</v>
      </c>
      <c r="AP247" s="168" t="str">
        <f t="shared" si="164"/>
        <v>-0.00113568015009731+0.00693380248279028i</v>
      </c>
      <c r="AQ247" s="98">
        <f t="shared" si="165"/>
        <v>-43.065598656297595</v>
      </c>
      <c r="AR247" s="169">
        <f t="shared" si="166"/>
        <v>99.301822325490349</v>
      </c>
      <c r="AS247" s="168" t="str">
        <f t="shared" si="167"/>
        <v>0.0442603879975514+0.0211706868500045i</v>
      </c>
      <c r="AT247" s="190">
        <f t="shared" si="168"/>
        <v>-26.184914466779318</v>
      </c>
      <c r="AU247" s="169">
        <f t="shared" si="169"/>
        <v>25.562783526248538</v>
      </c>
      <c r="AV247" s="225"/>
      <c r="AX247">
        <f t="shared" si="170"/>
        <v>0</v>
      </c>
      <c r="AY247">
        <f t="shared" si="171"/>
        <v>0</v>
      </c>
    </row>
    <row r="248" spans="14:51" x14ac:dyDescent="0.3">
      <c r="N248" s="170">
        <v>30</v>
      </c>
      <c r="O248" s="199">
        <f t="shared" si="172"/>
        <v>1995.2623149688804</v>
      </c>
      <c r="P248" s="189" t="str">
        <f t="shared" si="138"/>
        <v>20.7142857142857</v>
      </c>
      <c r="Q248" s="160" t="str">
        <f t="shared" si="139"/>
        <v>1+2.86550922545865i</v>
      </c>
      <c r="R248" s="160">
        <f t="shared" si="147"/>
        <v>3.0349865108742464</v>
      </c>
      <c r="S248" s="160">
        <f t="shared" si="148"/>
        <v>1.2350321650663363</v>
      </c>
      <c r="T248" s="160" t="str">
        <f t="shared" si="140"/>
        <v>1+0.000250732057227632i</v>
      </c>
      <c r="U248" s="160">
        <f t="shared" si="149"/>
        <v>1.0000000314332818</v>
      </c>
      <c r="V248" s="160">
        <f t="shared" si="150"/>
        <v>2.5073205197341118E-4</v>
      </c>
      <c r="W248" s="98" t="str">
        <f t="shared" si="141"/>
        <v>1-0.0658171650222532i</v>
      </c>
      <c r="X248" s="160">
        <f t="shared" si="151"/>
        <v>1.0021636090038224</v>
      </c>
      <c r="Y248" s="160">
        <f t="shared" si="152"/>
        <v>-6.5722373501846287E-2</v>
      </c>
      <c r="Z248" s="98" t="str">
        <f t="shared" si="142"/>
        <v>0.99966797425362-0.00491108894802952i</v>
      </c>
      <c r="AA248" s="160">
        <f t="shared" si="153"/>
        <v>0.99968003758352197</v>
      </c>
      <c r="AB248" s="160">
        <f t="shared" si="154"/>
        <v>-4.9126805756226034E-3</v>
      </c>
      <c r="AC248" s="171" t="str">
        <f t="shared" si="155"/>
        <v>1.85930850990055-6.58464930905889i</v>
      </c>
      <c r="AD248" s="190">
        <f t="shared" si="156"/>
        <v>16.703816384972001</v>
      </c>
      <c r="AE248" s="169">
        <f t="shared" si="157"/>
        <v>-74.231903490997837</v>
      </c>
      <c r="AF248" s="98" t="str">
        <f t="shared" si="143"/>
        <v>-0.0000897803247373448</v>
      </c>
      <c r="AG248" s="98" t="str">
        <f t="shared" si="144"/>
        <v>0.0250732057227632i</v>
      </c>
      <c r="AH248" s="98">
        <f t="shared" si="158"/>
        <v>2.5073205722763201E-2</v>
      </c>
      <c r="AI248" s="98">
        <f t="shared" si="159"/>
        <v>1.5707963267948966</v>
      </c>
      <c r="AJ248" s="98" t="str">
        <f t="shared" si="145"/>
        <v>1+2.94610167242468i</v>
      </c>
      <c r="AK248" s="98">
        <f t="shared" si="160"/>
        <v>3.1111919041202674</v>
      </c>
      <c r="AL248" s="98">
        <f t="shared" si="161"/>
        <v>1.2435674112097357</v>
      </c>
      <c r="AM248" s="98" t="str">
        <f t="shared" si="146"/>
        <v>1+5.89220334484937i</v>
      </c>
      <c r="AN248" s="98">
        <f t="shared" si="162"/>
        <v>5.976458839233656</v>
      </c>
      <c r="AO248" s="98">
        <f t="shared" si="163"/>
        <v>1.402682400662155</v>
      </c>
      <c r="AP248" s="168" t="str">
        <f t="shared" si="164"/>
        <v>-0.0010898467626323+0.00679152716891014i</v>
      </c>
      <c r="AQ248" s="98">
        <f t="shared" si="165"/>
        <v>-43.25023118660696</v>
      </c>
      <c r="AR248" s="169">
        <f t="shared" si="166"/>
        <v>99.116617352892305</v>
      </c>
      <c r="AS248" s="168" t="str">
        <f t="shared" si="167"/>
        <v>0.042693463319969+0.0198038029929223i</v>
      </c>
      <c r="AT248" s="190">
        <f t="shared" si="168"/>
        <v>-26.546414801634963</v>
      </c>
      <c r="AU248" s="169">
        <f t="shared" si="169"/>
        <v>24.884713861894536</v>
      </c>
      <c r="AV248" s="225"/>
      <c r="AX248">
        <f t="shared" si="170"/>
        <v>0</v>
      </c>
      <c r="AY248">
        <f t="shared" si="171"/>
        <v>0</v>
      </c>
    </row>
    <row r="249" spans="14:51" x14ac:dyDescent="0.3">
      <c r="N249" s="170">
        <v>31</v>
      </c>
      <c r="O249" s="199">
        <f t="shared" si="172"/>
        <v>2041.7379446695318</v>
      </c>
      <c r="P249" s="189" t="str">
        <f t="shared" si="138"/>
        <v>20.7142857142857</v>
      </c>
      <c r="Q249" s="160" t="str">
        <f t="shared" si="139"/>
        <v>1+2.93225550972768i</v>
      </c>
      <c r="R249" s="160">
        <f t="shared" si="147"/>
        <v>3.0980836616089529</v>
      </c>
      <c r="S249" s="160">
        <f t="shared" si="148"/>
        <v>1.2421308979525094</v>
      </c>
      <c r="T249" s="160" t="str">
        <f t="shared" si="140"/>
        <v>1+0.000256572357101172i</v>
      </c>
      <c r="U249" s="160">
        <f t="shared" si="149"/>
        <v>1.0000000329146868</v>
      </c>
      <c r="V249" s="160">
        <f t="shared" si="150"/>
        <v>2.5657235147117296E-4</v>
      </c>
      <c r="W249" s="98" t="str">
        <f t="shared" si="141"/>
        <v>1-0.0673502437390575i</v>
      </c>
      <c r="X249" s="160">
        <f t="shared" si="151"/>
        <v>1.0022654615079332</v>
      </c>
      <c r="Y249" s="160">
        <f t="shared" si="152"/>
        <v>-6.7248685190481189E-2</v>
      </c>
      <c r="Z249" s="98" t="str">
        <f t="shared" si="142"/>
        <v>0.999652326362277-0.00502548290498606i</v>
      </c>
      <c r="AA249" s="160">
        <f t="shared" si="153"/>
        <v>0.99966495841353809</v>
      </c>
      <c r="AB249" s="160">
        <f t="shared" si="154"/>
        <v>-5.0271883900780273E-3</v>
      </c>
      <c r="AC249" s="171" t="str">
        <f t="shared" si="155"/>
        <v>1.76672195202533-6.46655500579615i</v>
      </c>
      <c r="AD249" s="190">
        <f t="shared" si="156"/>
        <v>16.526102616968398</v>
      </c>
      <c r="AE249" s="169">
        <f t="shared" si="157"/>
        <v>-74.719186704244819</v>
      </c>
      <c r="AF249" s="98" t="str">
        <f t="shared" si="143"/>
        <v>-0.0000897803247373448</v>
      </c>
      <c r="AG249" s="98" t="str">
        <f t="shared" si="144"/>
        <v>0.0256572357101173i</v>
      </c>
      <c r="AH249" s="98">
        <f t="shared" si="158"/>
        <v>2.5657235710117299E-2</v>
      </c>
      <c r="AI249" s="98">
        <f t="shared" si="159"/>
        <v>1.5707963267948966</v>
      </c>
      <c r="AJ249" s="98" t="str">
        <f t="shared" si="145"/>
        <v>1+3.01472519593877i</v>
      </c>
      <c r="AK249" s="98">
        <f t="shared" si="160"/>
        <v>3.1762506209409942</v>
      </c>
      <c r="AL249" s="98">
        <f t="shared" si="161"/>
        <v>1.2505118146095344</v>
      </c>
      <c r="AM249" s="98" t="str">
        <f t="shared" si="146"/>
        <v>1+6.02945039187756i</v>
      </c>
      <c r="AN249" s="98">
        <f t="shared" si="162"/>
        <v>6.1118141355993858</v>
      </c>
      <c r="AO249" s="98">
        <f t="shared" si="163"/>
        <v>1.4064398225385795</v>
      </c>
      <c r="AP249" s="168" t="str">
        <f t="shared" si="164"/>
        <v>-0.00104565763439262+0.00665159089985947i</v>
      </c>
      <c r="AQ249" s="98">
        <f t="shared" si="165"/>
        <v>-43.43546632964938</v>
      </c>
      <c r="AR249" s="169">
        <f t="shared" si="166"/>
        <v>98.9340167622167</v>
      </c>
      <c r="AS249" s="168" t="str">
        <f t="shared" si="167"/>
        <v>0.0411654921330101+0.0185133142687042i</v>
      </c>
      <c r="AT249" s="190">
        <f t="shared" si="168"/>
        <v>-26.909363712680982</v>
      </c>
      <c r="AU249" s="169">
        <f t="shared" si="169"/>
        <v>24.214830057971877</v>
      </c>
      <c r="AV249" s="225"/>
      <c r="AX249">
        <f t="shared" si="170"/>
        <v>0</v>
      </c>
      <c r="AY249">
        <f t="shared" si="171"/>
        <v>0</v>
      </c>
    </row>
    <row r="250" spans="14:51" x14ac:dyDescent="0.3">
      <c r="N250" s="170">
        <v>32</v>
      </c>
      <c r="O250" s="199">
        <f t="shared" si="172"/>
        <v>2089.2961308540398</v>
      </c>
      <c r="P250" s="189" t="str">
        <f t="shared" si="138"/>
        <v>20.7142857142857</v>
      </c>
      <c r="Q250" s="160" t="str">
        <f t="shared" si="139"/>
        <v>1+3.00055651468098i</v>
      </c>
      <c r="R250" s="160">
        <f t="shared" si="147"/>
        <v>3.1628056212474505</v>
      </c>
      <c r="S250" s="160">
        <f t="shared" si="148"/>
        <v>1.2491014145765882</v>
      </c>
      <c r="T250" s="160" t="str">
        <f t="shared" si="140"/>
        <v>1+0.000262548695034586i</v>
      </c>
      <c r="U250" s="160">
        <f t="shared" si="149"/>
        <v>1.0000000344659081</v>
      </c>
      <c r="V250" s="160">
        <f t="shared" si="150"/>
        <v>2.625486890019334E-4</v>
      </c>
      <c r="W250" s="98" t="str">
        <f t="shared" si="141"/>
        <v>1-0.0689190324465786i</v>
      </c>
      <c r="X250" s="160">
        <f t="shared" si="151"/>
        <v>1.0023721030801749</v>
      </c>
      <c r="Y250" s="160">
        <f t="shared" si="152"/>
        <v>-6.8810224405026696E-2</v>
      </c>
      <c r="Z250" s="98" t="str">
        <f t="shared" si="142"/>
        <v>0.999635941008536-0.00514254143949899i</v>
      </c>
      <c r="AA250" s="160">
        <f t="shared" si="153"/>
        <v>0.99964916860290454</v>
      </c>
      <c r="AB250" s="160">
        <f t="shared" si="154"/>
        <v>-5.1443689281990748E-3</v>
      </c>
      <c r="AC250" s="171" t="str">
        <f t="shared" si="155"/>
        <v>1.67744922860349-6.34933073853702i</v>
      </c>
      <c r="AD250" s="190">
        <f t="shared" si="156"/>
        <v>16.347576748250859</v>
      </c>
      <c r="AE250" s="169">
        <f t="shared" si="157"/>
        <v>-75.200981125175034</v>
      </c>
      <c r="AF250" s="98" t="str">
        <f t="shared" si="143"/>
        <v>-0.0000897803247373448</v>
      </c>
      <c r="AG250" s="98" t="str">
        <f t="shared" si="144"/>
        <v>0.0262548695034585i</v>
      </c>
      <c r="AH250" s="98">
        <f t="shared" si="158"/>
        <v>2.6254869503458501E-2</v>
      </c>
      <c r="AI250" s="98">
        <f t="shared" si="159"/>
        <v>1.5707963267948966</v>
      </c>
      <c r="AJ250" s="98" t="str">
        <f t="shared" si="145"/>
        <v>1+3.08494716665639i</v>
      </c>
      <c r="AK250" s="98">
        <f t="shared" si="160"/>
        <v>3.2429768764302485</v>
      </c>
      <c r="AL250" s="98">
        <f t="shared" si="161"/>
        <v>1.2573291986959887</v>
      </c>
      <c r="AM250" s="98" t="str">
        <f t="shared" si="146"/>
        <v>1+6.16989433331279i</v>
      </c>
      <c r="AN250" s="98">
        <f t="shared" si="162"/>
        <v>6.2504076734438119</v>
      </c>
      <c r="AO250" s="98">
        <f t="shared" si="163"/>
        <v>1.41011624579177</v>
      </c>
      <c r="AP250" s="168" t="str">
        <f t="shared" si="164"/>
        <v>-0.00100307021447217+0.00651398711653925i</v>
      </c>
      <c r="AQ250" s="98">
        <f t="shared" si="165"/>
        <v>-43.62128399279505</v>
      </c>
      <c r="AR250" s="169">
        <f t="shared" si="166"/>
        <v>98.754052962854814</v>
      </c>
      <c r="AS250" s="168" t="str">
        <f t="shared" si="167"/>
        <v>0.0396768592719753+0.0172957072094309i</v>
      </c>
      <c r="AT250" s="190">
        <f t="shared" si="168"/>
        <v>-27.273707244544191</v>
      </c>
      <c r="AU250" s="169">
        <f t="shared" si="169"/>
        <v>23.553071837679784</v>
      </c>
      <c r="AV250" s="225"/>
      <c r="AX250">
        <f t="shared" si="170"/>
        <v>0</v>
      </c>
      <c r="AY250">
        <f t="shared" si="171"/>
        <v>0</v>
      </c>
    </row>
    <row r="251" spans="14:51" x14ac:dyDescent="0.3">
      <c r="N251" s="170">
        <v>33</v>
      </c>
      <c r="O251" s="199">
        <f t="shared" si="172"/>
        <v>2137.9620895022344</v>
      </c>
      <c r="P251" s="189" t="str">
        <f t="shared" si="138"/>
        <v>20.7142857142857</v>
      </c>
      <c r="Q251" s="160" t="str">
        <f t="shared" si="139"/>
        <v>1+3.07044845441541i</v>
      </c>
      <c r="R251" s="160">
        <f t="shared" si="147"/>
        <v>3.2291877788728827</v>
      </c>
      <c r="S251" s="160">
        <f t="shared" si="148"/>
        <v>1.2559447004274455</v>
      </c>
      <c r="T251" s="160" t="str">
        <f t="shared" si="140"/>
        <v>1+0.000268664239761348i</v>
      </c>
      <c r="U251" s="160">
        <f t="shared" si="149"/>
        <v>1.0000000360902364</v>
      </c>
      <c r="V251" s="160">
        <f t="shared" si="150"/>
        <v>2.6866423329724421E-4</v>
      </c>
      <c r="W251" s="98" t="str">
        <f t="shared" si="141"/>
        <v>1-0.0705243629373537i</v>
      </c>
      <c r="X251" s="160">
        <f t="shared" si="151"/>
        <v>1.0024837583560742</v>
      </c>
      <c r="Y251" s="160">
        <f t="shared" si="152"/>
        <v>-7.0407788615797773E-2</v>
      </c>
      <c r="Z251" s="98" t="str">
        <f t="shared" si="142"/>
        <v>0.999618783436863-0.00526232661755268i</v>
      </c>
      <c r="AA251" s="160">
        <f t="shared" si="153"/>
        <v>0.99963263466196606</v>
      </c>
      <c r="AB251" s="160">
        <f t="shared" si="154"/>
        <v>-5.2642848389526055E-3</v>
      </c>
      <c r="AC251" s="171" t="str">
        <f t="shared" si="155"/>
        <v>1.59140514822825-6.23305120547256i</v>
      </c>
      <c r="AD251" s="190">
        <f t="shared" si="156"/>
        <v>16.168271938484857</v>
      </c>
      <c r="AE251" s="169">
        <f t="shared" si="157"/>
        <v>-75.677385138748832</v>
      </c>
      <c r="AF251" s="98" t="str">
        <f t="shared" si="143"/>
        <v>-0.0000897803247373448</v>
      </c>
      <c r="AG251" s="98" t="str">
        <f t="shared" si="144"/>
        <v>0.0268664239761348i</v>
      </c>
      <c r="AH251" s="98">
        <f t="shared" si="158"/>
        <v>2.6866423976134798E-2</v>
      </c>
      <c r="AI251" s="98">
        <f t="shared" si="159"/>
        <v>1.5707963267948966</v>
      </c>
      <c r="AJ251" s="98" t="str">
        <f t="shared" si="145"/>
        <v>1+3.15680481719584i</v>
      </c>
      <c r="AK251" s="98">
        <f t="shared" si="160"/>
        <v>3.3114070504652338</v>
      </c>
      <c r="AL251" s="98">
        <f t="shared" si="161"/>
        <v>1.2640206424720435</v>
      </c>
      <c r="AM251" s="98" t="str">
        <f t="shared" si="146"/>
        <v>1+6.31360963439169i</v>
      </c>
      <c r="AN251" s="98">
        <f t="shared" si="162"/>
        <v>6.3923130880365644</v>
      </c>
      <c r="AO251" s="98">
        <f t="shared" si="163"/>
        <v>1.4137132219816237</v>
      </c>
      <c r="AP251" s="168" t="str">
        <f t="shared" si="164"/>
        <v>-0.000962041707089551+0.00637870751352738i</v>
      </c>
      <c r="AQ251" s="98">
        <f t="shared" si="165"/>
        <v>-43.807664463262419</v>
      </c>
      <c r="AR251" s="169">
        <f t="shared" si="166"/>
        <v>98.576753030325492</v>
      </c>
      <c r="AS251" s="168" t="str">
        <f t="shared" si="167"/>
        <v>0.0382278124310761+0.0161475631981591i</v>
      </c>
      <c r="AT251" s="190">
        <f t="shared" si="168"/>
        <v>-27.63939252477757</v>
      </c>
      <c r="AU251" s="169">
        <f t="shared" si="169"/>
        <v>22.899367891576677</v>
      </c>
      <c r="AV251" s="225"/>
      <c r="AX251">
        <f t="shared" si="170"/>
        <v>0</v>
      </c>
      <c r="AY251">
        <f t="shared" si="171"/>
        <v>0</v>
      </c>
    </row>
    <row r="252" spans="14:51" x14ac:dyDescent="0.3">
      <c r="N252" s="170">
        <v>34</v>
      </c>
      <c r="O252" s="199">
        <f t="shared" si="172"/>
        <v>2187.7616239495528</v>
      </c>
      <c r="P252" s="189" t="str">
        <f t="shared" si="138"/>
        <v>20.7142857142857</v>
      </c>
      <c r="Q252" s="160" t="str">
        <f t="shared" si="139"/>
        <v>1+3.14196838656256i</v>
      </c>
      <c r="R252" s="160">
        <f t="shared" si="147"/>
        <v>3.2972663438306791</v>
      </c>
      <c r="S252" s="160">
        <f t="shared" si="148"/>
        <v>1.2626618192343029</v>
      </c>
      <c r="T252" s="160" t="str">
        <f t="shared" si="140"/>
        <v>1+0.000274922233824224i</v>
      </c>
      <c r="U252" s="160">
        <f t="shared" si="149"/>
        <v>1.0000000377911167</v>
      </c>
      <c r="V252" s="160">
        <f t="shared" si="150"/>
        <v>2.7492222689781204E-4</v>
      </c>
      <c r="W252" s="98" t="str">
        <f t="shared" si="141"/>
        <v>1-0.0721670863788586i</v>
      </c>
      <c r="X252" s="160">
        <f t="shared" si="151"/>
        <v>1.0026006624556028</v>
      </c>
      <c r="Y252" s="160">
        <f t="shared" si="152"/>
        <v>-7.2042192235590122E-2</v>
      </c>
      <c r="Z252" s="98" t="str">
        <f t="shared" si="142"/>
        <v>0.99960081725375-0.00538490195083415i</v>
      </c>
      <c r="AA252" s="160">
        <f t="shared" si="153"/>
        <v>0.99961532152292731</v>
      </c>
      <c r="AB252" s="160">
        <f t="shared" si="154"/>
        <v>-5.3870002587488074E-3</v>
      </c>
      <c r="AC252" s="171" t="str">
        <f t="shared" si="155"/>
        <v>1.50850396966317-6.11778559840865i</v>
      </c>
      <c r="AD252" s="190">
        <f t="shared" si="156"/>
        <v>15.988220642167407</v>
      </c>
      <c r="AE252" s="169">
        <f t="shared" si="157"/>
        <v>-76.148502494047747</v>
      </c>
      <c r="AF252" s="98" t="str">
        <f t="shared" si="143"/>
        <v>-0.0000897803247373448</v>
      </c>
      <c r="AG252" s="98" t="str">
        <f t="shared" si="144"/>
        <v>0.0274922233824224i</v>
      </c>
      <c r="AH252" s="98">
        <f t="shared" si="158"/>
        <v>2.7492223382422399E-2</v>
      </c>
      <c r="AI252" s="98">
        <f t="shared" si="159"/>
        <v>1.5707963267948966</v>
      </c>
      <c r="AJ252" s="98" t="str">
        <f t="shared" si="145"/>
        <v>1+3.23033624743463i</v>
      </c>
      <c r="AK252" s="98">
        <f t="shared" si="160"/>
        <v>3.3815783698577864</v>
      </c>
      <c r="AL252" s="98">
        <f t="shared" si="161"/>
        <v>1.2705872960920874</v>
      </c>
      <c r="AM252" s="98" t="str">
        <f t="shared" si="146"/>
        <v>1+6.46067249486928i</v>
      </c>
      <c r="AN252" s="98">
        <f t="shared" si="162"/>
        <v>6.5376057609770601</v>
      </c>
      <c r="AO252" s="98">
        <f t="shared" si="163"/>
        <v>1.4172322857744808</v>
      </c>
      <c r="AP252" s="168" t="str">
        <f t="shared" si="164"/>
        <v>-0.000922529207177756+0.00624574210258172i</v>
      </c>
      <c r="AQ252" s="98">
        <f t="shared" si="165"/>
        <v>-43.994588426538719</v>
      </c>
      <c r="AR252" s="169">
        <f t="shared" si="166"/>
        <v>98.402138995540611</v>
      </c>
      <c r="AS252" s="168" t="str">
        <f t="shared" si="167"/>
        <v>0.0368184721153911+0.0150655626530203i</v>
      </c>
      <c r="AT252" s="190">
        <f t="shared" si="168"/>
        <v>-28.006367784371335</v>
      </c>
      <c r="AU252" s="169">
        <f t="shared" si="169"/>
        <v>22.253636501492849</v>
      </c>
      <c r="AV252" s="225"/>
      <c r="AX252">
        <f t="shared" si="170"/>
        <v>0</v>
      </c>
      <c r="AY252">
        <f t="shared" si="171"/>
        <v>0</v>
      </c>
    </row>
    <row r="253" spans="14:51" x14ac:dyDescent="0.3">
      <c r="N253" s="170">
        <v>35</v>
      </c>
      <c r="O253" s="199">
        <f t="shared" si="172"/>
        <v>2238.7211385683418</v>
      </c>
      <c r="P253" s="189" t="str">
        <f t="shared" si="138"/>
        <v>20.7142857142857</v>
      </c>
      <c r="Q253" s="160" t="str">
        <f t="shared" si="139"/>
        <v>1+3.21515423193714i</v>
      </c>
      <c r="R253" s="160">
        <f t="shared" si="147"/>
        <v>3.3670783678351328</v>
      </c>
      <c r="S253" s="160">
        <f t="shared" si="148"/>
        <v>1.269253907062607</v>
      </c>
      <c r="T253" s="160" t="str">
        <f t="shared" si="140"/>
        <v>1+0.0002813259952945i</v>
      </c>
      <c r="U253" s="160">
        <f t="shared" si="149"/>
        <v>1.0000000395721569</v>
      </c>
      <c r="V253" s="160">
        <f t="shared" si="150"/>
        <v>2.8132598787271589E-4</v>
      </c>
      <c r="W253" s="98" t="str">
        <f t="shared" si="141"/>
        <v>1-0.0738480737648061i</v>
      </c>
      <c r="X253" s="160">
        <f t="shared" si="151"/>
        <v>1.0027230614675082</v>
      </c>
      <c r="Y253" s="160">
        <f t="shared" si="152"/>
        <v>-7.3714266899703132E-2</v>
      </c>
      <c r="Z253" s="98" t="str">
        <f t="shared" si="142"/>
        <v>0.999582004350512-0.00551033243040756i</v>
      </c>
      <c r="AA253" s="160">
        <f t="shared" si="153"/>
        <v>0.9995971924654854</v>
      </c>
      <c r="AB253" s="160">
        <f t="shared" si="154"/>
        <v>-5.5125808481066418E-3</v>
      </c>
      <c r="AC253" s="171" t="str">
        <f t="shared" si="155"/>
        <v>1.42865967802839-6.00359777317828i</v>
      </c>
      <c r="AD253" s="190">
        <f t="shared" si="156"/>
        <v>15.807454609448152</v>
      </c>
      <c r="AE253" s="169">
        <f t="shared" si="157"/>
        <v>-76.614441979837665</v>
      </c>
      <c r="AF253" s="98" t="str">
        <f t="shared" si="143"/>
        <v>-0.0000897803247373448</v>
      </c>
      <c r="AG253" s="98" t="str">
        <f t="shared" si="144"/>
        <v>0.0281325995294499i</v>
      </c>
      <c r="AH253" s="98">
        <f t="shared" si="158"/>
        <v>2.8132599529449898E-2</v>
      </c>
      <c r="AI253" s="98">
        <f t="shared" si="159"/>
        <v>1.5707963267948966</v>
      </c>
      <c r="AJ253" s="98" t="str">
        <f t="shared" si="145"/>
        <v>1+3.30558044471038i</v>
      </c>
      <c r="AK253" s="98">
        <f t="shared" si="160"/>
        <v>3.4535289308838393</v>
      </c>
      <c r="AL253" s="98">
        <f t="shared" si="161"/>
        <v>1.2770303751879239</v>
      </c>
      <c r="AM253" s="98" t="str">
        <f t="shared" si="146"/>
        <v>1+6.61116088942077i</v>
      </c>
      <c r="AN253" s="98">
        <f t="shared" si="162"/>
        <v>6.6863628607642012</v>
      </c>
      <c r="AO253" s="98">
        <f t="shared" si="163"/>
        <v>1.4206749542105193</v>
      </c>
      <c r="AP253" s="168" t="str">
        <f t="shared" si="164"/>
        <v>-0.000884489825489503+0.00611507928059446i</v>
      </c>
      <c r="AQ253" s="98">
        <f t="shared" si="165"/>
        <v>-44.182036981992916</v>
      </c>
      <c r="AR253" s="169">
        <f t="shared" si="166"/>
        <v>98.230228127928157</v>
      </c>
      <c r="AS253" s="168" t="str">
        <f t="shared" si="167"/>
        <v>0.0354488414024823+0.0140464883428398i</v>
      </c>
      <c r="AT253" s="190">
        <f t="shared" si="168"/>
        <v>-28.374582372544758</v>
      </c>
      <c r="AU253" s="169">
        <f t="shared" si="169"/>
        <v>21.615786148090539</v>
      </c>
      <c r="AV253" s="225"/>
      <c r="AX253">
        <f t="shared" si="170"/>
        <v>0</v>
      </c>
      <c r="AY253">
        <f t="shared" si="171"/>
        <v>0</v>
      </c>
    </row>
    <row r="254" spans="14:51" x14ac:dyDescent="0.3">
      <c r="N254" s="170">
        <v>36</v>
      </c>
      <c r="O254" s="199">
        <f t="shared" si="172"/>
        <v>2290.8676527677749</v>
      </c>
      <c r="P254" s="189" t="str">
        <f t="shared" si="138"/>
        <v>20.7142857142857</v>
      </c>
      <c r="Q254" s="160" t="str">
        <f t="shared" si="139"/>
        <v>1+3.29004479464309i</v>
      </c>
      <c r="R254" s="160">
        <f t="shared" si="147"/>
        <v>3.4386617674261148</v>
      </c>
      <c r="S254" s="160">
        <f t="shared" si="148"/>
        <v>1.2757221666000613</v>
      </c>
      <c r="T254" s="160" t="str">
        <f t="shared" si="140"/>
        <v>1+0.00028787891953127i</v>
      </c>
      <c r="U254" s="160">
        <f t="shared" si="149"/>
        <v>1.0000000414371353</v>
      </c>
      <c r="V254" s="160">
        <f t="shared" si="150"/>
        <v>2.8787891157868508E-4</v>
      </c>
      <c r="W254" s="98" t="str">
        <f t="shared" si="141"/>
        <v>1-0.0755682163769582i</v>
      </c>
      <c r="X254" s="160">
        <f t="shared" si="151"/>
        <v>1.0028512129555385</v>
      </c>
      <c r="Y254" s="160">
        <f t="shared" si="152"/>
        <v>-7.5424861744552013E-2</v>
      </c>
      <c r="Z254" s="98" t="str">
        <f t="shared" si="142"/>
        <v>0.99956230482246-0.00563868456117343i</v>
      </c>
      <c r="AA254" s="160">
        <f t="shared" si="153"/>
        <v>0.99957820903897698</v>
      </c>
      <c r="AB254" s="160">
        <f t="shared" si="154"/>
        <v>-5.641093829318526E-3</v>
      </c>
      <c r="AC254" s="171" t="str">
        <f t="shared" si="155"/>
        <v>1.35178623986676-5.89054642833141i</v>
      </c>
      <c r="AD254" s="190">
        <f t="shared" si="156"/>
        <v>15.626004889666998</v>
      </c>
      <c r="AE254" s="169">
        <f t="shared" si="157"/>
        <v>-77.075317110887866</v>
      </c>
      <c r="AF254" s="98" t="str">
        <f t="shared" si="143"/>
        <v>-0.0000897803247373448</v>
      </c>
      <c r="AG254" s="98" t="str">
        <f t="shared" si="144"/>
        <v>0.0287878919531269i</v>
      </c>
      <c r="AH254" s="98">
        <f t="shared" si="158"/>
        <v>2.87878919531269E-2</v>
      </c>
      <c r="AI254" s="98">
        <f t="shared" si="159"/>
        <v>1.5707963267948966</v>
      </c>
      <c r="AJ254" s="98" t="str">
        <f t="shared" si="145"/>
        <v>1+3.38257730449242i</v>
      </c>
      <c r="AK254" s="98">
        <f t="shared" si="160"/>
        <v>3.5272977221758883</v>
      </c>
      <c r="AL254" s="98">
        <f t="shared" si="161"/>
        <v>1.2833511553943528</v>
      </c>
      <c r="AM254" s="98" t="str">
        <f t="shared" si="146"/>
        <v>1+6.76515460898486i</v>
      </c>
      <c r="AN254" s="98">
        <f t="shared" si="162"/>
        <v>6.838663384278326</v>
      </c>
      <c r="AO254" s="98">
        <f t="shared" si="163"/>
        <v>1.4240427260508313</v>
      </c>
      <c r="AP254" s="168" t="str">
        <f t="shared" si="164"/>
        <v>-0.000847880803487096+0.00598670590111696i</v>
      </c>
      <c r="AQ254" s="98">
        <f t="shared" si="165"/>
        <v>-44.369991655866471</v>
      </c>
      <c r="AR254" s="169">
        <f t="shared" si="166"/>
        <v>98.06103321168284</v>
      </c>
      <c r="AS254" s="168" t="str">
        <f t="shared" si="167"/>
        <v>0.0341188154600941+0.0130872278978907i</v>
      </c>
      <c r="AT254" s="190">
        <f t="shared" si="168"/>
        <v>-28.743986766199463</v>
      </c>
      <c r="AU254" s="169">
        <f t="shared" si="169"/>
        <v>20.985716100794928</v>
      </c>
      <c r="AV254" s="225"/>
      <c r="AX254">
        <f t="shared" si="170"/>
        <v>0</v>
      </c>
      <c r="AY254">
        <f t="shared" si="171"/>
        <v>0</v>
      </c>
    </row>
    <row r="255" spans="14:51" x14ac:dyDescent="0.3">
      <c r="N255" s="170">
        <v>37</v>
      </c>
      <c r="O255" s="199">
        <f t="shared" si="172"/>
        <v>2344.2288153199238</v>
      </c>
      <c r="P255" s="189" t="str">
        <f t="shared" si="138"/>
        <v>20.7142857142857</v>
      </c>
      <c r="Q255" s="160" t="str">
        <f t="shared" si="139"/>
        <v>1+3.36667978264805i</v>
      </c>
      <c r="R255" s="160">
        <f t="shared" si="147"/>
        <v>3.5120553467864255</v>
      </c>
      <c r="S255" s="160">
        <f t="shared" si="148"/>
        <v>1.2820678616408441</v>
      </c>
      <c r="T255" s="160" t="str">
        <f t="shared" si="140"/>
        <v>1+0.000294584480981704i</v>
      </c>
      <c r="U255" s="160">
        <f t="shared" si="149"/>
        <v>1.0000000433900074</v>
      </c>
      <c r="V255" s="160">
        <f t="shared" si="150"/>
        <v>2.9458447246035575E-4</v>
      </c>
      <c r="W255" s="98" t="str">
        <f t="shared" si="141"/>
        <v>1-0.0773284262576971i</v>
      </c>
      <c r="X255" s="160">
        <f t="shared" si="151"/>
        <v>1.0029853864875062</v>
      </c>
      <c r="Y255" s="160">
        <f t="shared" si="152"/>
        <v>-7.7174843684299915E-2</v>
      </c>
      <c r="Z255" s="98" t="str">
        <f t="shared" si="142"/>
        <v>0.999541676884254-0.00577002639713045i</v>
      </c>
      <c r="AA255" s="160">
        <f t="shared" si="153"/>
        <v>0.9995583309808439</v>
      </c>
      <c r="AB255" s="160">
        <f t="shared" si="154"/>
        <v>-5.7726080251476941E-3</v>
      </c>
      <c r="AC255" s="171" t="str">
        <f t="shared" si="155"/>
        <v>1.27779783760823-5.77868529033108i</v>
      </c>
      <c r="AD255" s="190">
        <f t="shared" si="156"/>
        <v>15.443901837419299</v>
      </c>
      <c r="AE255" s="169">
        <f t="shared" si="157"/>
        <v>-77.531245825468559</v>
      </c>
      <c r="AF255" s="98" t="str">
        <f t="shared" si="143"/>
        <v>-0.0000897803247373448</v>
      </c>
      <c r="AG255" s="98" t="str">
        <f t="shared" si="144"/>
        <v>0.0294584480981703i</v>
      </c>
      <c r="AH255" s="98">
        <f t="shared" si="158"/>
        <v>2.94584480981703E-2</v>
      </c>
      <c r="AI255" s="98">
        <f t="shared" si="159"/>
        <v>1.5707963267948966</v>
      </c>
      <c r="AJ255" s="98" t="str">
        <f t="shared" si="145"/>
        <v>1+3.46136765153502i</v>
      </c>
      <c r="AK255" s="98">
        <f t="shared" si="160"/>
        <v>3.6029246479898878</v>
      </c>
      <c r="AL255" s="98">
        <f t="shared" si="161"/>
        <v>1.2895509670801757</v>
      </c>
      <c r="AM255" s="98" t="str">
        <f t="shared" si="146"/>
        <v>1+6.92273530307006i</v>
      </c>
      <c r="AN255" s="98">
        <f t="shared" si="162"/>
        <v>6.9945881991989003</v>
      </c>
      <c r="AO255" s="98">
        <f t="shared" si="163"/>
        <v>1.4273370811993102</v>
      </c>
      <c r="AP255" s="168" t="str">
        <f t="shared" si="164"/>
        <v>-0.000812659618333498+0.00586060734864339i</v>
      </c>
      <c r="AQ255" s="98">
        <f t="shared" si="165"/>
        <v>-44.558434411823953</v>
      </c>
      <c r="AR255" s="169">
        <f t="shared" si="166"/>
        <v>97.894562814534325</v>
      </c>
      <c r="AS255" s="168" t="str">
        <f t="shared" si="167"/>
        <v>0.0328281907749937+0.0121847755796773i</v>
      </c>
      <c r="AT255" s="190">
        <f t="shared" si="168"/>
        <v>-29.114532574404656</v>
      </c>
      <c r="AU255" s="169">
        <f t="shared" si="169"/>
        <v>20.363316989065812</v>
      </c>
      <c r="AV255" s="225"/>
      <c r="AX255">
        <f t="shared" si="170"/>
        <v>0</v>
      </c>
      <c r="AY255">
        <f t="shared" si="171"/>
        <v>0</v>
      </c>
    </row>
    <row r="256" spans="14:51" x14ac:dyDescent="0.3">
      <c r="N256" s="170">
        <v>38</v>
      </c>
      <c r="O256" s="199">
        <f t="shared" si="172"/>
        <v>2398.8329190194918</v>
      </c>
      <c r="P256" s="189" t="str">
        <f t="shared" si="138"/>
        <v>20.7142857142857</v>
      </c>
      <c r="Q256" s="160" t="str">
        <f t="shared" si="139"/>
        <v>1+3.44509982883703i</v>
      </c>
      <c r="R256" s="160">
        <f t="shared" si="147"/>
        <v>3.5872988209309988</v>
      </c>
      <c r="S256" s="160">
        <f t="shared" si="148"/>
        <v>1.2882923117741831</v>
      </c>
      <c r="T256" s="160" t="str">
        <f t="shared" si="140"/>
        <v>1+0.00030144623502324i</v>
      </c>
      <c r="U256" s="160">
        <f t="shared" si="149"/>
        <v>1.0000000454349152</v>
      </c>
      <c r="V256" s="160">
        <f t="shared" si="150"/>
        <v>3.0144622589245088E-4</v>
      </c>
      <c r="W256" s="98" t="str">
        <f t="shared" si="141"/>
        <v>1-0.0791296366936003i</v>
      </c>
      <c r="X256" s="160">
        <f t="shared" si="151"/>
        <v>1.0031258641881693</v>
      </c>
      <c r="Y256" s="160">
        <f t="shared" si="152"/>
        <v>-7.8965097684888075E-2</v>
      </c>
      <c r="Z256" s="98" t="str">
        <f t="shared" si="142"/>
        <v>0.999520076781271-0.00590442757745855i</v>
      </c>
      <c r="AA256" s="160">
        <f t="shared" si="153"/>
        <v>0.99953751613126329</v>
      </c>
      <c r="AB256" s="160">
        <f t="shared" si="154"/>
        <v>-5.9071938985933818E-3</v>
      </c>
      <c r="AC256" s="171" t="str">
        <f t="shared" si="155"/>
        <v>1.20660908404884-5.6680633036236i</v>
      </c>
      <c r="AD256" s="190">
        <f t="shared" si="156"/>
        <v>15.261175120965824</v>
      </c>
      <c r="AE256" s="169">
        <f t="shared" si="157"/>
        <v>-77.982350194346523</v>
      </c>
      <c r="AF256" s="98" t="str">
        <f t="shared" si="143"/>
        <v>-0.0000897803247373448</v>
      </c>
      <c r="AG256" s="98" t="str">
        <f t="shared" si="144"/>
        <v>0.030144623502324i</v>
      </c>
      <c r="AH256" s="98">
        <f t="shared" si="158"/>
        <v>3.0144623502324001E-2</v>
      </c>
      <c r="AI256" s="98">
        <f t="shared" si="159"/>
        <v>1.5707963267948966</v>
      </c>
      <c r="AJ256" s="98" t="str">
        <f t="shared" si="145"/>
        <v>1+3.54199326152307i</v>
      </c>
      <c r="AK256" s="98">
        <f t="shared" si="160"/>
        <v>3.6804505518584048</v>
      </c>
      <c r="AL256" s="98">
        <f t="shared" si="161"/>
        <v>1.2956311902887394</v>
      </c>
      <c r="AM256" s="98" t="str">
        <f t="shared" si="146"/>
        <v>1+7.08398652304616i</v>
      </c>
      <c r="AN256" s="98">
        <f t="shared" si="162"/>
        <v>7.1542200873819652</v>
      </c>
      <c r="AO256" s="98">
        <f t="shared" si="163"/>
        <v>1.4305594801946906</v>
      </c>
      <c r="AP256" s="168" t="str">
        <f t="shared" si="164"/>
        <v>-0.000778784078339854+0.00573676761491032i</v>
      </c>
      <c r="AQ256" s="98">
        <f t="shared" si="165"/>
        <v>-44.747347659240816</v>
      </c>
      <c r="AR256" s="169">
        <f t="shared" si="166"/>
        <v>97.730821548528581</v>
      </c>
      <c r="AS256" s="168" t="str">
        <f t="shared" si="167"/>
        <v>0.031576674056052+0.0113362333731124i</v>
      </c>
      <c r="AT256" s="190">
        <f t="shared" si="168"/>
        <v>-29.486172538274992</v>
      </c>
      <c r="AU256" s="169">
        <f t="shared" si="169"/>
        <v>19.748471354181991</v>
      </c>
      <c r="AV256" s="225"/>
      <c r="AX256">
        <f t="shared" si="170"/>
        <v>0</v>
      </c>
      <c r="AY256">
        <f t="shared" si="171"/>
        <v>0</v>
      </c>
    </row>
    <row r="257" spans="14:51" x14ac:dyDescent="0.3">
      <c r="N257" s="170">
        <v>39</v>
      </c>
      <c r="O257" s="199">
        <f t="shared" si="172"/>
        <v>2454.7089156850338</v>
      </c>
      <c r="P257" s="189" t="str">
        <f t="shared" si="138"/>
        <v>20.7142857142857</v>
      </c>
      <c r="Q257" s="160" t="str">
        <f t="shared" si="139"/>
        <v>1+3.52534651255655i</v>
      </c>
      <c r="R257" s="160">
        <f t="shared" si="147"/>
        <v>3.6644328392801291</v>
      </c>
      <c r="S257" s="160">
        <f t="shared" si="148"/>
        <v>1.294396887281781</v>
      </c>
      <c r="T257" s="160" t="str">
        <f t="shared" si="140"/>
        <v>1+0.000308467819848698i</v>
      </c>
      <c r="U257" s="160">
        <f t="shared" si="149"/>
        <v>1.0000000475761968</v>
      </c>
      <c r="V257" s="160">
        <f t="shared" si="150"/>
        <v>3.0846781006488115E-4</v>
      </c>
      <c r="W257" s="98" t="str">
        <f t="shared" si="141"/>
        <v>1-0.080972802710283i</v>
      </c>
      <c r="X257" s="160">
        <f t="shared" si="151"/>
        <v>1.0032729413169472</v>
      </c>
      <c r="Y257" s="160">
        <f t="shared" si="152"/>
        <v>-8.0796527034802959E-2</v>
      </c>
      <c r="Z257" s="98" t="str">
        <f t="shared" si="142"/>
        <v>0.999497458696796-0.00604195936344255i</v>
      </c>
      <c r="AA257" s="160">
        <f t="shared" si="153"/>
        <v>0.9995157203437588</v>
      </c>
      <c r="AB257" s="160">
        <f t="shared" si="154"/>
        <v>-6.0449235937608892E-3</v>
      </c>
      <c r="AC257" s="171" t="str">
        <f t="shared" si="155"/>
        <v>1.13813521754208-5.55872482408663i</v>
      </c>
      <c r="AD257" s="190">
        <f t="shared" si="156"/>
        <v>15.077853732809359</v>
      </c>
      <c r="AE257" s="169">
        <f t="shared" si="157"/>
        <v>-78.428756141491874</v>
      </c>
      <c r="AF257" s="98" t="str">
        <f t="shared" si="143"/>
        <v>-0.0000897803247373448</v>
      </c>
      <c r="AG257" s="98" t="str">
        <f t="shared" si="144"/>
        <v>0.0308467819848699i</v>
      </c>
      <c r="AH257" s="98">
        <f t="shared" si="158"/>
        <v>3.0846781984869901E-2</v>
      </c>
      <c r="AI257" s="98">
        <f t="shared" si="159"/>
        <v>1.5707963267948966</v>
      </c>
      <c r="AJ257" s="98" t="str">
        <f t="shared" si="145"/>
        <v>1+3.6244968832222i</v>
      </c>
      <c r="AK257" s="98">
        <f t="shared" si="160"/>
        <v>3.7599172406433952</v>
      </c>
      <c r="AL257" s="98">
        <f t="shared" si="161"/>
        <v>1.3015932498906835</v>
      </c>
      <c r="AM257" s="98" t="str">
        <f t="shared" si="146"/>
        <v>1+7.24899376644442i</v>
      </c>
      <c r="AN257" s="98">
        <f t="shared" si="162"/>
        <v>7.3176437892227355</v>
      </c>
      <c r="AO257" s="98">
        <f t="shared" si="163"/>
        <v>1.4337113637682977</v>
      </c>
      <c r="AP257" s="168" t="str">
        <f t="shared" si="164"/>
        <v>-0.000746212409255449+0.00561516937653628i</v>
      </c>
      <c r="AQ257" s="98">
        <f t="shared" si="165"/>
        <v>-44.93671425940137</v>
      </c>
      <c r="AR257" s="169">
        <f t="shared" si="166"/>
        <v>97.569810322416046</v>
      </c>
      <c r="AS257" s="168" t="str">
        <f t="shared" si="167"/>
        <v>0.0303638907820627+0.0105388114632695i</v>
      </c>
      <c r="AT257" s="190">
        <f t="shared" si="168"/>
        <v>-29.858860526592022</v>
      </c>
      <c r="AU257" s="169">
        <f t="shared" si="169"/>
        <v>19.141054180924183</v>
      </c>
      <c r="AV257" s="225"/>
      <c r="AX257">
        <f t="shared" si="170"/>
        <v>0</v>
      </c>
      <c r="AY257">
        <f t="shared" si="171"/>
        <v>0</v>
      </c>
    </row>
    <row r="258" spans="14:51" x14ac:dyDescent="0.3">
      <c r="N258" s="170">
        <v>40</v>
      </c>
      <c r="O258" s="199">
        <f t="shared" si="172"/>
        <v>2511.8864315095811</v>
      </c>
      <c r="P258" s="189" t="str">
        <f t="shared" si="138"/>
        <v>20.7142857142857</v>
      </c>
      <c r="Q258" s="160" t="str">
        <f t="shared" si="139"/>
        <v>1+3.60746238166053i</v>
      </c>
      <c r="R258" s="160">
        <f t="shared" si="147"/>
        <v>3.7434990096293412</v>
      </c>
      <c r="S258" s="160">
        <f t="shared" si="148"/>
        <v>1.300383004246997</v>
      </c>
      <c r="T258" s="160" t="str">
        <f t="shared" si="140"/>
        <v>1+0.000315652958395296i</v>
      </c>
      <c r="U258" s="160">
        <f t="shared" si="149"/>
        <v>1.0000000498183939</v>
      </c>
      <c r="V258" s="160">
        <f t="shared" si="150"/>
        <v>3.1565294791174745E-4</v>
      </c>
      <c r="W258" s="98" t="str">
        <f t="shared" si="141"/>
        <v>1-0.082858901578765i</v>
      </c>
      <c r="X258" s="160">
        <f t="shared" si="151"/>
        <v>1.0034269268715283</v>
      </c>
      <c r="Y258" s="160">
        <f t="shared" si="152"/>
        <v>-8.267005361185277E-2</v>
      </c>
      <c r="Z258" s="98" t="str">
        <f t="shared" si="142"/>
        <v>0.99947377465484-0.00618269467625587i</v>
      </c>
      <c r="AA258" s="160">
        <f t="shared" si="153"/>
        <v>0.99949289739159908</v>
      </c>
      <c r="AB258" s="160">
        <f t="shared" si="154"/>
        <v>-6.1858709778750531E-3</v>
      </c>
      <c r="AC258" s="171" t="str">
        <f t="shared" si="155"/>
        <v>1.07229227866492-5.45070981449555i</v>
      </c>
      <c r="AD258" s="190">
        <f t="shared" si="156"/>
        <v>14.893966002269023</v>
      </c>
      <c r="AE258" s="169">
        <f t="shared" si="157"/>
        <v>-78.870593176624027</v>
      </c>
      <c r="AF258" s="98" t="str">
        <f t="shared" si="143"/>
        <v>-0.0000897803247373448</v>
      </c>
      <c r="AG258" s="98" t="str">
        <f t="shared" si="144"/>
        <v>0.0315652958395295i</v>
      </c>
      <c r="AH258" s="98">
        <f t="shared" si="158"/>
        <v>3.1565295839529502E-2</v>
      </c>
      <c r="AI258" s="98">
        <f t="shared" si="159"/>
        <v>1.5707963267948966</v>
      </c>
      <c r="AJ258" s="98" t="str">
        <f t="shared" si="145"/>
        <v>1+3.70892226114473i</v>
      </c>
      <c r="AK258" s="98">
        <f t="shared" si="160"/>
        <v>3.8413675090018322</v>
      </c>
      <c r="AL258" s="98">
        <f t="shared" si="161"/>
        <v>1.3074386109501115</v>
      </c>
      <c r="AM258" s="98" t="str">
        <f t="shared" si="146"/>
        <v>1+7.41784452228947i</v>
      </c>
      <c r="AN258" s="98">
        <f t="shared" si="162"/>
        <v>7.484946049028002</v>
      </c>
      <c r="AO258" s="98">
        <f t="shared" si="163"/>
        <v>1.4367941524632444</v>
      </c>
      <c r="AP258" s="168" t="str">
        <f t="shared" si="164"/>
        <v>-0.00071490333180982+0.00549579407339078i</v>
      </c>
      <c r="AQ258" s="98">
        <f t="shared" si="165"/>
        <v>-45.126517529774034</v>
      </c>
      <c r="AR258" s="169">
        <f t="shared" si="166"/>
        <v>97.411526585331842</v>
      </c>
      <c r="AS258" s="168" t="str">
        <f t="shared" si="167"/>
        <v>0.0291893933715861+0.00978982815714072i</v>
      </c>
      <c r="AT258" s="190">
        <f t="shared" si="168"/>
        <v>-30.232551527505006</v>
      </c>
      <c r="AU258" s="169">
        <f t="shared" si="169"/>
        <v>18.540933408707829</v>
      </c>
      <c r="AV258" s="225"/>
      <c r="AX258">
        <f t="shared" si="170"/>
        <v>0</v>
      </c>
      <c r="AY258">
        <f t="shared" si="171"/>
        <v>0</v>
      </c>
    </row>
    <row r="259" spans="14:51" x14ac:dyDescent="0.3">
      <c r="N259" s="170">
        <v>41</v>
      </c>
      <c r="O259" s="199">
        <f t="shared" si="172"/>
        <v>2570.3957827688669</v>
      </c>
      <c r="P259" s="189" t="str">
        <f t="shared" si="138"/>
        <v>20.7142857142857</v>
      </c>
      <c r="Q259" s="160" t="str">
        <f t="shared" si="139"/>
        <v>1+3.69149097506965i</v>
      </c>
      <c r="R259" s="160">
        <f t="shared" si="147"/>
        <v>3.8245399225293326</v>
      </c>
      <c r="S259" s="160">
        <f t="shared" si="148"/>
        <v>1.3062521198773076</v>
      </c>
      <c r="T259" s="160" t="str">
        <f t="shared" si="140"/>
        <v>1+0.000323005460318594i</v>
      </c>
      <c r="U259" s="160">
        <f t="shared" si="149"/>
        <v>1.0000000521662624</v>
      </c>
      <c r="V259" s="160">
        <f t="shared" si="150"/>
        <v>3.2300544908526937E-4</v>
      </c>
      <c r="W259" s="98" t="str">
        <f t="shared" si="141"/>
        <v>1-0.0847889333336307i</v>
      </c>
      <c r="X259" s="160">
        <f t="shared" si="151"/>
        <v>1.0035881442184613</v>
      </c>
      <c r="Y259" s="160">
        <f t="shared" si="152"/>
        <v>-8.4586618145173417E-2</v>
      </c>
      <c r="Z259" s="98" t="str">
        <f t="shared" si="142"/>
        <v>0.999448974418375-0.00632670813562414i</v>
      </c>
      <c r="AA259" s="160">
        <f t="shared" si="153"/>
        <v>0.99946899886978724</v>
      </c>
      <c r="AB259" s="160">
        <f t="shared" si="154"/>
        <v>-6.3301116844773587E-3</v>
      </c>
      <c r="AC259" s="171" t="str">
        <f t="shared" si="155"/>
        <v>1.00899726917187-5.34405404077873i</v>
      </c>
      <c r="AD259" s="190">
        <f t="shared" si="156"/>
        <v>14.709539609889859</v>
      </c>
      <c r="AE259" s="169">
        <f t="shared" si="157"/>
        <v>-79.307994139630452</v>
      </c>
      <c r="AF259" s="98" t="str">
        <f t="shared" si="143"/>
        <v>-0.0000897803247373448</v>
      </c>
      <c r="AG259" s="98" t="str">
        <f t="shared" si="144"/>
        <v>0.0323005460318594i</v>
      </c>
      <c r="AH259" s="98">
        <f t="shared" si="158"/>
        <v>3.2300546031859403E-2</v>
      </c>
      <c r="AI259" s="98">
        <f t="shared" si="159"/>
        <v>1.5707963267948966</v>
      </c>
      <c r="AJ259" s="98" t="str">
        <f t="shared" si="145"/>
        <v>1+3.79531415874348i</v>
      </c>
      <c r="AK259" s="98">
        <f t="shared" si="160"/>
        <v>3.9248451642782971</v>
      </c>
      <c r="AL259" s="98">
        <f t="shared" si="161"/>
        <v>1.3131687743041844</v>
      </c>
      <c r="AM259" s="98" t="str">
        <f t="shared" si="146"/>
        <v>1+7.59062831748698i</v>
      </c>
      <c r="AN259" s="98">
        <f t="shared" si="162"/>
        <v>7.6562156614240715</v>
      </c>
      <c r="AO259" s="98">
        <f t="shared" si="163"/>
        <v>1.4398092463110124</v>
      </c>
      <c r="AP259" s="168" t="str">
        <f t="shared" si="164"/>
        <v>-0.000684816130933932+0.00537862198714544i</v>
      </c>
      <c r="AQ259" s="98">
        <f t="shared" si="165"/>
        <v>-45.316741246523506</v>
      </c>
      <c r="AR259" s="169">
        <f t="shared" si="166"/>
        <v>97.255964561535819</v>
      </c>
      <c r="AS259" s="168" t="str">
        <f t="shared" si="167"/>
        <v>0.0280526689582287+0.00908670930864546i</v>
      </c>
      <c r="AT259" s="190">
        <f t="shared" si="168"/>
        <v>-30.607201636633651</v>
      </c>
      <c r="AU259" s="169">
        <f t="shared" si="169"/>
        <v>17.947970421905389</v>
      </c>
      <c r="AV259" s="225"/>
      <c r="AX259">
        <f t="shared" si="170"/>
        <v>0</v>
      </c>
      <c r="AY259">
        <f t="shared" si="171"/>
        <v>0</v>
      </c>
    </row>
    <row r="260" spans="14:51" x14ac:dyDescent="0.3">
      <c r="N260" s="170">
        <v>42</v>
      </c>
      <c r="O260" s="199">
        <f t="shared" si="172"/>
        <v>2630.2679918953822</v>
      </c>
      <c r="P260" s="189" t="str">
        <f t="shared" si="138"/>
        <v>20.7142857142857</v>
      </c>
      <c r="Q260" s="160" t="str">
        <f t="shared" si="139"/>
        <v>1+3.77747684585641i</v>
      </c>
      <c r="R260" s="160">
        <f t="shared" si="147"/>
        <v>3.9075991760902613</v>
      </c>
      <c r="S260" s="160">
        <f t="shared" si="148"/>
        <v>1.312005728040309</v>
      </c>
      <c r="T260" s="160" t="str">
        <f t="shared" si="140"/>
        <v>1+0.000330529224012436i</v>
      </c>
      <c r="U260" s="160">
        <f t="shared" si="149"/>
        <v>1.0000000546247825</v>
      </c>
      <c r="V260" s="160">
        <f t="shared" si="150"/>
        <v>3.3052921197571186E-4</v>
      </c>
      <c r="W260" s="98" t="str">
        <f t="shared" si="141"/>
        <v>1-0.0867639213032642i</v>
      </c>
      <c r="X260" s="160">
        <f t="shared" si="151"/>
        <v>1.0037569317518655</v>
      </c>
      <c r="Y260" s="160">
        <f t="shared" si="152"/>
        <v>-8.6547180471629986E-2</v>
      </c>
      <c r="Z260" s="98" t="str">
        <f t="shared" si="142"/>
        <v>0.999423005382774-0.00647407609938981i</v>
      </c>
      <c r="AA260" s="160">
        <f t="shared" si="153"/>
        <v>0.99944397409243357</v>
      </c>
      <c r="AB260" s="160">
        <f t="shared" si="154"/>
        <v>-6.4777231578496634E-3</v>
      </c>
      <c r="AC260" s="171" t="str">
        <f t="shared" si="155"/>
        <v>0.948168294085933-5.23878926795914i</v>
      </c>
      <c r="AD260" s="190">
        <f t="shared" si="156"/>
        <v>14.524601603533085</v>
      </c>
      <c r="AE260" s="169">
        <f t="shared" si="157"/>
        <v>-79.74109495682913</v>
      </c>
      <c r="AF260" s="98" t="str">
        <f t="shared" si="143"/>
        <v>-0.0000897803247373448</v>
      </c>
      <c r="AG260" s="98" t="str">
        <f t="shared" si="144"/>
        <v>0.0330529224012436i</v>
      </c>
      <c r="AH260" s="98">
        <f t="shared" si="158"/>
        <v>3.3052922401243599E-2</v>
      </c>
      <c r="AI260" s="98">
        <f t="shared" si="159"/>
        <v>1.5707963267948966</v>
      </c>
      <c r="AJ260" s="98" t="str">
        <f t="shared" si="145"/>
        <v>1+3.88371838214612i</v>
      </c>
      <c r="AK260" s="98">
        <f t="shared" si="160"/>
        <v>4.0103950518396161</v>
      </c>
      <c r="AL260" s="98">
        <f t="shared" si="161"/>
        <v>1.318785272355067</v>
      </c>
      <c r="AM260" s="98" t="str">
        <f t="shared" si="146"/>
        <v>1+7.76743676429227i</v>
      </c>
      <c r="AN260" s="98">
        <f t="shared" si="162"/>
        <v>7.8315435188268703</v>
      </c>
      <c r="AO260" s="98">
        <f t="shared" si="163"/>
        <v>1.4427580245615688</v>
      </c>
      <c r="AP260" s="168" t="str">
        <f t="shared" si="164"/>
        <v>-0.000655910717098447+0.00526363231951985i</v>
      </c>
      <c r="AQ260" s="98">
        <f t="shared" si="165"/>
        <v>-45.507369645413775</v>
      </c>
      <c r="AR260" s="169">
        <f t="shared" si="166"/>
        <v>97.103115476053716</v>
      </c>
      <c r="AS260" s="168" t="str">
        <f t="shared" si="167"/>
        <v>0.0269531467602795+0.00842698730256945i</v>
      </c>
      <c r="AT260" s="190">
        <f t="shared" si="168"/>
        <v>-30.982768041880703</v>
      </c>
      <c r="AU260" s="169">
        <f t="shared" si="169"/>
        <v>17.362020519224625</v>
      </c>
      <c r="AV260" s="225"/>
      <c r="AX260">
        <f t="shared" si="170"/>
        <v>0</v>
      </c>
      <c r="AY260">
        <f t="shared" si="171"/>
        <v>0</v>
      </c>
    </row>
    <row r="261" spans="14:51" x14ac:dyDescent="0.3">
      <c r="N261" s="170">
        <v>43</v>
      </c>
      <c r="O261" s="199">
        <f t="shared" si="172"/>
        <v>2691.5348039269184</v>
      </c>
      <c r="P261" s="189" t="str">
        <f t="shared" si="138"/>
        <v>20.7142857142857</v>
      </c>
      <c r="Q261" s="160" t="str">
        <f t="shared" si="139"/>
        <v>1+3.86546558486768i</v>
      </c>
      <c r="R261" s="160">
        <f t="shared" si="147"/>
        <v>3.9927214012245376</v>
      </c>
      <c r="S261" s="160">
        <f t="shared" si="148"/>
        <v>1.3176453550123421</v>
      </c>
      <c r="T261" s="160" t="str">
        <f t="shared" si="140"/>
        <v>1+0.000338228238675922i</v>
      </c>
      <c r="U261" s="160">
        <f t="shared" si="149"/>
        <v>1.0000000571991692</v>
      </c>
      <c r="V261" s="160">
        <f t="shared" si="150"/>
        <v>3.382282257783397E-4</v>
      </c>
      <c r="W261" s="98" t="str">
        <f t="shared" si="141"/>
        <v>1-0.0887849126524293i</v>
      </c>
      <c r="X261" s="160">
        <f t="shared" si="151"/>
        <v>1.0039336435814368</v>
      </c>
      <c r="Y261" s="160">
        <f t="shared" si="152"/>
        <v>-8.8552719785694872E-2</v>
      </c>
      <c r="Z261" s="98" t="str">
        <f t="shared" si="142"/>
        <v>0.999395812464231-0.00662487670399792i</v>
      </c>
      <c r="AA261" s="160">
        <f t="shared" si="153"/>
        <v>0.99941776998529686</v>
      </c>
      <c r="AB261" s="160">
        <f t="shared" si="154"/>
        <v>-6.62878469870813E-3</v>
      </c>
      <c r="AC261" s="171" t="str">
        <f t="shared" si="155"/>
        <v>0.889724687801686-5.13494345480145i</v>
      </c>
      <c r="AD261" s="190">
        <f t="shared" si="156"/>
        <v>14.339178416002216</v>
      </c>
      <c r="AE261" s="169">
        <f t="shared" si="157"/>
        <v>-80.170034408962948</v>
      </c>
      <c r="AF261" s="98" t="str">
        <f t="shared" si="143"/>
        <v>-0.0000897803247373448</v>
      </c>
      <c r="AG261" s="98" t="str">
        <f t="shared" si="144"/>
        <v>0.0338228238675922i</v>
      </c>
      <c r="AH261" s="98">
        <f t="shared" si="158"/>
        <v>3.3822823867592201E-2</v>
      </c>
      <c r="AI261" s="98">
        <f t="shared" si="159"/>
        <v>1.5707963267948966</v>
      </c>
      <c r="AJ261" s="98" t="str">
        <f t="shared" si="145"/>
        <v>1+3.97418180444208i</v>
      </c>
      <c r="AK261" s="98">
        <f t="shared" si="160"/>
        <v>4.0980630808661918</v>
      </c>
      <c r="AL261" s="98">
        <f t="shared" si="161"/>
        <v>1.3242896650720972</v>
      </c>
      <c r="AM261" s="98" t="str">
        <f t="shared" si="146"/>
        <v>1+7.94836360888419i</v>
      </c>
      <c r="AN261" s="98">
        <f t="shared" si="162"/>
        <v>8.011022660000064</v>
      </c>
      <c r="AO261" s="98">
        <f t="shared" si="163"/>
        <v>1.4456418454633249</v>
      </c>
      <c r="AP261" s="168" t="str">
        <f t="shared" si="164"/>
        <v>-0.000628147680213071+0.00515080326979072i</v>
      </c>
      <c r="AQ261" s="98">
        <f t="shared" si="165"/>
        <v>-45.698387421249571</v>
      </c>
      <c r="AR261" s="169">
        <f t="shared" si="166"/>
        <v>96.952967771127589</v>
      </c>
      <c r="AS261" s="168" t="str">
        <f t="shared" si="167"/>
        <v>0.0258902050385108+0.00780829965030127i</v>
      </c>
      <c r="AT261" s="190">
        <f t="shared" si="168"/>
        <v>-31.359209005247362</v>
      </c>
      <c r="AU261" s="169">
        <f t="shared" si="169"/>
        <v>16.782933362164655</v>
      </c>
      <c r="AV261" s="225"/>
      <c r="AX261">
        <f t="shared" si="170"/>
        <v>0</v>
      </c>
      <c r="AY261">
        <f t="shared" si="171"/>
        <v>0</v>
      </c>
    </row>
    <row r="262" spans="14:51" x14ac:dyDescent="0.3">
      <c r="N262" s="170">
        <v>44</v>
      </c>
      <c r="O262" s="199">
        <f t="shared" si="172"/>
        <v>2754.228703338169</v>
      </c>
      <c r="P262" s="189" t="str">
        <f t="shared" si="138"/>
        <v>20.7142857142857</v>
      </c>
      <c r="Q262" s="160" t="str">
        <f t="shared" si="139"/>
        <v>1+3.95550384489753i</v>
      </c>
      <c r="R262" s="160">
        <f t="shared" si="147"/>
        <v>4.0799522873434606</v>
      </c>
      <c r="S262" s="160">
        <f t="shared" si="148"/>
        <v>1.3231725554378668</v>
      </c>
      <c r="T262" s="160" t="str">
        <f t="shared" si="140"/>
        <v>1+0.000346106586428534i</v>
      </c>
      <c r="U262" s="160">
        <f t="shared" si="149"/>
        <v>1.0000000598948828</v>
      </c>
      <c r="V262" s="160">
        <f t="shared" si="150"/>
        <v>3.4610657260852559E-4</v>
      </c>
      <c r="W262" s="98" t="str">
        <f t="shared" si="141"/>
        <v>1-0.0908529789374899i</v>
      </c>
      <c r="X262" s="160">
        <f t="shared" si="151"/>
        <v>1.0041186502509631</v>
      </c>
      <c r="Y262" s="160">
        <f t="shared" si="152"/>
        <v>-9.0604234881834569E-2</v>
      </c>
      <c r="Z262" s="98" t="str">
        <f t="shared" si="142"/>
        <v>0.99936733798292-0.00677918990592511i</v>
      </c>
      <c r="AA262" s="160">
        <f t="shared" si="153"/>
        <v>0.99939033097326324</v>
      </c>
      <c r="AB262" s="160">
        <f t="shared" si="154"/>
        <v>-6.7833775112146402E-3</v>
      </c>
      <c r="AC262" s="171" t="str">
        <f t="shared" si="155"/>
        <v>0.833587125088863-5.03254094629838i</v>
      </c>
      <c r="AD262" s="190">
        <f t="shared" si="156"/>
        <v>14.153295884067649</v>
      </c>
      <c r="AE262" s="169">
        <f t="shared" si="157"/>
        <v>-80.594953910762015</v>
      </c>
      <c r="AF262" s="98" t="str">
        <f t="shared" si="143"/>
        <v>-0.0000897803247373448</v>
      </c>
      <c r="AG262" s="98" t="str">
        <f t="shared" si="144"/>
        <v>0.0346106586428533i</v>
      </c>
      <c r="AH262" s="98">
        <f t="shared" si="158"/>
        <v>3.4610658642853301E-2</v>
      </c>
      <c r="AI262" s="98">
        <f t="shared" si="159"/>
        <v>1.5707963267948966</v>
      </c>
      <c r="AJ262" s="98" t="str">
        <f t="shared" si="145"/>
        <v>1+4.06675239053527i</v>
      </c>
      <c r="AK262" s="98">
        <f t="shared" si="160"/>
        <v>4.1878962506160926</v>
      </c>
      <c r="AL262" s="98">
        <f t="shared" si="161"/>
        <v>1.3296835362012704</v>
      </c>
      <c r="AM262" s="98" t="str">
        <f t="shared" si="146"/>
        <v>1+8.13350478107057i</v>
      </c>
      <c r="AN262" s="98">
        <f t="shared" si="162"/>
        <v>8.1947483197287898</v>
      </c>
      <c r="AO262" s="98">
        <f t="shared" si="163"/>
        <v>1.4484620460894571</v>
      </c>
      <c r="AP262" s="168" t="str">
        <f t="shared" si="164"/>
        <v>-0.000601488336532946+0.00504011211118889i</v>
      </c>
      <c r="AQ262" s="98">
        <f t="shared" si="165"/>
        <v>-45.889779725993385</v>
      </c>
      <c r="AR262" s="169">
        <f t="shared" si="166"/>
        <v>96.805507313446</v>
      </c>
      <c r="AS262" s="168" t="str">
        <f t="shared" si="167"/>
        <v>0.0248631776402675+0.00722838724721446i</v>
      </c>
      <c r="AT262" s="190">
        <f t="shared" si="168"/>
        <v>-31.736483841925729</v>
      </c>
      <c r="AU262" s="169">
        <f t="shared" si="169"/>
        <v>16.210553402683978</v>
      </c>
      <c r="AV262" s="225"/>
      <c r="AX262">
        <f t="shared" si="170"/>
        <v>0</v>
      </c>
      <c r="AY262">
        <f t="shared" si="171"/>
        <v>0</v>
      </c>
    </row>
    <row r="263" spans="14:51" x14ac:dyDescent="0.3">
      <c r="N263" s="170">
        <v>45</v>
      </c>
      <c r="O263" s="199">
        <f t="shared" si="172"/>
        <v>2818.3829312644561</v>
      </c>
      <c r="P263" s="189" t="str">
        <f t="shared" si="138"/>
        <v>20.7142857142857</v>
      </c>
      <c r="Q263" s="160" t="str">
        <f t="shared" si="139"/>
        <v>1+4.04763936542322i</v>
      </c>
      <c r="R263" s="160">
        <f t="shared" si="147"/>
        <v>4.1693386085233817</v>
      </c>
      <c r="S263" s="160">
        <f t="shared" si="148"/>
        <v>1.3285889084968141</v>
      </c>
      <c r="T263" s="160" t="str">
        <f t="shared" si="140"/>
        <v>1+0.000354168444474532i</v>
      </c>
      <c r="U263" s="160">
        <f t="shared" si="149"/>
        <v>1.0000000627176415</v>
      </c>
      <c r="V263" s="160">
        <f t="shared" si="150"/>
        <v>3.5416842966612633E-4</v>
      </c>
      <c r="W263" s="98" t="str">
        <f t="shared" si="141"/>
        <v>1-0.0929692166745644i</v>
      </c>
      <c r="X263" s="160">
        <f t="shared" si="151"/>
        <v>1.0043123394886087</v>
      </c>
      <c r="Y263" s="160">
        <f t="shared" si="152"/>
        <v>-9.2702744388354186E-2</v>
      </c>
      <c r="Z263" s="98" t="str">
        <f t="shared" si="142"/>
        <v>0.999337521540648-0.00693709752407359i</v>
      </c>
      <c r="AA263" s="160">
        <f t="shared" si="153"/>
        <v>0.99936159886252574</v>
      </c>
      <c r="AB263" s="160">
        <f t="shared" si="154"/>
        <v>-6.9415847513543448E-3</v>
      </c>
      <c r="AC263" s="171" t="str">
        <f t="shared" si="155"/>
        <v>0.779677717889916-4.9316026632385i</v>
      </c>
      <c r="AD263" s="190">
        <f t="shared" si="156"/>
        <v>13.966979268760751</v>
      </c>
      <c r="AE263" s="169">
        <f t="shared" si="157"/>
        <v>-81.0159973018513</v>
      </c>
      <c r="AF263" s="98" t="str">
        <f t="shared" si="143"/>
        <v>-0.0000897803247373448</v>
      </c>
      <c r="AG263" s="98" t="str">
        <f t="shared" si="144"/>
        <v>0.0354168444474531i</v>
      </c>
      <c r="AH263" s="98">
        <f t="shared" si="158"/>
        <v>3.5416844447453098E-2</v>
      </c>
      <c r="AI263" s="98">
        <f t="shared" si="159"/>
        <v>1.5707963267948966</v>
      </c>
      <c r="AJ263" s="98" t="str">
        <f t="shared" si="145"/>
        <v>1+4.16147922257575i</v>
      </c>
      <c r="AK263" s="98">
        <f t="shared" si="160"/>
        <v>4.2799426771780089</v>
      </c>
      <c r="AL263" s="98">
        <f t="shared" si="161"/>
        <v>1.3349684896783398</v>
      </c>
      <c r="AM263" s="98" t="str">
        <f t="shared" si="146"/>
        <v>1+8.32295844515152i</v>
      </c>
      <c r="AN263" s="98">
        <f t="shared" si="162"/>
        <v>8.3828179796366218</v>
      </c>
      <c r="AO263" s="98">
        <f t="shared" si="163"/>
        <v>1.4512199422072805</v>
      </c>
      <c r="AP263" s="168" t="str">
        <f t="shared" si="164"/>
        <v>-0.000575894769014976+0.00493153526585645i</v>
      </c>
      <c r="AQ263" s="98">
        <f t="shared" si="165"/>
        <v>-46.081532165691861</v>
      </c>
      <c r="AR263" s="169">
        <f t="shared" si="166"/>
        <v>96.660717592173768</v>
      </c>
      <c r="AS263" s="168" t="str">
        <f t="shared" si="167"/>
        <v>0.0238713601317019+0.00668509233839597i</v>
      </c>
      <c r="AT263" s="190">
        <f t="shared" si="168"/>
        <v>-32.114552896931116</v>
      </c>
      <c r="AU263" s="169">
        <f t="shared" si="169"/>
        <v>15.644720290322471</v>
      </c>
      <c r="AV263" s="225"/>
      <c r="AX263">
        <f t="shared" si="170"/>
        <v>0</v>
      </c>
      <c r="AY263">
        <f t="shared" si="171"/>
        <v>0</v>
      </c>
    </row>
    <row r="264" spans="14:51" x14ac:dyDescent="0.3">
      <c r="N264" s="170">
        <v>46</v>
      </c>
      <c r="O264" s="199">
        <f t="shared" si="172"/>
        <v>2884.0315031266077</v>
      </c>
      <c r="P264" s="189" t="str">
        <f t="shared" si="138"/>
        <v>20.7142857142857</v>
      </c>
      <c r="Q264" s="160" t="str">
        <f t="shared" si="139"/>
        <v>1+4.1419209979173i</v>
      </c>
      <c r="R264" s="160">
        <f t="shared" si="147"/>
        <v>4.2609282501572636</v>
      </c>
      <c r="S264" s="160">
        <f t="shared" si="148"/>
        <v>1.333896014276359</v>
      </c>
      <c r="T264" s="160" t="str">
        <f t="shared" si="140"/>
        <v>1+0.000362418087317764i</v>
      </c>
      <c r="U264" s="160">
        <f t="shared" si="149"/>
        <v>1.0000000656734329</v>
      </c>
      <c r="V264" s="160">
        <f t="shared" si="150"/>
        <v>3.6241807145027147E-4</v>
      </c>
      <c r="W264" s="98" t="str">
        <f t="shared" si="141"/>
        <v>1-0.0951347479209128i</v>
      </c>
      <c r="X264" s="160">
        <f t="shared" si="151"/>
        <v>1.00451511699027</v>
      </c>
      <c r="Y264" s="160">
        <f t="shared" si="152"/>
        <v>-9.4849286991569276E-2</v>
      </c>
      <c r="Z264" s="98" t="str">
        <f t="shared" si="142"/>
        <v>0.999306299892744-0.00709868328315267i</v>
      </c>
      <c r="AA264" s="160">
        <f t="shared" si="153"/>
        <v>0.99933151271721699</v>
      </c>
      <c r="AB264" s="160">
        <f t="shared" si="154"/>
        <v>-7.1034915767309087E-3</v>
      </c>
      <c r="AC264" s="171" t="str">
        <f t="shared" si="155"/>
        <v>0.727920098801744-4.83214628820029i</v>
      </c>
      <c r="AD264" s="190">
        <f t="shared" si="156"/>
        <v>13.780253276818481</v>
      </c>
      <c r="AE264" s="169">
        <f t="shared" si="157"/>
        <v>-81.433310648732814</v>
      </c>
      <c r="AF264" s="98" t="str">
        <f t="shared" si="143"/>
        <v>-0.0000897803247373448</v>
      </c>
      <c r="AG264" s="98" t="str">
        <f t="shared" si="144"/>
        <v>0.0362418087317763i</v>
      </c>
      <c r="AH264" s="98">
        <f t="shared" si="158"/>
        <v>3.62418087317763E-2</v>
      </c>
      <c r="AI264" s="98">
        <f t="shared" si="159"/>
        <v>1.5707963267948966</v>
      </c>
      <c r="AJ264" s="98" t="str">
        <f t="shared" si="145"/>
        <v>1+4.25841252598373i</v>
      </c>
      <c r="AK264" s="98">
        <f t="shared" si="160"/>
        <v>4.374251620729555</v>
      </c>
      <c r="AL264" s="98">
        <f t="shared" si="161"/>
        <v>1.3401461462412037</v>
      </c>
      <c r="AM264" s="98" t="str">
        <f t="shared" si="146"/>
        <v>1+8.51682505196747i</v>
      </c>
      <c r="AN264" s="98">
        <f t="shared" si="162"/>
        <v>8.5753314201738391</v>
      </c>
      <c r="AO264" s="98">
        <f t="shared" si="163"/>
        <v>1.4539168281875365</v>
      </c>
      <c r="AP264" s="168" t="str">
        <f t="shared" si="164"/>
        <v>-0.000551329861561474+0.00482504837808499i</v>
      </c>
      <c r="AQ264" s="98">
        <f t="shared" si="165"/>
        <v>-46.273630796334622</v>
      </c>
      <c r="AR264" s="169">
        <f t="shared" si="166"/>
        <v>96.518579907850068</v>
      </c>
      <c r="AS264" s="168" t="str">
        <f t="shared" si="167"/>
        <v>0.02291401552325+0.00617635623621708i</v>
      </c>
      <c r="AT264" s="190">
        <f t="shared" si="168"/>
        <v>-32.493377519516152</v>
      </c>
      <c r="AU264" s="169">
        <f t="shared" si="169"/>
        <v>15.085269259117295</v>
      </c>
      <c r="AV264" s="225"/>
      <c r="AX264">
        <f t="shared" si="170"/>
        <v>0</v>
      </c>
      <c r="AY264">
        <f t="shared" si="171"/>
        <v>0</v>
      </c>
    </row>
    <row r="265" spans="14:51" x14ac:dyDescent="0.3">
      <c r="N265" s="170">
        <v>47</v>
      </c>
      <c r="O265" s="199">
        <f t="shared" si="172"/>
        <v>2951.2092266663876</v>
      </c>
      <c r="P265" s="189" t="str">
        <f t="shared" si="138"/>
        <v>20.7142857142857</v>
      </c>
      <c r="Q265" s="160" t="str">
        <f t="shared" si="139"/>
        <v>1+4.23839873174928i</v>
      </c>
      <c r="R265" s="160">
        <f t="shared" si="147"/>
        <v>4.3547702361082044</v>
      </c>
      <c r="S265" s="160">
        <f t="shared" si="148"/>
        <v>1.3390954903429126</v>
      </c>
      <c r="T265" s="160" t="str">
        <f t="shared" si="140"/>
        <v>1+0.000370859889028062i</v>
      </c>
      <c r="U265" s="160">
        <f t="shared" si="149"/>
        <v>1.0000000687685262</v>
      </c>
      <c r="V265" s="160">
        <f t="shared" si="150"/>
        <v>3.708598720257375E-4</v>
      </c>
      <c r="W265" s="98" t="str">
        <f t="shared" si="141"/>
        <v>1-0.097350720869866i</v>
      </c>
      <c r="X265" s="160">
        <f t="shared" si="151"/>
        <v>1.0047274072373473</v>
      </c>
      <c r="Y265" s="160">
        <f t="shared" si="152"/>
        <v>-9.7044921649095492E-2</v>
      </c>
      <c r="Z265" s="98" t="str">
        <f t="shared" si="142"/>
        <v>0.999273606813906-0.00726403285807066i</v>
      </c>
      <c r="AA265" s="160">
        <f t="shared" si="153"/>
        <v>0.99930000873022906</v>
      </c>
      <c r="AB265" s="160">
        <f t="shared" si="154"/>
        <v>-7.2691851978332819E-3</v>
      </c>
      <c r="AC265" s="171" t="str">
        <f t="shared" si="155"/>
        <v>0.678239492121149-4.73418644741142i</v>
      </c>
      <c r="AD265" s="190">
        <f t="shared" si="156"/>
        <v>13.593142083166798</v>
      </c>
      <c r="AE265" s="169">
        <f t="shared" si="157"/>
        <v>-81.847042057528625</v>
      </c>
      <c r="AF265" s="98" t="str">
        <f t="shared" si="143"/>
        <v>-0.0000897803247373448</v>
      </c>
      <c r="AG265" s="98" t="str">
        <f t="shared" si="144"/>
        <v>0.0370859889028062i</v>
      </c>
      <c r="AH265" s="98">
        <f t="shared" si="158"/>
        <v>3.7085988902806198E-2</v>
      </c>
      <c r="AI265" s="98">
        <f t="shared" si="159"/>
        <v>1.5707963267948966</v>
      </c>
      <c r="AJ265" s="98" t="str">
        <f t="shared" si="145"/>
        <v>1+4.35760369607973i</v>
      </c>
      <c r="AK265" s="98">
        <f t="shared" si="160"/>
        <v>4.4708735133179207</v>
      </c>
      <c r="AL265" s="98">
        <f t="shared" si="161"/>
        <v>1.3452181402367054</v>
      </c>
      <c r="AM265" s="98" t="str">
        <f t="shared" si="146"/>
        <v>1+8.71520739215948i</v>
      </c>
      <c r="AN265" s="98">
        <f t="shared" si="162"/>
        <v>8.772390773805693</v>
      </c>
      <c r="AO265" s="98">
        <f t="shared" si="163"/>
        <v>1.4565539769506313</v>
      </c>
      <c r="AP265" s="168" t="str">
        <f t="shared" si="164"/>
        <v>-0.000527757327579869+0.00472062638559867i</v>
      </c>
      <c r="AQ265" s="98">
        <f t="shared" si="165"/>
        <v>-46.466062118762402</v>
      </c>
      <c r="AR265" s="169">
        <f t="shared" si="166"/>
        <v>96.379073552265652</v>
      </c>
      <c r="AS265" s="168" t="str">
        <f t="shared" si="167"/>
        <v>0.021990379596173+0.00570021683001282i</v>
      </c>
      <c r="AT265" s="190">
        <f t="shared" si="168"/>
        <v>-32.872920035595605</v>
      </c>
      <c r="AU265" s="169">
        <f t="shared" si="169"/>
        <v>14.532031494737016</v>
      </c>
      <c r="AV265" s="225"/>
      <c r="AX265">
        <f t="shared" si="170"/>
        <v>0</v>
      </c>
      <c r="AY265">
        <f t="shared" si="171"/>
        <v>0</v>
      </c>
    </row>
    <row r="266" spans="14:51" x14ac:dyDescent="0.3">
      <c r="N266" s="170">
        <v>48</v>
      </c>
      <c r="O266" s="199">
        <f t="shared" si="172"/>
        <v>3019.9517204020176</v>
      </c>
      <c r="P266" s="189" t="str">
        <f t="shared" si="138"/>
        <v>20.7142857142857</v>
      </c>
      <c r="Q266" s="160" t="str">
        <f t="shared" si="139"/>
        <v>1+4.33712372069067i</v>
      </c>
      <c r="R266" s="160">
        <f t="shared" si="147"/>
        <v>4.4509147563818479</v>
      </c>
      <c r="S266" s="160">
        <f t="shared" si="148"/>
        <v>1.34418896850957</v>
      </c>
      <c r="T266" s="160" t="str">
        <f t="shared" si="140"/>
        <v>1+0.000379498325560434i</v>
      </c>
      <c r="U266" s="160">
        <f t="shared" si="149"/>
        <v>1.000000072009487</v>
      </c>
      <c r="V266" s="160">
        <f t="shared" si="150"/>
        <v>3.7949830734211511E-4</v>
      </c>
      <c r="W266" s="98" t="str">
        <f t="shared" si="141"/>
        <v>1-0.0996183104596137i</v>
      </c>
      <c r="X266" s="160">
        <f t="shared" si="151"/>
        <v>1.0049496543503202</v>
      </c>
      <c r="Y266" s="160">
        <f t="shared" si="152"/>
        <v>-9.9290727790959113E-2</v>
      </c>
      <c r="Z266" s="98" t="str">
        <f t="shared" si="142"/>
        <v>0.999239372957732-0.00743323391936084i</v>
      </c>
      <c r="AA266" s="160">
        <f t="shared" si="153"/>
        <v>0.99926702008795487</v>
      </c>
      <c r="AB266" s="160">
        <f t="shared" si="154"/>
        <v>-7.4387549308309684E-3</v>
      </c>
      <c r="AC266" s="171" t="str">
        <f t="shared" si="155"/>
        <v>0.630562773317163-4.63773488800052i</v>
      </c>
      <c r="AD266" s="190">
        <f t="shared" si="156"/>
        <v>13.405669354340093</v>
      </c>
      <c r="AE266" s="169">
        <f t="shared" si="157"/>
        <v>-82.257341497134391</v>
      </c>
      <c r="AF266" s="98" t="str">
        <f t="shared" si="143"/>
        <v>-0.0000897803247373448</v>
      </c>
      <c r="AG266" s="98" t="str">
        <f t="shared" si="144"/>
        <v>0.0379498325560434i</v>
      </c>
      <c r="AH266" s="98">
        <f t="shared" si="158"/>
        <v>3.7949832556043402E-2</v>
      </c>
      <c r="AI266" s="98">
        <f t="shared" si="159"/>
        <v>1.5707963267948966</v>
      </c>
      <c r="AJ266" s="98" t="str">
        <f t="shared" si="145"/>
        <v>1+4.4591053253351i</v>
      </c>
      <c r="AK266" s="98">
        <f t="shared" si="160"/>
        <v>4.5698599871803349</v>
      </c>
      <c r="AL266" s="98">
        <f t="shared" si="161"/>
        <v>1.3501861166165303</v>
      </c>
      <c r="AM266" s="98" t="str">
        <f t="shared" si="146"/>
        <v>1+8.91821065067022i</v>
      </c>
      <c r="AN266" s="98">
        <f t="shared" si="162"/>
        <v>8.9741005794301056</v>
      </c>
      <c r="AO266" s="98">
        <f t="shared" si="163"/>
        <v>1.459132639947021</v>
      </c>
      <c r="AP266" s="168" t="str">
        <f t="shared" si="164"/>
        <v>-0.000505141733275515+0.00461824358868515i</v>
      </c>
      <c r="AQ266" s="98">
        <f t="shared" si="165"/>
        <v>-46.658813072734866</v>
      </c>
      <c r="AR266" s="169">
        <f t="shared" si="166"/>
        <v>96.242175979460711</v>
      </c>
      <c r="AS266" s="168" t="str">
        <f t="shared" si="167"/>
        <v>0.0210996658402774+0.00525480592493243i</v>
      </c>
      <c r="AT266" s="190">
        <f t="shared" si="168"/>
        <v>-33.253143718394774</v>
      </c>
      <c r="AU266" s="169">
        <f t="shared" si="169"/>
        <v>13.984834482326345</v>
      </c>
      <c r="AV266" s="225"/>
      <c r="AX266">
        <f t="shared" si="170"/>
        <v>0</v>
      </c>
      <c r="AY266">
        <f t="shared" si="171"/>
        <v>0</v>
      </c>
    </row>
    <row r="267" spans="14:51" x14ac:dyDescent="0.3">
      <c r="N267" s="170">
        <v>49</v>
      </c>
      <c r="O267" s="199">
        <f t="shared" si="172"/>
        <v>3090.295432513592</v>
      </c>
      <c r="P267" s="189" t="str">
        <f t="shared" si="138"/>
        <v>20.7142857142857</v>
      </c>
      <c r="Q267" s="160" t="str">
        <f t="shared" si="139"/>
        <v>1+4.43814831003739i</v>
      </c>
      <c r="R267" s="160">
        <f t="shared" si="147"/>
        <v>4.5494131953349486</v>
      </c>
      <c r="S267" s="160">
        <f t="shared" si="148"/>
        <v>1.349178091793769</v>
      </c>
      <c r="T267" s="160" t="str">
        <f t="shared" si="140"/>
        <v>1+0.000388337977128272i</v>
      </c>
      <c r="U267" s="160">
        <f t="shared" si="149"/>
        <v>1.0000000754031895</v>
      </c>
      <c r="V267" s="160">
        <f t="shared" si="150"/>
        <v>3.8833795760699169E-4</v>
      </c>
      <c r="W267" s="98" t="str">
        <f t="shared" si="141"/>
        <v>1-0.101938718996171i</v>
      </c>
      <c r="X267" s="160">
        <f t="shared" si="151"/>
        <v>1.005182322979558</v>
      </c>
      <c r="Y267" s="160">
        <f t="shared" si="152"/>
        <v>-0.10158780550713532</v>
      </c>
      <c r="Z267" s="98" t="str">
        <f t="shared" si="142"/>
        <v>0.999203525709621-0.00760637617966555i</v>
      </c>
      <c r="AA267" s="160">
        <f t="shared" si="153"/>
        <v>0.99923247682865268</v>
      </c>
      <c r="AB267" s="160">
        <f t="shared" si="154"/>
        <v>-7.6122922519575881E-3</v>
      </c>
      <c r="AC267" s="171" t="str">
        <f t="shared" si="155"/>
        <v>0.584818517772023-4.54280065024968i</v>
      </c>
      <c r="AD267" s="190">
        <f t="shared" si="156"/>
        <v>13.217858272742236</v>
      </c>
      <c r="AE267" s="169">
        <f t="shared" si="157"/>
        <v>-82.664360632398768</v>
      </c>
      <c r="AF267" s="98" t="str">
        <f t="shared" si="143"/>
        <v>-0.0000897803247373448</v>
      </c>
      <c r="AG267" s="98" t="str">
        <f t="shared" si="144"/>
        <v>0.0388337977128272i</v>
      </c>
      <c r="AH267" s="98">
        <f t="shared" si="158"/>
        <v>3.8833797712827203E-2</v>
      </c>
      <c r="AI267" s="98">
        <f t="shared" si="159"/>
        <v>1.5707963267948966</v>
      </c>
      <c r="AJ267" s="98" t="str">
        <f t="shared" si="145"/>
        <v>1+4.5629712312572i</v>
      </c>
      <c r="AK267" s="98">
        <f t="shared" si="160"/>
        <v>4.6712639036218935</v>
      </c>
      <c r="AL267" s="98">
        <f t="shared" si="161"/>
        <v>1.355051728116498</v>
      </c>
      <c r="AM267" s="98" t="str">
        <f t="shared" si="146"/>
        <v>1+9.12594246251441i</v>
      </c>
      <c r="AN267" s="98">
        <f t="shared" si="162"/>
        <v>9.1805678380546567</v>
      </c>
      <c r="AO267" s="98">
        <f t="shared" si="163"/>
        <v>1.4616540471691011</v>
      </c>
      <c r="AP267" s="168" t="str">
        <f t="shared" si="164"/>
        <v>-0.000483448516082217+0.00451787371701531i</v>
      </c>
      <c r="AQ267" s="98">
        <f t="shared" si="165"/>
        <v>-46.851871030258778</v>
      </c>
      <c r="AR267" s="169">
        <f t="shared" si="166"/>
        <v>96.107862968021195</v>
      </c>
      <c r="AS267" s="168" t="str">
        <f t="shared" si="167"/>
        <v>0.0202410700148088+0.00483834644388661i</v>
      </c>
      <c r="AT267" s="190">
        <f t="shared" si="168"/>
        <v>-33.634012757516544</v>
      </c>
      <c r="AU267" s="169">
        <f t="shared" si="169"/>
        <v>13.44350233562243</v>
      </c>
      <c r="AV267" s="225"/>
      <c r="AX267">
        <f t="shared" si="170"/>
        <v>0</v>
      </c>
      <c r="AY267">
        <f t="shared" si="171"/>
        <v>0</v>
      </c>
    </row>
    <row r="268" spans="14:51" x14ac:dyDescent="0.3">
      <c r="N268" s="170">
        <v>50</v>
      </c>
      <c r="O268" s="199">
        <f t="shared" si="172"/>
        <v>3162.2776601683804</v>
      </c>
      <c r="P268" s="189" t="str">
        <f t="shared" si="138"/>
        <v>20.7142857142857</v>
      </c>
      <c r="Q268" s="160" t="str">
        <f t="shared" si="139"/>
        <v>1+4.54152606436393i</v>
      </c>
      <c r="R268" s="160">
        <f t="shared" si="147"/>
        <v>4.6503181604377275</v>
      </c>
      <c r="S268" s="160">
        <f t="shared" si="148"/>
        <v>1.3540645115595416</v>
      </c>
      <c r="T268" s="160" t="str">
        <f t="shared" si="140"/>
        <v>1+0.000397383530631844i</v>
      </c>
      <c r="U268" s="160">
        <f t="shared" si="149"/>
        <v>1.000000078956832</v>
      </c>
      <c r="V268" s="160">
        <f t="shared" si="150"/>
        <v>3.9738350971441533E-4</v>
      </c>
      <c r="W268" s="98" t="str">
        <f t="shared" si="141"/>
        <v>1-0.104313176790859i</v>
      </c>
      <c r="X268" s="160">
        <f t="shared" si="151"/>
        <v>1.0054258992348473</v>
      </c>
      <c r="Y268" s="160">
        <f t="shared" si="152"/>
        <v>-0.10393727572003102</v>
      </c>
      <c r="Z268" s="98" t="str">
        <f t="shared" si="142"/>
        <v>0.999165989032756-0.007783551441303i</v>
      </c>
      <c r="AA268" s="160">
        <f t="shared" si="153"/>
        <v>0.99919630569415374</v>
      </c>
      <c r="AB268" s="160">
        <f t="shared" si="154"/>
        <v>-7.7898908535455023E-3</v>
      </c>
      <c r="AC268" s="171" t="str">
        <f t="shared" si="155"/>
        <v>0.540937039606699-4.44939023453013i</v>
      </c>
      <c r="AD268" s="190">
        <f t="shared" si="156"/>
        <v>13.029731561662645</v>
      </c>
      <c r="AE268" s="169">
        <f t="shared" si="157"/>
        <v>-83.068252666919889</v>
      </c>
      <c r="AF268" s="98" t="str">
        <f t="shared" si="143"/>
        <v>-0.0000897803247373448</v>
      </c>
      <c r="AG268" s="98" t="str">
        <f t="shared" si="144"/>
        <v>0.0397383530631844i</v>
      </c>
      <c r="AH268" s="98">
        <f t="shared" si="158"/>
        <v>3.9738353063184399E-2</v>
      </c>
      <c r="AI268" s="98">
        <f t="shared" si="159"/>
        <v>1.5707963267948966</v>
      </c>
      <c r="AJ268" s="98" t="str">
        <f t="shared" si="145"/>
        <v>1+4.66925648492417i</v>
      </c>
      <c r="AK268" s="98">
        <f t="shared" si="160"/>
        <v>4.7751393824689989</v>
      </c>
      <c r="AL268" s="98">
        <f t="shared" si="161"/>
        <v>1.3598166326132708</v>
      </c>
      <c r="AM268" s="98" t="str">
        <f t="shared" si="146"/>
        <v>1+9.33851296984836i</v>
      </c>
      <c r="AN268" s="98">
        <f t="shared" si="162"/>
        <v>9.3919020697634004</v>
      </c>
      <c r="AO268" s="98">
        <f t="shared" si="163"/>
        <v>1.464119407192104</v>
      </c>
      <c r="AP268" s="168" t="str">
        <f t="shared" si="164"/>
        <v>-0.000462643998619791+0.00441948999402448i</v>
      </c>
      <c r="AQ268" s="98">
        <f t="shared" si="165"/>
        <v>-47.045223788272963</v>
      </c>
      <c r="AR268" s="169">
        <f t="shared" si="166"/>
        <v>95.976108774871548</v>
      </c>
      <c r="AS268" s="168" t="str">
        <f t="shared" si="167"/>
        <v>0.019413774346011+0.0044491495234619i</v>
      </c>
      <c r="AT268" s="190">
        <f t="shared" si="168"/>
        <v>-34.015492226610299</v>
      </c>
      <c r="AU268" s="169">
        <f t="shared" si="169"/>
        <v>12.907856107951648</v>
      </c>
      <c r="AV268" s="225"/>
      <c r="AX268">
        <f t="shared" si="170"/>
        <v>0</v>
      </c>
      <c r="AY268">
        <f t="shared" si="171"/>
        <v>0</v>
      </c>
    </row>
    <row r="269" spans="14:51" x14ac:dyDescent="0.3">
      <c r="N269" s="170">
        <v>51</v>
      </c>
      <c r="O269" s="199">
        <f t="shared" si="172"/>
        <v>3235.9365692962833</v>
      </c>
      <c r="P269" s="189" t="str">
        <f t="shared" si="138"/>
        <v>20.7142857142857</v>
      </c>
      <c r="Q269" s="160" t="str">
        <f t="shared" si="139"/>
        <v>1+4.647311795924i</v>
      </c>
      <c r="R269" s="160">
        <f t="shared" si="147"/>
        <v>4.7536835116080614</v>
      </c>
      <c r="S269" s="160">
        <f t="shared" si="148"/>
        <v>1.3588498848384218</v>
      </c>
      <c r="T269" s="160" t="str">
        <f t="shared" si="140"/>
        <v>1+0.00040663978214335i</v>
      </c>
      <c r="U269" s="160">
        <f t="shared" si="149"/>
        <v>1.0000000826779529</v>
      </c>
      <c r="V269" s="160">
        <f t="shared" si="150"/>
        <v>4.0663975972992148E-4</v>
      </c>
      <c r="W269" s="98" t="str">
        <f t="shared" si="141"/>
        <v>1-0.106742942812629i</v>
      </c>
      <c r="X269" s="160">
        <f t="shared" si="151"/>
        <v>1.0056808916551514</v>
      </c>
      <c r="Y269" s="160">
        <f t="shared" si="152"/>
        <v>-0.10634028034031298</v>
      </c>
      <c r="Z269" s="98" t="str">
        <f t="shared" si="142"/>
        <v>0.999126683306811-0.00796485364494212i</v>
      </c>
      <c r="AA269" s="160">
        <f t="shared" si="153"/>
        <v>0.99915842997457305</v>
      </c>
      <c r="AB269" s="160">
        <f t="shared" si="154"/>
        <v>-7.971646701778105E-3</v>
      </c>
      <c r="AC269" s="171" t="str">
        <f t="shared" si="155"/>
        <v>0.498850421378294-4.35750776267084i</v>
      </c>
      <c r="AD269" s="190">
        <f t="shared" si="156"/>
        <v>12.841311510967991</v>
      </c>
      <c r="AE269" s="169">
        <f t="shared" si="157"/>
        <v>-83.469172195021414</v>
      </c>
      <c r="AF269" s="98" t="str">
        <f t="shared" si="143"/>
        <v>-0.0000897803247373448</v>
      </c>
      <c r="AG269" s="98" t="str">
        <f t="shared" si="144"/>
        <v>0.0406639782143351i</v>
      </c>
      <c r="AH269" s="98">
        <f t="shared" si="158"/>
        <v>4.0663978214335102E-2</v>
      </c>
      <c r="AI269" s="98">
        <f t="shared" si="159"/>
        <v>1.5707963267948966</v>
      </c>
      <c r="AJ269" s="98" t="str">
        <f t="shared" si="145"/>
        <v>1+4.77801744018436i</v>
      </c>
      <c r="AK269" s="98">
        <f t="shared" si="160"/>
        <v>4.8815418321167661</v>
      </c>
      <c r="AL269" s="98">
        <f t="shared" si="161"/>
        <v>1.3644824906522621</v>
      </c>
      <c r="AM269" s="98" t="str">
        <f t="shared" si="146"/>
        <v>1+9.55603488036875i</v>
      </c>
      <c r="AN269" s="98">
        <f t="shared" si="162"/>
        <v>9.6082153720045316</v>
      </c>
      <c r="AO269" s="98">
        <f t="shared" si="163"/>
        <v>1.4665299072416575</v>
      </c>
      <c r="AP269" s="168" t="str">
        <f t="shared" si="164"/>
        <v>-0.000442695398552295+0.00432306519875883i</v>
      </c>
      <c r="AQ269" s="98">
        <f t="shared" si="165"/>
        <v>-47.238859560777911</v>
      </c>
      <c r="AR269" s="169">
        <f t="shared" si="166"/>
        <v>95.846886280785668</v>
      </c>
      <c r="AS269" s="168" t="str">
        <f t="shared" si="167"/>
        <v>0.0186169513760137+0.00408561153173697i</v>
      </c>
      <c r="AT269" s="190">
        <f t="shared" si="168"/>
        <v>-34.397548049809934</v>
      </c>
      <c r="AU269" s="169">
        <f t="shared" si="169"/>
        <v>12.377714085764275</v>
      </c>
      <c r="AV269" s="225"/>
      <c r="AX269">
        <f t="shared" si="170"/>
        <v>0</v>
      </c>
      <c r="AY269">
        <f t="shared" si="171"/>
        <v>0</v>
      </c>
    </row>
    <row r="270" spans="14:51" x14ac:dyDescent="0.3">
      <c r="N270" s="170">
        <v>52</v>
      </c>
      <c r="O270" s="199">
        <f t="shared" si="172"/>
        <v>3311.3112148259115</v>
      </c>
      <c r="P270" s="189" t="str">
        <f t="shared" si="138"/>
        <v>20.7142857142857</v>
      </c>
      <c r="Q270" s="160" t="str">
        <f t="shared" si="139"/>
        <v>1+4.75556159371273i</v>
      </c>
      <c r="R270" s="160">
        <f t="shared" si="147"/>
        <v>4.8595643911358515</v>
      </c>
      <c r="S270" s="160">
        <f t="shared" si="148"/>
        <v>1.3635358718228456</v>
      </c>
      <c r="T270" s="160" t="str">
        <f t="shared" si="140"/>
        <v>1+0.000416111639449864i</v>
      </c>
      <c r="U270" s="160">
        <f t="shared" si="149"/>
        <v>1.0000000865744445</v>
      </c>
      <c r="V270" s="160">
        <f t="shared" si="150"/>
        <v>4.1611161543344275E-4</v>
      </c>
      <c r="W270" s="98" t="str">
        <f t="shared" si="141"/>
        <v>1-0.109229305355589i</v>
      </c>
      <c r="X270" s="160">
        <f t="shared" si="151"/>
        <v>1.0059478322201727</v>
      </c>
      <c r="Y270" s="160">
        <f t="shared" si="152"/>
        <v>-0.1087979824043946</v>
      </c>
      <c r="Z270" s="98" t="str">
        <f t="shared" si="142"/>
        <v>0.999085525159072-0.00815037891941112i</v>
      </c>
      <c r="AA270" s="160">
        <f t="shared" si="153"/>
        <v>0.99911876934572141</v>
      </c>
      <c r="AB270" s="160">
        <f t="shared" si="154"/>
        <v>-8.1576580962292918E-3</v>
      </c>
      <c r="AC270" s="171" t="str">
        <f>(IMDIV(IMPRODUCT(P270,T270,W270),IMPRODUCT(Q270,Z270)))</f>
        <v>0.458492535404862-4.26715513357155i</v>
      </c>
      <c r="AD270" s="190">
        <f t="shared" si="156"/>
        <v>12.652620003398631</v>
      </c>
      <c r="AE270" s="169">
        <f t="shared" si="157"/>
        <v>-83.867275062455263</v>
      </c>
      <c r="AF270" s="98" t="str">
        <f t="shared" si="143"/>
        <v>-0.0000897803247373448</v>
      </c>
      <c r="AG270" s="98" t="str">
        <f t="shared" si="144"/>
        <v>0.0416111639449863i</v>
      </c>
      <c r="AH270" s="98">
        <f t="shared" si="158"/>
        <v>4.1611163944986297E-2</v>
      </c>
      <c r="AI270" s="98">
        <f t="shared" si="159"/>
        <v>1.5707963267948966</v>
      </c>
      <c r="AJ270" s="98" t="str">
        <f t="shared" si="145"/>
        <v>1+4.8893117635359i</v>
      </c>
      <c r="AK270" s="98">
        <f t="shared" si="160"/>
        <v>4.990527980189122</v>
      </c>
      <c r="AL270" s="98">
        <f t="shared" si="161"/>
        <v>1.3690509631403756</v>
      </c>
      <c r="AM270" s="98" t="str">
        <f t="shared" si="146"/>
        <v>1+9.77862352707183i</v>
      </c>
      <c r="AN270" s="98">
        <f t="shared" si="162"/>
        <v>9.8296224792309648</v>
      </c>
      <c r="AO270" s="98">
        <f t="shared" si="163"/>
        <v>1.4688867132857943</v>
      </c>
      <c r="AP270" s="168" t="str">
        <f t="shared" si="164"/>
        <v>-0.000423570834703808+0.00422857172511752i</v>
      </c>
      <c r="AQ270" s="98">
        <f t="shared" si="165"/>
        <v>-47.432766970491535</v>
      </c>
      <c r="AR270" s="169">
        <f t="shared" si="166"/>
        <v>95.720167127855106</v>
      </c>
      <c r="AS270" s="168" t="str">
        <f t="shared" si="167"/>
        <v>0.0178497674785838+0.00374621103312798i</v>
      </c>
      <c r="AT270" s="190">
        <f t="shared" si="168"/>
        <v>-34.780146967092911</v>
      </c>
      <c r="AU270" s="169">
        <f t="shared" si="169"/>
        <v>11.852892065399853</v>
      </c>
      <c r="AV270" s="225"/>
      <c r="AX270">
        <f t="shared" si="170"/>
        <v>0</v>
      </c>
      <c r="AY270">
        <f t="shared" si="171"/>
        <v>0</v>
      </c>
    </row>
    <row r="271" spans="14:51" x14ac:dyDescent="0.3">
      <c r="N271" s="170">
        <v>53</v>
      </c>
      <c r="O271" s="199">
        <f t="shared" si="172"/>
        <v>3388.4415613920314</v>
      </c>
      <c r="P271" s="189" t="str">
        <f t="shared" si="138"/>
        <v>20.7142857142857</v>
      </c>
      <c r="Q271" s="160" t="str">
        <f t="shared" si="139"/>
        <v>1+4.86633285320574i</v>
      </c>
      <c r="R271" s="160">
        <f t="shared" si="147"/>
        <v>4.9680172542161642</v>
      </c>
      <c r="S271" s="160">
        <f t="shared" si="148"/>
        <v>1.3681241335256851</v>
      </c>
      <c r="T271" s="160" t="str">
        <f t="shared" si="140"/>
        <v>1+0.000425804124655502i</v>
      </c>
      <c r="U271" s="160">
        <f t="shared" si="149"/>
        <v>1.0000000906545721</v>
      </c>
      <c r="V271" s="160">
        <f t="shared" si="150"/>
        <v>4.2580409892144314E-4</v>
      </c>
      <c r="W271" s="98" t="str">
        <f t="shared" si="141"/>
        <v>1-0.111773582722069i</v>
      </c>
      <c r="X271" s="160">
        <f t="shared" si="151"/>
        <v>1.0062272774053223</v>
      </c>
      <c r="Y271" s="160">
        <f t="shared" si="152"/>
        <v>-0.11131156619175039</v>
      </c>
      <c r="Z271" s="98" t="str">
        <f t="shared" si="142"/>
        <v>0.99904242728759-0.00834022563266619i</v>
      </c>
      <c r="AA271" s="160">
        <f t="shared" si="153"/>
        <v>0.99907723969885487</v>
      </c>
      <c r="AB271" s="160">
        <f t="shared" si="154"/>
        <v>-8.3480257312639715E-3</v>
      </c>
      <c r="AC271" s="171" t="str">
        <f t="shared" si="155"/>
        <v>0.41979905744-4.17833217292636i</v>
      </c>
      <c r="AD271" s="190">
        <f t="shared" si="156"/>
        <v>12.463678541404912</v>
      </c>
      <c r="AE271" s="169">
        <f t="shared" si="157"/>
        <v>-84.262718235357283</v>
      </c>
      <c r="AF271" s="98" t="str">
        <f t="shared" si="143"/>
        <v>-0.0000897803247373448</v>
      </c>
      <c r="AG271" s="98" t="str">
        <f t="shared" si="144"/>
        <v>0.0425804124655501i</v>
      </c>
      <c r="AH271" s="98">
        <f t="shared" si="158"/>
        <v>4.2580412465550103E-2</v>
      </c>
      <c r="AI271" s="98">
        <f t="shared" si="159"/>
        <v>1.5707963267948966</v>
      </c>
      <c r="AJ271" s="98" t="str">
        <f t="shared" si="145"/>
        <v>1+5.00319846470215i</v>
      </c>
      <c r="AK271" s="98">
        <f t="shared" si="160"/>
        <v>5.1021559048306191</v>
      </c>
      <c r="AL271" s="98">
        <f t="shared" si="161"/>
        <v>1.3735237091970838</v>
      </c>
      <c r="AM271" s="98" t="str">
        <f t="shared" si="146"/>
        <v>1+10.0063969294043i</v>
      </c>
      <c r="AN271" s="98">
        <f t="shared" si="162"/>
        <v>10.056240823925796</v>
      </c>
      <c r="AO271" s="98">
        <f t="shared" si="163"/>
        <v>1.4711909701493306</v>
      </c>
      <c r="AP271" s="168" t="str">
        <f t="shared" si="164"/>
        <v>-0.000405239329771006+0.00413598163844514i</v>
      </c>
      <c r="AQ271" s="98">
        <f t="shared" si="165"/>
        <v>-47.626935040106844</v>
      </c>
      <c r="AR271" s="169">
        <f t="shared" si="166"/>
        <v>95.595921849166572</v>
      </c>
      <c r="AS271" s="168" t="str">
        <f t="shared" si="167"/>
        <v>0.0171113860578725+0.00342950572272573i</v>
      </c>
      <c r="AT271" s="190">
        <f t="shared" si="168"/>
        <v>-35.163256498701941</v>
      </c>
      <c r="AU271" s="169">
        <f t="shared" si="169"/>
        <v>11.33320361380934</v>
      </c>
      <c r="AV271" s="225"/>
      <c r="AX271">
        <f t="shared" si="170"/>
        <v>0</v>
      </c>
      <c r="AY271">
        <f t="shared" si="171"/>
        <v>0</v>
      </c>
    </row>
    <row r="272" spans="14:51" x14ac:dyDescent="0.3">
      <c r="N272" s="170">
        <v>54</v>
      </c>
      <c r="O272" s="199">
        <f t="shared" si="172"/>
        <v>3467.3685045253224</v>
      </c>
      <c r="P272" s="189" t="str">
        <f t="shared" si="138"/>
        <v>20.7142857142857</v>
      </c>
      <c r="Q272" s="160" t="str">
        <f t="shared" si="139"/>
        <v>1+4.97968430679104i</v>
      </c>
      <c r="R272" s="160">
        <f t="shared" si="147"/>
        <v>5.0790999001103501</v>
      </c>
      <c r="S272" s="160">
        <f t="shared" si="148"/>
        <v>1.3726163295994698</v>
      </c>
      <c r="T272" s="160" t="str">
        <f t="shared" si="140"/>
        <v>1+0.000435722376844216i</v>
      </c>
      <c r="U272" s="160">
        <f t="shared" si="149"/>
        <v>1.0000000949269903</v>
      </c>
      <c r="V272" s="160">
        <f t="shared" si="150"/>
        <v>4.3572234926967523E-4</v>
      </c>
      <c r="W272" s="98" t="str">
        <f t="shared" si="141"/>
        <v>1-0.114377123921606i</v>
      </c>
      <c r="X272" s="160">
        <f t="shared" si="151"/>
        <v>1.006519809281754</v>
      </c>
      <c r="Y272" s="160">
        <f t="shared" si="152"/>
        <v>-0.11388223732014352</v>
      </c>
      <c r="Z272" s="98" t="str">
        <f t="shared" si="142"/>
        <v>0.998997298276001-0.00853449444394763i</v>
      </c>
      <c r="AA272" s="160">
        <f t="shared" si="153"/>
        <v>0.99903375296241281</v>
      </c>
      <c r="AB272" s="160">
        <f t="shared" si="154"/>
        <v>-8.5428527593775921E-3</v>
      </c>
      <c r="AC272" s="171" t="str">
        <f t="shared" si="155"/>
        <v>0.382707473384501-4.09103677697348i</v>
      </c>
      <c r="AD272" s="190">
        <f t="shared" si="156"/>
        <v>12.274508274465346</v>
      </c>
      <c r="AE272" s="169">
        <f t="shared" si="157"/>
        <v>-84.655659676972334</v>
      </c>
      <c r="AF272" s="98" t="str">
        <f t="shared" si="143"/>
        <v>-0.0000897803247373448</v>
      </c>
      <c r="AG272" s="98" t="str">
        <f t="shared" si="144"/>
        <v>0.0435722376844215i</v>
      </c>
      <c r="AH272" s="98">
        <f t="shared" si="158"/>
        <v>4.3572237684421498E-2</v>
      </c>
      <c r="AI272" s="98">
        <f t="shared" si="159"/>
        <v>1.5707963267948966</v>
      </c>
      <c r="AJ272" s="98" t="str">
        <f t="shared" si="145"/>
        <v>1+5.11973792791954i</v>
      </c>
      <c r="AK272" s="98">
        <f t="shared" si="160"/>
        <v>5.2164850666495601</v>
      </c>
      <c r="AL272" s="98">
        <f t="shared" si="161"/>
        <v>1.3779023841573221</v>
      </c>
      <c r="AM272" s="98" t="str">
        <f t="shared" si="146"/>
        <v>1+10.2394758558391i</v>
      </c>
      <c r="AN272" s="98">
        <f t="shared" si="162"/>
        <v>10.288190599046649</v>
      </c>
      <c r="AO272" s="98">
        <f t="shared" si="163"/>
        <v>1.4734438016486742</v>
      </c>
      <c r="AP272" s="168" t="str">
        <f t="shared" si="164"/>
        <v>-0.000387670809954145+0.00404526672945113i</v>
      </c>
      <c r="AQ272" s="98">
        <f t="shared" si="165"/>
        <v>-47.821353183220069</v>
      </c>
      <c r="AR272" s="169">
        <f t="shared" si="166"/>
        <v>95.474119990951834</v>
      </c>
      <c r="AS272" s="168" t="str">
        <f t="shared" si="167"/>
        <v>0.0164009704466693+0.00313412935007613i</v>
      </c>
      <c r="AT272" s="190">
        <f t="shared" si="168"/>
        <v>-35.546844908754743</v>
      </c>
      <c r="AU272" s="169">
        <f t="shared" si="169"/>
        <v>10.81846031397953</v>
      </c>
      <c r="AV272" s="225"/>
      <c r="AX272">
        <f t="shared" si="170"/>
        <v>0</v>
      </c>
      <c r="AY272">
        <f t="shared" si="171"/>
        <v>0</v>
      </c>
    </row>
    <row r="273" spans="14:51" x14ac:dyDescent="0.3">
      <c r="N273" s="170">
        <v>55</v>
      </c>
      <c r="O273" s="199">
        <f t="shared" si="172"/>
        <v>3548.1338923357539</v>
      </c>
      <c r="P273" s="189" t="str">
        <f t="shared" si="138"/>
        <v>20.7142857142857</v>
      </c>
      <c r="Q273" s="160" t="str">
        <f t="shared" si="139"/>
        <v>1+5.09567605490969i</v>
      </c>
      <c r="R273" s="160">
        <f t="shared" si="147"/>
        <v>5.1928715039542404</v>
      </c>
      <c r="S273" s="160">
        <f t="shared" si="148"/>
        <v>1.3770141163087508</v>
      </c>
      <c r="T273" s="160" t="str">
        <f t="shared" si="140"/>
        <v>1+0.000445871654804598i</v>
      </c>
      <c r="U273" s="160">
        <f t="shared" si="149"/>
        <v>1.0000000994007614</v>
      </c>
      <c r="V273" s="160">
        <f t="shared" si="150"/>
        <v>4.4587162525794544E-4</v>
      </c>
      <c r="W273" s="98" t="str">
        <f t="shared" si="141"/>
        <v>1-0.117041309386207i</v>
      </c>
      <c r="X273" s="160">
        <f t="shared" si="151"/>
        <v>1.0068260366631556</v>
      </c>
      <c r="Y273" s="160">
        <f t="shared" si="152"/>
        <v>-0.11651122281669452</v>
      </c>
      <c r="Z273" s="98" t="str">
        <f t="shared" si="142"/>
        <v>0.998950042399621-0.0087332883571506i</v>
      </c>
      <c r="AA273" s="160">
        <f t="shared" si="153"/>
        <v>0.99898821691536177</v>
      </c>
      <c r="AB273" s="160">
        <f t="shared" si="154"/>
        <v>-8.7422448565562597E-3</v>
      </c>
      <c r="AC273" s="171" t="str">
        <f t="shared" si="155"/>
        <v>0.347157079687049-4.00526505023077i</v>
      </c>
      <c r="AD273" s="190">
        <f t="shared" si="156"/>
        <v>12.085130026835461</v>
      </c>
      <c r="AE273" s="169">
        <f t="shared" si="157"/>
        <v>-85.046258231650441</v>
      </c>
      <c r="AF273" s="98" t="str">
        <f t="shared" si="143"/>
        <v>-0.0000897803247373448</v>
      </c>
      <c r="AG273" s="98" t="str">
        <f t="shared" si="144"/>
        <v>0.0445871654804599i</v>
      </c>
      <c r="AH273" s="98">
        <f t="shared" si="158"/>
        <v>4.4587165480459899E-2</v>
      </c>
      <c r="AI273" s="98">
        <f t="shared" si="159"/>
        <v>1.5707963267948966</v>
      </c>
      <c r="AJ273" s="98" t="str">
        <f t="shared" si="145"/>
        <v>1+5.23899194395403i</v>
      </c>
      <c r="AK273" s="98">
        <f t="shared" si="160"/>
        <v>5.3335763413318862</v>
      </c>
      <c r="AL273" s="98">
        <f t="shared" si="161"/>
        <v>1.3821886377196286</v>
      </c>
      <c r="AM273" s="98" t="str">
        <f t="shared" si="146"/>
        <v>1+10.4779838879081i</v>
      </c>
      <c r="AN273" s="98">
        <f t="shared" si="162"/>
        <v>10.525594821921549</v>
      </c>
      <c r="AO273" s="98">
        <f t="shared" si="163"/>
        <v>1.4756463107452187</v>
      </c>
      <c r="AP273" s="168" t="str">
        <f t="shared" si="164"/>
        <v>-0.000370836101809837+0.00395639856545045i</v>
      </c>
      <c r="AQ273" s="98">
        <f t="shared" si="165"/>
        <v>-48.016011194994519</v>
      </c>
      <c r="AR273" s="169">
        <f t="shared" si="166"/>
        <v>95.354730227479934</v>
      </c>
      <c r="AS273" s="168" t="str">
        <f t="shared" si="167"/>
        <v>0.015717686520835+0.00285878865000257i</v>
      </c>
      <c r="AT273" s="190">
        <f t="shared" si="168"/>
        <v>-35.930881168159061</v>
      </c>
      <c r="AU273" s="169">
        <f t="shared" si="169"/>
        <v>10.308471995829526</v>
      </c>
      <c r="AV273" s="225"/>
      <c r="AX273">
        <f t="shared" si="170"/>
        <v>0</v>
      </c>
      <c r="AY273">
        <f t="shared" si="171"/>
        <v>0</v>
      </c>
    </row>
    <row r="274" spans="14:51" x14ac:dyDescent="0.3">
      <c r="N274" s="170">
        <v>56</v>
      </c>
      <c r="O274" s="199">
        <f t="shared" si="172"/>
        <v>3630.7805477010188</v>
      </c>
      <c r="P274" s="189" t="str">
        <f t="shared" si="138"/>
        <v>20.7142857142857</v>
      </c>
      <c r="Q274" s="160" t="str">
        <f t="shared" si="139"/>
        <v>1+5.21436959792194i</v>
      </c>
      <c r="R274" s="160">
        <f t="shared" si="147"/>
        <v>5.3093926492333008</v>
      </c>
      <c r="S274" s="160">
        <f t="shared" si="148"/>
        <v>1.3813191446490602</v>
      </c>
      <c r="T274" s="160" t="str">
        <f t="shared" si="140"/>
        <v>1+0.00045625733981817i</v>
      </c>
      <c r="U274" s="160">
        <f t="shared" si="149"/>
        <v>1.0000001040853748</v>
      </c>
      <c r="V274" s="160">
        <f t="shared" si="150"/>
        <v>4.5625730815836152E-4</v>
      </c>
      <c r="W274" s="98" t="str">
        <f t="shared" si="141"/>
        <v>1-0.119767551702269i</v>
      </c>
      <c r="X274" s="160">
        <f t="shared" si="151"/>
        <v>1.0071465963010329</v>
      </c>
      <c r="Y274" s="160">
        <f t="shared" si="152"/>
        <v>-0.11919977116260012</v>
      </c>
      <c r="Z274" s="98" t="str">
        <f t="shared" si="142"/>
        <v>0.9989005594224-0.00893671277543934i</v>
      </c>
      <c r="AA274" s="160">
        <f t="shared" si="153"/>
        <v>0.99894053499175539</v>
      </c>
      <c r="AB274" s="160">
        <f t="shared" si="154"/>
        <v>-8.946310289744755E-3</v>
      </c>
      <c r="AC274" s="171" t="str">
        <f t="shared" si="155"/>
        <v>0.313088978049731-3.92101143721524i</v>
      </c>
      <c r="AD274" s="190">
        <f t="shared" si="156"/>
        <v>11.895564325681473</v>
      </c>
      <c r="AE274" s="169">
        <f t="shared" si="157"/>
        <v>-85.434673515607912</v>
      </c>
      <c r="AF274" s="98" t="str">
        <f t="shared" si="143"/>
        <v>-0.0000897803247373448</v>
      </c>
      <c r="AG274" s="98" t="str">
        <f t="shared" si="144"/>
        <v>0.045625733981817i</v>
      </c>
      <c r="AH274" s="98">
        <f t="shared" si="158"/>
        <v>4.5625733981816997E-2</v>
      </c>
      <c r="AI274" s="98">
        <f t="shared" si="159"/>
        <v>1.5707963267948966</v>
      </c>
      <c r="AJ274" s="98" t="str">
        <f t="shared" si="145"/>
        <v>1+5.3610237428635i</v>
      </c>
      <c r="AK274" s="98">
        <f t="shared" si="160"/>
        <v>5.4534920529460909</v>
      </c>
      <c r="AL274" s="98">
        <f t="shared" si="161"/>
        <v>1.3863841122330143</v>
      </c>
      <c r="AM274" s="98" t="str">
        <f t="shared" si="146"/>
        <v>1+10.722047485727i</v>
      </c>
      <c r="AN274" s="98">
        <f t="shared" si="162"/>
        <v>10.768579399632277</v>
      </c>
      <c r="AO274" s="98">
        <f t="shared" si="163"/>
        <v>1.4777995797156211</v>
      </c>
      <c r="AP274" s="168" t="str">
        <f t="shared" si="164"/>
        <v>-0.000354706926611426+0.0038693485389387i</v>
      </c>
      <c r="AQ274" s="98">
        <f t="shared" si="165"/>
        <v>-48.210899242615746</v>
      </c>
      <c r="AR274" s="169">
        <f t="shared" si="166"/>
        <v>95.237720468968789</v>
      </c>
      <c r="AS274" s="168" t="str">
        <f t="shared" si="167"/>
        <v>0.0150607050465908+0.00260226029587741i</v>
      </c>
      <c r="AT274" s="190">
        <f t="shared" si="168"/>
        <v>-36.315334916934262</v>
      </c>
      <c r="AU274" s="169">
        <f t="shared" si="169"/>
        <v>9.8030469533608926</v>
      </c>
      <c r="AV274" s="225"/>
      <c r="AX274">
        <f t="shared" si="170"/>
        <v>0</v>
      </c>
      <c r="AY274">
        <f t="shared" si="171"/>
        <v>0</v>
      </c>
    </row>
    <row r="275" spans="14:51" x14ac:dyDescent="0.3">
      <c r="N275" s="170">
        <v>57</v>
      </c>
      <c r="O275" s="199">
        <f t="shared" si="172"/>
        <v>3715.352290971724</v>
      </c>
      <c r="P275" s="189" t="str">
        <f t="shared" ref="P275:P338" si="173">COMPLEX(Adc,0)</f>
        <v>20.7142857142857</v>
      </c>
      <c r="Q275" s="160" t="str">
        <f t="shared" ref="Q275:Q338" si="174">IMSUM(COMPLEX(1,0),IMDIV(COMPLEX(0,2*PI()*O275),COMPLEX(wp_lf,0)))</f>
        <v>1+5.33582786871534i</v>
      </c>
      <c r="R275" s="160">
        <f t="shared" si="147"/>
        <v>5.4287253609442505</v>
      </c>
      <c r="S275" s="160">
        <f t="shared" si="148"/>
        <v>1.385533058605918</v>
      </c>
      <c r="T275" s="160" t="str">
        <f t="shared" ref="T275:T338" si="175">IMSUM(COMPLEX(1,0),IMDIV(COMPLEX(0,2*PI()*O275),COMPLEX(wz_esr,0)))</f>
        <v>1+0.000466884938512592i</v>
      </c>
      <c r="U275" s="160">
        <f t="shared" si="149"/>
        <v>1.0000001089907669</v>
      </c>
      <c r="V275" s="160">
        <f t="shared" si="150"/>
        <v>4.6688490458849622E-4</v>
      </c>
      <c r="W275" s="98" t="str">
        <f t="shared" ref="W275:W338" si="176">IMSUB(COMPLEX(1,0),IMDIV(COMPLEX(0,2*PI()*O275),COMPLEX(wz_rhp,0)))</f>
        <v>1-0.122557296359555i</v>
      </c>
      <c r="X275" s="160">
        <f t="shared" si="151"/>
        <v>1.0074821541302674</v>
      </c>
      <c r="Y275" s="160">
        <f t="shared" si="152"/>
        <v>-0.12194915230918356</v>
      </c>
      <c r="Z275" s="98" t="str">
        <f t="shared" ref="Z275:Z338" si="177">IF(Dc_Mode_Loop="CCM",IMSUM(COMPLEX(1,0),IMDIV(COMPLEX(0,2*PI()*O275),COMPLEX(Q*(wsl/2),0)),IMDIV(IMPOWER(COMPLEX(0,2*PI()*O275),2),IMPOWER(COMPLEX(wsl/2,0),2))),COMPLEX(1,0))</f>
        <v>0.99884874438431-0.00914487555713296i</v>
      </c>
      <c r="AA275" s="160">
        <f t="shared" si="153"/>
        <v>0.99889060607609481</v>
      </c>
      <c r="AB275" s="160">
        <f t="shared" si="154"/>
        <v>-9.1551599865131641E-3</v>
      </c>
      <c r="AC275" s="171" t="str">
        <f t="shared" si="155"/>
        <v>0.280446065018206-3.83826884817881i</v>
      </c>
      <c r="AD275" s="190">
        <f t="shared" si="156"/>
        <v>11.705831429558813</v>
      </c>
      <c r="AE275" s="169">
        <f t="shared" si="157"/>
        <v>-85.82106581394001</v>
      </c>
      <c r="AF275" s="98" t="str">
        <f t="shared" ref="AF275:AF338" si="178">COMPLEX(Adc_ea,0)</f>
        <v>-0.0000897803247373448</v>
      </c>
      <c r="AG275" s="98" t="str">
        <f t="shared" ref="AG275:AG338" si="179">COMPLEX(0,2*PI()*O275*wp0_ea)</f>
        <v>0.0466884938512591i</v>
      </c>
      <c r="AH275" s="98">
        <f t="shared" si="158"/>
        <v>4.6688493851259102E-2</v>
      </c>
      <c r="AI275" s="98">
        <f t="shared" si="159"/>
        <v>1.5707963267948966</v>
      </c>
      <c r="AJ275" s="98" t="str">
        <f t="shared" ref="AJ275:AJ338" si="180">IMSUM(COMPLEX(1,0),IMDIV(COMPLEX(0,2*PI()*O275),COMPLEX(wp1_ea,0)))</f>
        <v>1+5.48589802752296i</v>
      </c>
      <c r="AK275" s="98">
        <f t="shared" si="160"/>
        <v>5.5762960079590727</v>
      </c>
      <c r="AL275" s="98">
        <f t="shared" si="161"/>
        <v>1.3904904411160732</v>
      </c>
      <c r="AM275" s="98" t="str">
        <f t="shared" ref="AM275:AM338" si="181">IMSUM(COMPLEX(1,0),IMDIV(COMPLEX(0,2*PI()*O275),COMPLEX(wz_ea,0)))</f>
        <v>1+10.9717960550459i</v>
      </c>
      <c r="AN275" s="98">
        <f t="shared" si="162"/>
        <v>11.01727319591925</v>
      </c>
      <c r="AO275" s="98">
        <f t="shared" si="163"/>
        <v>1.4799046703373477</v>
      </c>
      <c r="AP275" s="168" t="str">
        <f t="shared" si="164"/>
        <v>-0.000339255892484653+0.00378408791352703i</v>
      </c>
      <c r="AQ275" s="98">
        <f t="shared" si="165"/>
        <v>-48.406007855592954</v>
      </c>
      <c r="AR275" s="169">
        <f t="shared" si="166"/>
        <v>95.123057962794348</v>
      </c>
      <c r="AS275" s="168" t="str">
        <f t="shared" si="167"/>
        <v>0.0144292037771792+0.00236338788871655i</v>
      </c>
      <c r="AT275" s="190">
        <f t="shared" si="168"/>
        <v>-36.700176426034133</v>
      </c>
      <c r="AU275" s="169">
        <f t="shared" si="169"/>
        <v>9.3019921488543282</v>
      </c>
      <c r="AV275" s="225"/>
      <c r="AX275">
        <f t="shared" si="170"/>
        <v>0</v>
      </c>
      <c r="AY275">
        <f t="shared" si="171"/>
        <v>0</v>
      </c>
    </row>
    <row r="276" spans="14:51" x14ac:dyDescent="0.3">
      <c r="N276" s="170">
        <v>58</v>
      </c>
      <c r="O276" s="199">
        <f t="shared" si="172"/>
        <v>3801.8939632056172</v>
      </c>
      <c r="P276" s="189" t="str">
        <f t="shared" si="173"/>
        <v>20.7142857142857</v>
      </c>
      <c r="Q276" s="160" t="str">
        <f t="shared" si="174"/>
        <v>1+5.46011526607275i</v>
      </c>
      <c r="R276" s="160">
        <f t="shared" ref="R276:R339" si="182">IMABS(Q276)</f>
        <v>5.5509331394640924</v>
      </c>
      <c r="S276" s="160">
        <f t="shared" ref="S276:S339" si="183">IMARGUMENT(Q276)</f>
        <v>1.3896574935474202</v>
      </c>
      <c r="T276" s="160" t="str">
        <f t="shared" si="175"/>
        <v>1+0.000477760085781366i</v>
      </c>
      <c r="U276" s="160">
        <f t="shared" ref="U276:U339" si="184">IMABS(T276)</f>
        <v>1.0000001141273434</v>
      </c>
      <c r="V276" s="160">
        <f t="shared" ref="V276:V339" si="185">IMARGUMENT(T276)</f>
        <v>4.7776004943104268E-4</v>
      </c>
      <c r="W276" s="98" t="str">
        <f t="shared" si="176"/>
        <v>1-0.125412022517608i</v>
      </c>
      <c r="X276" s="160">
        <f t="shared" ref="X276:X339" si="186">IMABS(W276)</f>
        <v>1.0078334065667585</v>
      </c>
      <c r="Y276" s="160">
        <f t="shared" ref="Y276:Y339" si="187">IMARGUMENT(W276)</f>
        <v>-0.12476065766278806</v>
      </c>
      <c r="Z276" s="98" t="str">
        <f t="shared" si="177"/>
        <v>0.998794487378707-0.00935788707289371i</v>
      </c>
      <c r="AA276" s="160">
        <f t="shared" ref="AA276:AA339" si="188">IMABS(Z276)</f>
        <v>0.99883832428905284</v>
      </c>
      <c r="AB276" s="160">
        <f t="shared" ref="AB276:AB339" si="189">IMARGUMENT(Z276)</f>
        <v>-9.3689076070203881E-3</v>
      </c>
      <c r="AC276" s="171" t="str">
        <f t="shared" ref="AC276:AC339" si="190">(IMDIV(IMPRODUCT(P276,T276,W276),IMPRODUCT(Q276,Z276)))</f>
        <v>0.249173017000475-3.75702877892211i</v>
      </c>
      <c r="AD276" s="190">
        <f t="shared" ref="AD276:AD339" si="191">20*LOG(IMABS(AC276))</f>
        <v>11.515951357200468</v>
      </c>
      <c r="AE276" s="169">
        <f t="shared" ref="AE276:AE339" si="192">(180/PI())*IMARGUMENT(AC276)</f>
        <v>-86.205595983367203</v>
      </c>
      <c r="AF276" s="98" t="str">
        <f t="shared" si="178"/>
        <v>-0.0000897803247373448</v>
      </c>
      <c r="AG276" s="98" t="str">
        <f t="shared" si="179"/>
        <v>0.0477760085781366i</v>
      </c>
      <c r="AH276" s="98">
        <f t="shared" ref="AH276:AH339" si="193">IMABS(AG276)</f>
        <v>4.7776008578136603E-2</v>
      </c>
      <c r="AI276" s="98">
        <f t="shared" ref="AI276:AI339" si="194">IMARGUMENT(AG276)</f>
        <v>1.5707963267948966</v>
      </c>
      <c r="AJ276" s="98" t="str">
        <f t="shared" si="180"/>
        <v>1+5.61368100793105i</v>
      </c>
      <c r="AK276" s="98">
        <f t="shared" ref="AK276:AK339" si="195">IMABS(AJ276)</f>
        <v>5.7020535299842434</v>
      </c>
      <c r="AL276" s="98">
        <f t="shared" ref="AL276:AL339" si="196">IMARGUMENT(AJ276)</f>
        <v>1.3945092474019745</v>
      </c>
      <c r="AM276" s="98" t="str">
        <f t="shared" si="181"/>
        <v>1+11.2273620158621i</v>
      </c>
      <c r="AN276" s="98">
        <f t="shared" ref="AN276:AN339" si="197">IMABS(AM276)</f>
        <v>11.271808099645021</v>
      </c>
      <c r="AO276" s="98">
        <f t="shared" ref="AO276:AO339" si="198">IMARGUMENT(AM276)</f>
        <v>1.4819626240879931</v>
      </c>
      <c r="AP276" s="168" t="str">
        <f t="shared" ref="AP276:AP339" si="199">IMPRODUCT(AF276,IMDIV(AM276,IMPRODUCT(AG276,AJ276)))</f>
        <v>-0.000324456484568971+0.00370058786727595i</v>
      </c>
      <c r="AQ276" s="98">
        <f t="shared" ref="AQ276:AQ339" si="200">20*LOG(IMABS(AP276))</f>
        <v>-48.60132791595408</v>
      </c>
      <c r="AR276" s="169">
        <f t="shared" ref="AR276:AR339" si="201">(180/PI())*IMARGUMENT(AP276)</f>
        <v>95.010709388276666</v>
      </c>
      <c r="AS276" s="168" t="str">
        <f t="shared" ref="AS276:AS339" si="202">IMPRODUCT(AC276,AP276)</f>
        <v>0.0138223693151403+0.00214107899359802i</v>
      </c>
      <c r="AT276" s="190">
        <f t="shared" ref="AT276:AT339" si="203">20*LOG(IMABS(AS276))</f>
        <v>-37.085376558753623</v>
      </c>
      <c r="AU276" s="169">
        <f t="shared" ref="AU276:AU339" si="204">(180/PI())*IMARGUMENT(AS276)</f>
        <v>8.805113404909477</v>
      </c>
      <c r="AV276" s="225"/>
      <c r="AX276">
        <f t="shared" ref="AX276:AX339" si="205">SUM((AT277&lt;0)*(AT276&gt;0))*O276</f>
        <v>0</v>
      </c>
      <c r="AY276">
        <f t="shared" ref="AY276:AY339" si="206">IF(AX276&gt;0,AU276,0)</f>
        <v>0</v>
      </c>
    </row>
    <row r="277" spans="14:51" x14ac:dyDescent="0.3">
      <c r="N277" s="170">
        <v>59</v>
      </c>
      <c r="O277" s="199">
        <f t="shared" si="172"/>
        <v>3890.451449942811</v>
      </c>
      <c r="P277" s="189" t="str">
        <f t="shared" si="173"/>
        <v>20.7142857142857</v>
      </c>
      <c r="Q277" s="160" t="str">
        <f t="shared" si="174"/>
        <v>1+5.58729768881742i</v>
      </c>
      <c r="R277" s="160">
        <f t="shared" si="182"/>
        <v>5.6760809951466058</v>
      </c>
      <c r="S277" s="160">
        <f t="shared" si="183"/>
        <v>1.3936940747439872</v>
      </c>
      <c r="T277" s="160" t="str">
        <f t="shared" si="175"/>
        <v>1+0.000488888547771524i</v>
      </c>
      <c r="U277" s="160">
        <f t="shared" si="184"/>
        <v>1.0000001195059989</v>
      </c>
      <c r="V277" s="160">
        <f t="shared" si="185"/>
        <v>4.8888850882145116E-4</v>
      </c>
      <c r="W277" s="98" t="str">
        <f t="shared" si="176"/>
        <v>1-0.128333243790025i</v>
      </c>
      <c r="X277" s="160">
        <f t="shared" si="186"/>
        <v>1.0082010818590059</v>
      </c>
      <c r="Y277" s="160">
        <f t="shared" si="187"/>
        <v>-0.12763560003590541</v>
      </c>
      <c r="Z277" s="98" t="str">
        <f t="shared" si="177"/>
        <v>0.998737673319208-0.0095758602642468i</v>
      </c>
      <c r="AA277" s="160">
        <f t="shared" si="188"/>
        <v>0.99878357876312007</v>
      </c>
      <c r="AB277" s="160">
        <f t="shared" si="189"/>
        <v>-9.5876696183756199E-3</v>
      </c>
      <c r="AC277" s="171" t="str">
        <f t="shared" si="190"/>
        <v>0.219216271223189-3.67728142477332i</v>
      </c>
      <c r="AD277" s="190">
        <f t="shared" si="191"/>
        <v>11.325943916584285</v>
      </c>
      <c r="AE277" s="169">
        <f t="shared" si="192"/>
        <v>-86.588425360191366</v>
      </c>
      <c r="AF277" s="98" t="str">
        <f t="shared" si="178"/>
        <v>-0.0000897803247373448</v>
      </c>
      <c r="AG277" s="98" t="str">
        <f t="shared" si="179"/>
        <v>0.0488888547771524i</v>
      </c>
      <c r="AH277" s="98">
        <f t="shared" si="193"/>
        <v>4.88888547771524E-2</v>
      </c>
      <c r="AI277" s="98">
        <f t="shared" si="194"/>
        <v>1.5707963267948966</v>
      </c>
      <c r="AJ277" s="98" t="str">
        <f t="shared" si="180"/>
        <v>1+5.74444043631541i</v>
      </c>
      <c r="AK277" s="98">
        <f t="shared" si="195"/>
        <v>5.8308314952822613</v>
      </c>
      <c r="AL277" s="98">
        <f t="shared" si="196"/>
        <v>1.3984421424030409</v>
      </c>
      <c r="AM277" s="98" t="str">
        <f t="shared" si="181"/>
        <v>1+11.4888808726308i</v>
      </c>
      <c r="AN277" s="98">
        <f t="shared" si="197"/>
        <v>11.532319094852598</v>
      </c>
      <c r="AO277" s="98">
        <f t="shared" si="198"/>
        <v>1.4839744623569635</v>
      </c>
      <c r="AP277" s="168" t="str">
        <f t="shared" si="199"/>
        <v>-0.000310283053437924+0.00361881953347782i</v>
      </c>
      <c r="AQ277" s="98">
        <f t="shared" si="200"/>
        <v>-48.79685064837733</v>
      </c>
      <c r="AR277" s="169">
        <f t="shared" si="201"/>
        <v>94.900640945322351</v>
      </c>
      <c r="AS277" s="168" t="str">
        <f t="shared" si="202"/>
        <v>0.0132393987560664+0.00193430223318787i</v>
      </c>
      <c r="AT277" s="190">
        <f t="shared" si="203"/>
        <v>-37.470906731793065</v>
      </c>
      <c r="AU277" s="169">
        <f t="shared" si="204"/>
        <v>8.3122155851309962</v>
      </c>
      <c r="AV277" s="225"/>
      <c r="AX277">
        <f t="shared" si="205"/>
        <v>0</v>
      </c>
      <c r="AY277">
        <f t="shared" si="206"/>
        <v>0</v>
      </c>
    </row>
    <row r="278" spans="14:51" x14ac:dyDescent="0.3">
      <c r="N278" s="170">
        <v>60</v>
      </c>
      <c r="O278" s="199">
        <f t="shared" si="172"/>
        <v>3981.0717055349769</v>
      </c>
      <c r="P278" s="189" t="str">
        <f t="shared" si="173"/>
        <v>20.7142857142857</v>
      </c>
      <c r="Q278" s="160" t="str">
        <f t="shared" si="174"/>
        <v>1+5.7174425707533i</v>
      </c>
      <c r="R278" s="160">
        <f t="shared" si="182"/>
        <v>5.8042354836672585</v>
      </c>
      <c r="S278" s="160">
        <f t="shared" si="183"/>
        <v>1.3976444160089765</v>
      </c>
      <c r="T278" s="160" t="str">
        <f t="shared" si="175"/>
        <v>1+0.000500276224940914i</v>
      </c>
      <c r="U278" s="160">
        <f t="shared" si="184"/>
        <v>1.0000001251381427</v>
      </c>
      <c r="V278" s="160">
        <f t="shared" si="185"/>
        <v>5.0027618320515918E-4</v>
      </c>
      <c r="W278" s="98" t="str">
        <f t="shared" si="176"/>
        <v>1-0.13132250904699i</v>
      </c>
      <c r="X278" s="160">
        <f t="shared" si="186"/>
        <v>1.0085859414955161</v>
      </c>
      <c r="Y278" s="160">
        <f t="shared" si="187"/>
        <v>-0.13057531356174248</v>
      </c>
      <c r="Z278" s="98" t="str">
        <f t="shared" si="177"/>
        <v>0.998678181695577-0.00979891070346346i</v>
      </c>
      <c r="AA278" s="160">
        <f t="shared" si="188"/>
        <v>0.99872625340768861</v>
      </c>
      <c r="AB278" s="160">
        <f t="shared" si="189"/>
        <v>-9.8115653715071301E-3</v>
      </c>
      <c r="AC278" s="171" t="str">
        <f t="shared" si="190"/>
        <v>0.190524003100211-3.59901578884164i</v>
      </c>
      <c r="AD278" s="190">
        <f t="shared" si="191"/>
        <v>11.135828734254591</v>
      </c>
      <c r="AE278" s="169">
        <f t="shared" si="192"/>
        <v>-86.969715672933589</v>
      </c>
      <c r="AF278" s="98" t="str">
        <f t="shared" si="178"/>
        <v>-0.0000897803247373448</v>
      </c>
      <c r="AG278" s="98" t="str">
        <f t="shared" si="179"/>
        <v>0.0500276224940915i</v>
      </c>
      <c r="AH278" s="98">
        <f t="shared" si="193"/>
        <v>5.0027622494091498E-2</v>
      </c>
      <c r="AI278" s="98">
        <f t="shared" si="194"/>
        <v>1.5707963267948966</v>
      </c>
      <c r="AJ278" s="98" t="str">
        <f t="shared" si="180"/>
        <v>1+5.87824564305574i</v>
      </c>
      <c r="AK278" s="98">
        <f t="shared" si="195"/>
        <v>5.9626983690359348</v>
      </c>
      <c r="AL278" s="98">
        <f t="shared" si="196"/>
        <v>1.4022907244887819</v>
      </c>
      <c r="AM278" s="98" t="str">
        <f t="shared" si="181"/>
        <v>1+11.7564912861115i</v>
      </c>
      <c r="AN278" s="98">
        <f t="shared" si="197"/>
        <v>11.79894433245685</v>
      </c>
      <c r="AO278" s="98">
        <f t="shared" si="198"/>
        <v>1.4859411866682199</v>
      </c>
      <c r="AP278" s="168" t="str">
        <f t="shared" si="199"/>
        <v>-0.000296710801995381+0.00353875403894607i</v>
      </c>
      <c r="AQ278" s="98">
        <f t="shared" si="200"/>
        <v>-48.992567610298963</v>
      </c>
      <c r="AR278" s="169">
        <f t="shared" si="201"/>
        <v>94.792818437200495</v>
      </c>
      <c r="AS278" s="168" t="str">
        <f t="shared" si="202"/>
        <v>0.0126795011292348+0.00174208444658829i</v>
      </c>
      <c r="AT278" s="190">
        <f t="shared" si="203"/>
        <v>-37.856738876044368</v>
      </c>
      <c r="AU278" s="169">
        <f t="shared" si="204"/>
        <v>7.8231027642669355</v>
      </c>
      <c r="AV278" s="225"/>
      <c r="AX278">
        <f t="shared" si="205"/>
        <v>0</v>
      </c>
      <c r="AY278">
        <f t="shared" si="206"/>
        <v>0</v>
      </c>
    </row>
    <row r="279" spans="14:51" x14ac:dyDescent="0.3">
      <c r="N279" s="170">
        <v>61</v>
      </c>
      <c r="O279" s="199">
        <f t="shared" si="172"/>
        <v>4073.8027780411317</v>
      </c>
      <c r="P279" s="189" t="str">
        <f t="shared" si="173"/>
        <v>20.7142857142857</v>
      </c>
      <c r="Q279" s="160" t="str">
        <f t="shared" si="174"/>
        <v>1+5.85061891641952i</v>
      </c>
      <c r="R279" s="160">
        <f t="shared" si="182"/>
        <v>5.9354647421382181</v>
      </c>
      <c r="S279" s="160">
        <f t="shared" si="183"/>
        <v>1.4015101184540033</v>
      </c>
      <c r="T279" s="160" t="str">
        <f t="shared" si="175"/>
        <v>1+0.000511929155186708i</v>
      </c>
      <c r="U279" s="160">
        <f t="shared" si="184"/>
        <v>1.0000001310357214</v>
      </c>
      <c r="V279" s="160">
        <f t="shared" si="185"/>
        <v>5.1192911046604142E-4</v>
      </c>
      <c r="W279" s="98" t="str">
        <f t="shared" si="176"/>
        <v>1-0.13438140323651i</v>
      </c>
      <c r="X279" s="160">
        <f t="shared" si="186"/>
        <v>1.0089887816699517</v>
      </c>
      <c r="Y279" s="160">
        <f t="shared" si="187"/>
        <v>-0.13358115356930167</v>
      </c>
      <c r="Z279" s="98" t="str">
        <f t="shared" si="177"/>
        <v>0.998615886318102-0.010027156654839i</v>
      </c>
      <c r="AA279" s="160">
        <f t="shared" si="188"/>
        <v>0.99866622666307747</v>
      </c>
      <c r="AB279" s="160">
        <f t="shared" si="189"/>
        <v>-1.0040717180653226E-2</v>
      </c>
      <c r="AC279" s="171" t="str">
        <f t="shared" si="190"/>
        <v>0.16304610045428-3.52221978467204i</v>
      </c>
      <c r="AD279" s="190">
        <f t="shared" si="191"/>
        <v>10.945625284874572</v>
      </c>
      <c r="AE279" s="169">
        <f t="shared" si="192"/>
        <v>-87.349628959128879</v>
      </c>
      <c r="AF279" s="98" t="str">
        <f t="shared" si="178"/>
        <v>-0.0000897803247373448</v>
      </c>
      <c r="AG279" s="98" t="str">
        <f t="shared" si="179"/>
        <v>0.0511929155186708i</v>
      </c>
      <c r="AH279" s="98">
        <f t="shared" si="193"/>
        <v>5.1192915518670799E-2</v>
      </c>
      <c r="AI279" s="98">
        <f t="shared" si="194"/>
        <v>1.5707963267948966</v>
      </c>
      <c r="AJ279" s="98" t="str">
        <f t="shared" si="180"/>
        <v>1+6.01516757344382i</v>
      </c>
      <c r="AK279" s="98">
        <f t="shared" si="195"/>
        <v>6.0977242424211022</v>
      </c>
      <c r="AL279" s="98">
        <f t="shared" si="196"/>
        <v>1.4060565779713976</v>
      </c>
      <c r="AM279" s="98" t="str">
        <f t="shared" si="181"/>
        <v>1+12.0303351468877i</v>
      </c>
      <c r="AN279" s="98">
        <f t="shared" si="197"/>
        <v>12.071825203607013</v>
      </c>
      <c r="AO279" s="98">
        <f t="shared" si="198"/>
        <v>1.4878637789128519</v>
      </c>
      <c r="AP279" s="168" t="str">
        <f t="shared" si="199"/>
        <v>-0.00028371577104841+0.00346036253987697i</v>
      </c>
      <c r="AQ279" s="98">
        <f t="shared" si="200"/>
        <v>-49.188470682032708</v>
      </c>
      <c r="AR279" s="169">
        <f t="shared" si="201"/>
        <v>94.68720734772397</v>
      </c>
      <c r="AS279" s="168" t="str">
        <f t="shared" si="202"/>
        <v>0.0121418986499858+0.0015635079202952i</v>
      </c>
      <c r="AT279" s="190">
        <f t="shared" si="203"/>
        <v>-38.242845397158163</v>
      </c>
      <c r="AU279" s="169">
        <f t="shared" si="204"/>
        <v>7.3375783885951247</v>
      </c>
      <c r="AV279" s="225"/>
      <c r="AX279">
        <f t="shared" si="205"/>
        <v>0</v>
      </c>
      <c r="AY279">
        <f t="shared" si="206"/>
        <v>0</v>
      </c>
    </row>
    <row r="280" spans="14:51" x14ac:dyDescent="0.3">
      <c r="N280" s="170">
        <v>62</v>
      </c>
      <c r="O280" s="199">
        <f t="shared" si="172"/>
        <v>4168.6938347033583</v>
      </c>
      <c r="P280" s="189" t="str">
        <f t="shared" si="173"/>
        <v>20.7142857142857</v>
      </c>
      <c r="Q280" s="160" t="str">
        <f t="shared" si="174"/>
        <v>1+5.98689733767733i</v>
      </c>
      <c r="R280" s="160">
        <f t="shared" si="182"/>
        <v>6.0698385260143368</v>
      </c>
      <c r="S280" s="160">
        <f t="shared" si="183"/>
        <v>1.4052927693529291</v>
      </c>
      <c r="T280" s="160" t="str">
        <f t="shared" si="175"/>
        <v>1+0.000523853517046766i</v>
      </c>
      <c r="U280" s="160">
        <f t="shared" si="184"/>
        <v>1.0000001372112444</v>
      </c>
      <c r="V280" s="160">
        <f t="shared" si="185"/>
        <v>5.238534691277087E-4</v>
      </c>
      <c r="W280" s="98" t="str">
        <f t="shared" si="176"/>
        <v>1-0.137511548224776i</v>
      </c>
      <c r="X280" s="160">
        <f t="shared" si="186"/>
        <v>1.0094104348059687</v>
      </c>
      <c r="Y280" s="160">
        <f t="shared" si="187"/>
        <v>-0.13665449641585062</v>
      </c>
      <c r="Z280" s="98" t="str">
        <f t="shared" si="177"/>
        <v>0.998550655049937-0.0102607191373981i</v>
      </c>
      <c r="AA280" s="160">
        <f t="shared" si="188"/>
        <v>0.99860337124299503</v>
      </c>
      <c r="AB280" s="160">
        <f t="shared" si="189"/>
        <v>-1.0275250405596799E-2</v>
      </c>
      <c r="AC280" s="171" t="str">
        <f t="shared" si="190"/>
        <v>0.136734135001085-3.44688033344423i</v>
      </c>
      <c r="AD280" s="190">
        <f t="shared" si="191"/>
        <v>10.755352920991907</v>
      </c>
      <c r="AE280" s="169">
        <f t="shared" si="192"/>
        <v>-87.728327485743065</v>
      </c>
      <c r="AF280" s="98" t="str">
        <f t="shared" si="178"/>
        <v>-0.0000897803247373448</v>
      </c>
      <c r="AG280" s="98" t="str">
        <f t="shared" si="179"/>
        <v>0.0523853517046765i</v>
      </c>
      <c r="AH280" s="98">
        <f t="shared" si="193"/>
        <v>5.2385351704676501E-2</v>
      </c>
      <c r="AI280" s="98">
        <f t="shared" si="194"/>
        <v>1.5707963267948966</v>
      </c>
      <c r="AJ280" s="98" t="str">
        <f t="shared" si="180"/>
        <v>1+6.1552788252995i</v>
      </c>
      <c r="AK280" s="98">
        <f t="shared" si="195"/>
        <v>6.2359808704950659</v>
      </c>
      <c r="AL280" s="98">
        <f t="shared" si="196"/>
        <v>1.4097412720929152</v>
      </c>
      <c r="AM280" s="98" t="str">
        <f t="shared" si="181"/>
        <v>1+12.310557650599i</v>
      </c>
      <c r="AN280" s="98">
        <f t="shared" si="197"/>
        <v>12.351106414759837</v>
      </c>
      <c r="AO280" s="98">
        <f t="shared" si="198"/>
        <v>1.4897432015903456</v>
      </c>
      <c r="AP280" s="168" t="str">
        <f t="shared" si="199"/>
        <v>-0.000271274823742461+0.00338361625535627i</v>
      </c>
      <c r="AQ280" s="98">
        <f t="shared" si="200"/>
        <v>-49.384552056931092</v>
      </c>
      <c r="AR280" s="169">
        <f t="shared" si="201"/>
        <v>94.583772913105932</v>
      </c>
      <c r="AS280" s="168" t="str">
        <f t="shared" si="202"/>
        <v>0.0116258277981377+0.00139770769676819i</v>
      </c>
      <c r="AT280" s="190">
        <f t="shared" si="203"/>
        <v>-38.62919913593921</v>
      </c>
      <c r="AU280" s="169">
        <f t="shared" si="204"/>
        <v>6.8554454273629082</v>
      </c>
      <c r="AV280" s="225"/>
      <c r="AX280">
        <f t="shared" si="205"/>
        <v>0</v>
      </c>
      <c r="AY280">
        <f t="shared" si="206"/>
        <v>0</v>
      </c>
    </row>
    <row r="281" spans="14:51" x14ac:dyDescent="0.3">
      <c r="N281" s="170">
        <v>63</v>
      </c>
      <c r="O281" s="199">
        <f t="shared" si="172"/>
        <v>4265.7951880159299</v>
      </c>
      <c r="P281" s="189" t="str">
        <f t="shared" si="173"/>
        <v>20.7142857142857</v>
      </c>
      <c r="Q281" s="160" t="str">
        <f t="shared" si="174"/>
        <v>1+6.12635009114951i</v>
      </c>
      <c r="R281" s="160">
        <f t="shared" si="182"/>
        <v>6.2074282468126531</v>
      </c>
      <c r="S281" s="160">
        <f t="shared" si="183"/>
        <v>1.4089939411086745</v>
      </c>
      <c r="T281" s="160" t="str">
        <f t="shared" si="175"/>
        <v>1+0.000536055632975582i</v>
      </c>
      <c r="U281" s="160">
        <f t="shared" si="184"/>
        <v>1.0000001436778105</v>
      </c>
      <c r="V281" s="160">
        <f t="shared" si="185"/>
        <v>5.3605558162938736E-4</v>
      </c>
      <c r="W281" s="98" t="str">
        <f t="shared" si="176"/>
        <v>1-0.14071460365609i</v>
      </c>
      <c r="X281" s="160">
        <f t="shared" si="186"/>
        <v>1.0098517711437112</v>
      </c>
      <c r="Y281" s="160">
        <f t="shared" si="187"/>
        <v>-0.13979673927349173</v>
      </c>
      <c r="Z281" s="98" t="str">
        <f t="shared" si="177"/>
        <v>0.998482349526816-0.0104997219890605i</v>
      </c>
      <c r="AA281" s="160">
        <f t="shared" si="188"/>
        <v>0.99853755386487009</v>
      </c>
      <c r="AB281" s="160">
        <f t="shared" si="189"/>
        <v>-1.0515293536772666E-2</v>
      </c>
      <c r="AC281" s="171" t="str">
        <f t="shared" si="190"/>
        <v>0.111541331473471-3.37298345587059i</v>
      </c>
      <c r="AD281" s="190">
        <f t="shared" si="191"/>
        <v>10.565030903001858</v>
      </c>
      <c r="AE281" s="169">
        <f t="shared" si="192"/>
        <v>-88.105973672683334</v>
      </c>
      <c r="AF281" s="98" t="str">
        <f t="shared" si="178"/>
        <v>-0.0000897803247373448</v>
      </c>
      <c r="AG281" s="98" t="str">
        <f t="shared" si="179"/>
        <v>0.0536055632975581i</v>
      </c>
      <c r="AH281" s="98">
        <f t="shared" si="193"/>
        <v>5.3605563297558098E-2</v>
      </c>
      <c r="AI281" s="98">
        <f t="shared" si="194"/>
        <v>1.5707963267948966</v>
      </c>
      <c r="AJ281" s="98" t="str">
        <f t="shared" si="180"/>
        <v>1+6.29865368746309i</v>
      </c>
      <c r="AK281" s="98">
        <f t="shared" si="195"/>
        <v>6.3775417109253301</v>
      </c>
      <c r="AL281" s="98">
        <f t="shared" si="196"/>
        <v>1.413346360108322</v>
      </c>
      <c r="AM281" s="98" t="str">
        <f t="shared" si="181"/>
        <v>1+12.5973073749262i</v>
      </c>
      <c r="AN281" s="98">
        <f t="shared" si="197"/>
        <v>12.636936064504322</v>
      </c>
      <c r="AO281" s="98">
        <f t="shared" si="198"/>
        <v>1.4915803980574911</v>
      </c>
      <c r="AP281" s="168" t="str">
        <f t="shared" si="199"/>
        <v>-0.000259365629029685+0.00330848649858694i</v>
      </c>
      <c r="AQ281" s="98">
        <f t="shared" si="200"/>
        <v>-49.580804231617549</v>
      </c>
      <c r="AR281" s="169">
        <f t="shared" si="201"/>
        <v>94.482480188753712</v>
      </c>
      <c r="AS281" s="168" t="str">
        <f t="shared" si="202"/>
        <v>0.0111305402361045+0.00124386896495299i</v>
      </c>
      <c r="AT281" s="190">
        <f t="shared" si="203"/>
        <v>-39.015773328615722</v>
      </c>
      <c r="AU281" s="169">
        <f t="shared" si="204"/>
        <v>6.3765065160704362</v>
      </c>
      <c r="AV281" s="225"/>
      <c r="AX281">
        <f t="shared" si="205"/>
        <v>0</v>
      </c>
      <c r="AY281">
        <f t="shared" si="206"/>
        <v>0</v>
      </c>
    </row>
    <row r="282" spans="14:51" x14ac:dyDescent="0.3">
      <c r="N282" s="170">
        <v>64</v>
      </c>
      <c r="O282" s="199">
        <f t="shared" si="172"/>
        <v>4365.1583224016631</v>
      </c>
      <c r="P282" s="189" t="str">
        <f t="shared" si="173"/>
        <v>20.7142857142857</v>
      </c>
      <c r="Q282" s="160" t="str">
        <f t="shared" si="174"/>
        <v>1+6.26905111653184i</v>
      </c>
      <c r="R282" s="160">
        <f t="shared" si="182"/>
        <v>6.34830701066742</v>
      </c>
      <c r="S282" s="160">
        <f t="shared" si="183"/>
        <v>1.4126151903171633</v>
      </c>
      <c r="T282" s="160" t="str">
        <f t="shared" si="175"/>
        <v>1+0.000548541972696536i</v>
      </c>
      <c r="U282" s="160">
        <f t="shared" si="184"/>
        <v>1.0000001504491367</v>
      </c>
      <c r="V282" s="160">
        <f t="shared" si="185"/>
        <v>5.4854191767809762E-4</v>
      </c>
      <c r="W282" s="98" t="str">
        <f t="shared" si="176"/>
        <v>1-0.14399226783284i</v>
      </c>
      <c r="X282" s="160">
        <f t="shared" si="186"/>
        <v>1.0103137003899552</v>
      </c>
      <c r="Y282" s="160">
        <f t="shared" si="187"/>
        <v>-0.14300929986639235</v>
      </c>
      <c r="Z282" s="98" t="str">
        <f t="shared" si="177"/>
        <v>0.998410824863566-0.0107442919323018i</v>
      </c>
      <c r="AA282" s="160">
        <f t="shared" si="188"/>
        <v>0.99846863496750504</v>
      </c>
      <c r="AB282" s="160">
        <f t="shared" si="189"/>
        <v>-1.0760978283385183E-2</v>
      </c>
      <c r="AC282" s="171" t="str">
        <f t="shared" si="190"/>
        <v>0.0874225347341837-3.30051435895781i</v>
      </c>
      <c r="AD282" s="190">
        <f t="shared" si="191"/>
        <v>10.374678429295162</v>
      </c>
      <c r="AE282" s="169">
        <f t="shared" si="192"/>
        <v>-88.482730018869177</v>
      </c>
      <c r="AF282" s="98" t="str">
        <f t="shared" si="178"/>
        <v>-0.0000897803247373448</v>
      </c>
      <c r="AG282" s="98" t="str">
        <f t="shared" si="179"/>
        <v>0.0548541972696536i</v>
      </c>
      <c r="AH282" s="98">
        <f t="shared" si="193"/>
        <v>5.4854197269653598E-2</v>
      </c>
      <c r="AI282" s="98">
        <f t="shared" si="194"/>
        <v>1.5707963267948966</v>
      </c>
      <c r="AJ282" s="98" t="str">
        <f t="shared" si="180"/>
        <v>1+6.4453681791843i</v>
      </c>
      <c r="AK282" s="98">
        <f t="shared" si="195"/>
        <v>6.5224819635811597</v>
      </c>
      <c r="AL282" s="98">
        <f t="shared" si="196"/>
        <v>1.4168733784592258</v>
      </c>
      <c r="AM282" s="98" t="str">
        <f t="shared" si="181"/>
        <v>1+12.8907363583686i</v>
      </c>
      <c r="AN282" s="98">
        <f t="shared" si="197"/>
        <v>12.929465722177625</v>
      </c>
      <c r="AO282" s="98">
        <f t="shared" si="198"/>
        <v>1.4933762927839314</v>
      </c>
      <c r="AP282" s="168" t="str">
        <f t="shared" si="199"/>
        <v>-0.00024796664432735+0.00323494470591863i</v>
      </c>
      <c r="AQ282" s="98">
        <f t="shared" si="200"/>
        <v>-49.777219996313974</v>
      </c>
      <c r="AR282" s="169">
        <f t="shared" si="201"/>
        <v>94.383294111256532</v>
      </c>
      <c r="AS282" s="168" t="str">
        <f t="shared" si="202"/>
        <v>0.0106553035797424+0.00110122453606134i</v>
      </c>
      <c r="AT282" s="190">
        <f t="shared" si="203"/>
        <v>-39.402541567018773</v>
      </c>
      <c r="AU282" s="169">
        <f t="shared" si="204"/>
        <v>5.9005640923873566</v>
      </c>
      <c r="AV282" s="225"/>
      <c r="AX282">
        <f t="shared" si="205"/>
        <v>0</v>
      </c>
      <c r="AY282">
        <f t="shared" si="206"/>
        <v>0</v>
      </c>
    </row>
    <row r="283" spans="14:51" x14ac:dyDescent="0.3">
      <c r="N283" s="170">
        <v>65</v>
      </c>
      <c r="O283" s="199">
        <f t="shared" si="172"/>
        <v>4466.8359215096343</v>
      </c>
      <c r="P283" s="189" t="str">
        <f t="shared" si="173"/>
        <v>20.7142857142857</v>
      </c>
      <c r="Q283" s="160" t="str">
        <f t="shared" si="174"/>
        <v>1+6.41507607579687i</v>
      </c>
      <c r="R283" s="160">
        <f t="shared" si="182"/>
        <v>6.4925496577432016</v>
      </c>
      <c r="S283" s="160">
        <f t="shared" si="183"/>
        <v>1.416158056922896</v>
      </c>
      <c r="T283" s="160" t="str">
        <f t="shared" si="175"/>
        <v>1+0.000561319156632226i</v>
      </c>
      <c r="U283" s="160">
        <f t="shared" si="184"/>
        <v>1.0000001575395854</v>
      </c>
      <c r="V283" s="160">
        <f t="shared" si="185"/>
        <v>5.6131909767890762E-4</v>
      </c>
      <c r="W283" s="98" t="str">
        <f t="shared" si="176"/>
        <v>1-0.147346278615959i</v>
      </c>
      <c r="X283" s="160">
        <f t="shared" si="186"/>
        <v>1.010797173433905</v>
      </c>
      <c r="Y283" s="160">
        <f t="shared" si="187"/>
        <v>-0.14629361615499631</v>
      </c>
      <c r="Z283" s="98" t="str">
        <f t="shared" si="177"/>
        <v>0.998335929346787-0.010994558641343i</v>
      </c>
      <c r="AA283" s="160">
        <f t="shared" si="188"/>
        <v>0.99839646841544416</v>
      </c>
      <c r="AB283" s="160">
        <f t="shared" si="189"/>
        <v>-1.1012439664680329E-2</v>
      </c>
      <c r="AC283" s="171" t="str">
        <f t="shared" si="190"/>
        <v>0.064334175197147-3.22945751780438i</v>
      </c>
      <c r="AD283" s="190">
        <f t="shared" si="191"/>
        <v>10.184314666579846</v>
      </c>
      <c r="AE283" s="169">
        <f t="shared" si="192"/>
        <v>-88.858759030331768</v>
      </c>
      <c r="AF283" s="98" t="str">
        <f t="shared" si="178"/>
        <v>-0.0000897803247373448</v>
      </c>
      <c r="AG283" s="98" t="str">
        <f t="shared" si="179"/>
        <v>0.0561319156632227i</v>
      </c>
      <c r="AH283" s="98">
        <f t="shared" si="193"/>
        <v>5.6131915663222703E-2</v>
      </c>
      <c r="AI283" s="98">
        <f t="shared" si="194"/>
        <v>1.5707963267948966</v>
      </c>
      <c r="AJ283" s="98" t="str">
        <f t="shared" si="180"/>
        <v>1+6.59550009042866i</v>
      </c>
      <c r="AK283" s="98">
        <f t="shared" si="195"/>
        <v>6.6708786110110294</v>
      </c>
      <c r="AL283" s="98">
        <f t="shared" si="196"/>
        <v>1.4203238460327681</v>
      </c>
      <c r="AM283" s="98" t="str">
        <f t="shared" si="181"/>
        <v>1+13.1910001808573i</v>
      </c>
      <c r="AN283" s="98">
        <f t="shared" si="197"/>
        <v>13.228850508316183</v>
      </c>
      <c r="AO283" s="98">
        <f t="shared" si="198"/>
        <v>1.4951317916134474</v>
      </c>
      <c r="AP283" s="168" t="str">
        <f t="shared" si="199"/>
        <v>-0.000237057097510135+0.00316296246376217i</v>
      </c>
      <c r="AQ283" s="98">
        <f t="shared" si="200"/>
        <v>-49.973792425284273</v>
      </c>
      <c r="AR283" s="169">
        <f t="shared" si="201"/>
        <v>94.28617955581727</v>
      </c>
      <c r="AS283" s="168" t="str">
        <f t="shared" si="202"/>
        <v>0.0101994020342869+0.000969052406988666i</v>
      </c>
      <c r="AT283" s="190">
        <f t="shared" si="203"/>
        <v>-39.789477758704393</v>
      </c>
      <c r="AU283" s="169">
        <f t="shared" si="204"/>
        <v>5.4274205254854779</v>
      </c>
      <c r="AV283" s="225"/>
      <c r="AX283">
        <f t="shared" si="205"/>
        <v>0</v>
      </c>
      <c r="AY283">
        <f t="shared" si="206"/>
        <v>0</v>
      </c>
    </row>
    <row r="284" spans="14:51" x14ac:dyDescent="0.3">
      <c r="N284" s="170">
        <v>66</v>
      </c>
      <c r="O284" s="199">
        <f t="shared" ref="O284:O318" si="207">10^(3+(N284/100))</f>
        <v>4570.8818961487532</v>
      </c>
      <c r="P284" s="189" t="str">
        <f t="shared" si="173"/>
        <v>20.7142857142857</v>
      </c>
      <c r="Q284" s="160" t="str">
        <f t="shared" si="174"/>
        <v>1+6.56450239331086i</v>
      </c>
      <c r="R284" s="160">
        <f t="shared" si="182"/>
        <v>6.6402328025291419</v>
      </c>
      <c r="S284" s="160">
        <f t="shared" si="183"/>
        <v>1.4196240634608386</v>
      </c>
      <c r="T284" s="160" t="str">
        <f t="shared" si="175"/>
        <v>1+0.0005743939594147i</v>
      </c>
      <c r="U284" s="160">
        <f t="shared" si="184"/>
        <v>1.0000001649641967</v>
      </c>
      <c r="V284" s="160">
        <f t="shared" si="185"/>
        <v>5.7439389624508192E-4</v>
      </c>
      <c r="W284" s="98" t="str">
        <f t="shared" si="176"/>
        <v>1-0.150778414346358i</v>
      </c>
      <c r="X284" s="160">
        <f t="shared" si="186"/>
        <v>1.0113031841306552</v>
      </c>
      <c r="Y284" s="160">
        <f t="shared" si="187"/>
        <v>-0.14965114596339105</v>
      </c>
      <c r="Z284" s="98" t="str">
        <f t="shared" si="177"/>
        <v>0.998257504113047-0.0112506548109061i</v>
      </c>
      <c r="AA284" s="160">
        <f t="shared" si="188"/>
        <v>0.99832090118943428</v>
      </c>
      <c r="AB284" s="160">
        <f t="shared" si="189"/>
        <v>-1.1269816104528266E-2</v>
      </c>
      <c r="AC284" s="171" t="str">
        <f t="shared" si="190"/>
        <v>0.0422342328506457-3.15979675261245i</v>
      </c>
      <c r="AD284" s="190">
        <f t="shared" si="191"/>
        <v>9.9939587803701659</v>
      </c>
      <c r="AE284" s="169">
        <f t="shared" si="192"/>
        <v>-89.234223149805828</v>
      </c>
      <c r="AF284" s="98" t="str">
        <f t="shared" si="178"/>
        <v>-0.0000897803247373448</v>
      </c>
      <c r="AG284" s="98" t="str">
        <f t="shared" si="179"/>
        <v>0.05743939594147i</v>
      </c>
      <c r="AH284" s="98">
        <f t="shared" si="193"/>
        <v>5.7439395941470003E-2</v>
      </c>
      <c r="AI284" s="98">
        <f t="shared" si="194"/>
        <v>1.5707963267948966</v>
      </c>
      <c r="AJ284" s="98" t="str">
        <f t="shared" si="180"/>
        <v>1+6.74912902312273i</v>
      </c>
      <c r="AK284" s="98">
        <f t="shared" si="195"/>
        <v>6.8228104598294079</v>
      </c>
      <c r="AL284" s="98">
        <f t="shared" si="196"/>
        <v>1.423699263500718</v>
      </c>
      <c r="AM284" s="98" t="str">
        <f t="shared" si="181"/>
        <v>1+13.4982580462455i</v>
      </c>
      <c r="AN284" s="98">
        <f t="shared" si="197"/>
        <v>13.535249176983456</v>
      </c>
      <c r="AO284" s="98">
        <f t="shared" si="198"/>
        <v>1.4968477820301234</v>
      </c>
      <c r="AP284" s="168" t="str">
        <f t="shared" si="199"/>
        <v>-0.000226616968367438+0.00309251153347363i</v>
      </c>
      <c r="AQ284" s="98">
        <f t="shared" si="200"/>
        <v>-50.170514867414646</v>
      </c>
      <c r="AR284" s="169">
        <f t="shared" si="201"/>
        <v>94.191101389369436</v>
      </c>
      <c r="AS284" s="168" t="str">
        <f t="shared" si="202"/>
        <v>0.00976213690707659+0.000846673412932342i</v>
      </c>
      <c r="AT284" s="190">
        <f t="shared" si="203"/>
        <v>-40.176556087044474</v>
      </c>
      <c r="AU284" s="169">
        <f t="shared" si="204"/>
        <v>4.9568782395636184</v>
      </c>
      <c r="AV284" s="225"/>
      <c r="AX284">
        <f t="shared" si="205"/>
        <v>0</v>
      </c>
      <c r="AY284">
        <f t="shared" si="206"/>
        <v>0</v>
      </c>
    </row>
    <row r="285" spans="14:51" x14ac:dyDescent="0.3">
      <c r="N285" s="170">
        <v>67</v>
      </c>
      <c r="O285" s="199">
        <f t="shared" si="207"/>
        <v>4677.3514128719844</v>
      </c>
      <c r="P285" s="189" t="str">
        <f t="shared" si="173"/>
        <v>20.7142857142857</v>
      </c>
      <c r="Q285" s="160" t="str">
        <f t="shared" si="174"/>
        <v>1+6.71740929688523i</v>
      </c>
      <c r="R285" s="160">
        <f t="shared" si="182"/>
        <v>6.7914348750378313</v>
      </c>
      <c r="S285" s="160">
        <f t="shared" si="183"/>
        <v>1.4230147143795178</v>
      </c>
      <c r="T285" s="160" t="str">
        <f t="shared" si="175"/>
        <v>1+0.000587773313477458i</v>
      </c>
      <c r="U285" s="160">
        <f t="shared" si="184"/>
        <v>1.0000001727387191</v>
      </c>
      <c r="V285" s="160">
        <f t="shared" si="185"/>
        <v>5.8777324578999327E-4</v>
      </c>
      <c r="W285" s="98" t="str">
        <f t="shared" si="176"/>
        <v>1-0.154290494787832i</v>
      </c>
      <c r="X285" s="160">
        <f t="shared" si="186"/>
        <v>1.0118327711543416</v>
      </c>
      <c r="Y285" s="160">
        <f t="shared" si="187"/>
        <v>-0.1530833665458089</v>
      </c>
      <c r="Z285" s="98" t="str">
        <f t="shared" si="177"/>
        <v>0.99817538281191-0.01151271622657i</v>
      </c>
      <c r="AA285" s="160">
        <f t="shared" si="188"/>
        <v>0.99824177306232609</v>
      </c>
      <c r="AB285" s="160">
        <f t="shared" si="189"/>
        <v>-1.1533249529478103E-2</v>
      </c>
      <c r="AC285" s="171" t="str">
        <f t="shared" si="190"/>
        <v>0.0210822001499461-3.09151530109492i</v>
      </c>
      <c r="AD285" s="190">
        <f t="shared" si="191"/>
        <v>9.8036299656337516</v>
      </c>
      <c r="AE285" s="169">
        <f t="shared" si="192"/>
        <v>-89.609284687284941</v>
      </c>
      <c r="AF285" s="98" t="str">
        <f t="shared" si="178"/>
        <v>-0.0000897803247373448</v>
      </c>
      <c r="AG285" s="98" t="str">
        <f t="shared" si="179"/>
        <v>0.0587773313477459i</v>
      </c>
      <c r="AH285" s="98">
        <f t="shared" si="193"/>
        <v>5.8777331347745897E-2</v>
      </c>
      <c r="AI285" s="98">
        <f t="shared" si="194"/>
        <v>1.5707963267948966</v>
      </c>
      <c r="AJ285" s="98" t="str">
        <f t="shared" si="180"/>
        <v>1+6.90633643336013i</v>
      </c>
      <c r="AK285" s="98">
        <f t="shared" si="195"/>
        <v>6.9783581830368604</v>
      </c>
      <c r="AL285" s="98">
        <f t="shared" si="196"/>
        <v>1.4270011127338713</v>
      </c>
      <c r="AM285" s="98" t="str">
        <f t="shared" si="181"/>
        <v>1+13.8126728667203i</v>
      </c>
      <c r="AN285" s="98">
        <f t="shared" si="197"/>
        <v>13.848824200018976</v>
      </c>
      <c r="AO285" s="98">
        <f t="shared" si="198"/>
        <v>1.4985251334286029</v>
      </c>
      <c r="AP285" s="168" t="str">
        <f t="shared" si="199"/>
        <v>-0.000216626969645183+0.00302356387429439i</v>
      </c>
      <c r="AQ285" s="98">
        <f t="shared" si="200"/>
        <v>-50.367380936945608</v>
      </c>
      <c r="AR285" s="169">
        <f t="shared" si="201"/>
        <v>94.098024519614469</v>
      </c>
      <c r="AS285" s="168" t="str">
        <f t="shared" si="202"/>
        <v>0.00934282700808701+0.000733448970051929i</v>
      </c>
      <c r="AT285" s="190">
        <f t="shared" si="203"/>
        <v>-40.563750971311862</v>
      </c>
      <c r="AU285" s="169">
        <f t="shared" si="204"/>
        <v>4.4887398323295313</v>
      </c>
      <c r="AV285" s="225"/>
      <c r="AX285">
        <f t="shared" si="205"/>
        <v>0</v>
      </c>
      <c r="AY285">
        <f t="shared" si="206"/>
        <v>0</v>
      </c>
    </row>
    <row r="286" spans="14:51" x14ac:dyDescent="0.3">
      <c r="N286" s="170">
        <v>68</v>
      </c>
      <c r="O286" s="199">
        <f t="shared" si="207"/>
        <v>4786.3009232263848</v>
      </c>
      <c r="P286" s="189" t="str">
        <f t="shared" si="173"/>
        <v>20.7142857142857</v>
      </c>
      <c r="Q286" s="160" t="str">
        <f t="shared" si="174"/>
        <v>1+6.87387785978425i</v>
      </c>
      <c r="R286" s="160">
        <f t="shared" si="182"/>
        <v>6.9462361629325642</v>
      </c>
      <c r="S286" s="160">
        <f t="shared" si="183"/>
        <v>1.4263314954404014</v>
      </c>
      <c r="T286" s="160" t="str">
        <f t="shared" si="175"/>
        <v>1+0.000601464312731122i</v>
      </c>
      <c r="U286" s="160">
        <f t="shared" si="184"/>
        <v>1.0000001808796433</v>
      </c>
      <c r="V286" s="160">
        <f t="shared" si="185"/>
        <v>6.0146424020269759E-4</v>
      </c>
      <c r="W286" s="98" t="str">
        <f t="shared" si="176"/>
        <v>1-0.157884382091919i</v>
      </c>
      <c r="X286" s="160">
        <f t="shared" si="186"/>
        <v>1.0123870199229874</v>
      </c>
      <c r="Y286" s="160">
        <f t="shared" si="187"/>
        <v>-0.1565917740880152</v>
      </c>
      <c r="Z286" s="98" t="str">
        <f t="shared" si="177"/>
        <v>0.998089391253087-0.011780881836766i</v>
      </c>
      <c r="AA286" s="160">
        <f t="shared" si="188"/>
        <v>0.99815891625973552</v>
      </c>
      <c r="AB286" s="160">
        <f t="shared" si="189"/>
        <v>-1.1802885470460985E-2</v>
      </c>
      <c r="AC286" s="171" t="str">
        <f t="shared" si="190"/>
        <v>0.000839044023468927-3.02459588646222i</v>
      </c>
      <c r="AD286" s="190">
        <f t="shared" si="191"/>
        <v>9.6133474775928125</v>
      </c>
      <c r="AE286" s="169">
        <f t="shared" si="192"/>
        <v>-89.984105751002161</v>
      </c>
      <c r="AF286" s="98" t="str">
        <f t="shared" si="178"/>
        <v>-0.0000897803247373448</v>
      </c>
      <c r="AG286" s="98" t="str">
        <f t="shared" si="179"/>
        <v>0.0601464312731122i</v>
      </c>
      <c r="AH286" s="98">
        <f t="shared" si="193"/>
        <v>6.01464312731122E-2</v>
      </c>
      <c r="AI286" s="98">
        <f t="shared" si="194"/>
        <v>1.5707963267948966</v>
      </c>
      <c r="AJ286" s="98" t="str">
        <f t="shared" si="180"/>
        <v>1+7.06720567459068i</v>
      </c>
      <c r="AK286" s="98">
        <f t="shared" si="195"/>
        <v>7.1376043632977249</v>
      </c>
      <c r="AL286" s="98">
        <f t="shared" si="196"/>
        <v>1.4302308562870774</v>
      </c>
      <c r="AM286" s="98" t="str">
        <f t="shared" si="181"/>
        <v>1+14.1344113491814i</v>
      </c>
      <c r="AN286" s="98">
        <f t="shared" si="197"/>
        <v>14.169741853254351</v>
      </c>
      <c r="AO286" s="98">
        <f t="shared" si="198"/>
        <v>1.5001646973877139</v>
      </c>
      <c r="AP286" s="168" t="str">
        <f t="shared" si="199"/>
        <v>-0.000207068527780464+0.00295609166443363i</v>
      </c>
      <c r="AQ286" s="98">
        <f t="shared" si="200"/>
        <v>-50.564384504370146</v>
      </c>
      <c r="AR286" s="169">
        <f t="shared" si="201"/>
        <v>94.006913940204996</v>
      </c>
      <c r="AS286" s="168" t="str">
        <f t="shared" si="202"/>
        <v>0.00894080894864053+0.000628778908384449i</v>
      </c>
      <c r="AT286" s="190">
        <f t="shared" si="203"/>
        <v>-40.951037026777335</v>
      </c>
      <c r="AU286" s="169">
        <f t="shared" si="204"/>
        <v>4.0228081892028511</v>
      </c>
      <c r="AV286" s="225"/>
      <c r="AX286">
        <f t="shared" si="205"/>
        <v>0</v>
      </c>
      <c r="AY286">
        <f t="shared" si="206"/>
        <v>0</v>
      </c>
    </row>
    <row r="287" spans="14:51" x14ac:dyDescent="0.3">
      <c r="N287" s="170">
        <v>69</v>
      </c>
      <c r="O287" s="199">
        <f t="shared" si="207"/>
        <v>4897.7881936844633</v>
      </c>
      <c r="P287" s="189" t="str">
        <f t="shared" si="173"/>
        <v>20.7142857142857</v>
      </c>
      <c r="Q287" s="160" t="str">
        <f t="shared" si="174"/>
        <v>1+7.03399104371106i</v>
      </c>
      <c r="R287" s="160">
        <f t="shared" si="182"/>
        <v>7.1047188546069444</v>
      </c>
      <c r="S287" s="160">
        <f t="shared" si="183"/>
        <v>1.4295758731888415</v>
      </c>
      <c r="T287" s="160" t="str">
        <f t="shared" si="175"/>
        <v>1+0.000615474216324718i</v>
      </c>
      <c r="U287" s="160">
        <f t="shared" si="184"/>
        <v>1.0000001894042376</v>
      </c>
      <c r="V287" s="160">
        <f t="shared" si="185"/>
        <v>6.1547413860911179E-4</v>
      </c>
      <c r="W287" s="98" t="str">
        <f t="shared" si="176"/>
        <v>1-0.161561981785238i</v>
      </c>
      <c r="X287" s="160">
        <f t="shared" si="186"/>
        <v>1.0129670645970548</v>
      </c>
      <c r="Y287" s="160">
        <f t="shared" si="187"/>
        <v>-0.160177883139171</v>
      </c>
      <c r="Z287" s="98" t="str">
        <f t="shared" si="177"/>
        <v>0.997999347036951-0.0120552938264503i</v>
      </c>
      <c r="AA287" s="160">
        <f t="shared" si="188"/>
        <v>0.99807215510474123</v>
      </c>
      <c r="AB287" s="160">
        <f t="shared" si="189"/>
        <v>-1.2078873168326161E-2</v>
      </c>
      <c r="AC287" s="171" t="str">
        <f t="shared" si="190"/>
        <v>-0.0185328327862954-2.95902078117328i</v>
      </c>
      <c r="AD287" s="190">
        <f t="shared" si="191"/>
        <v>9.4231306626740636</v>
      </c>
      <c r="AE287" s="169">
        <f t="shared" si="192"/>
        <v>-90.35884817830356</v>
      </c>
      <c r="AF287" s="98" t="str">
        <f t="shared" si="178"/>
        <v>-0.0000897803247373448</v>
      </c>
      <c r="AG287" s="98" t="str">
        <f t="shared" si="179"/>
        <v>0.0615474216324717i</v>
      </c>
      <c r="AH287" s="98">
        <f t="shared" si="193"/>
        <v>6.1547421632471698E-2</v>
      </c>
      <c r="AI287" s="98">
        <f t="shared" si="194"/>
        <v>1.5707963267948966</v>
      </c>
      <c r="AJ287" s="98" t="str">
        <f t="shared" si="180"/>
        <v>1+7.23182204181544i</v>
      </c>
      <c r="AK287" s="98">
        <f t="shared" si="195"/>
        <v>7.3006335371998796</v>
      </c>
      <c r="AL287" s="98">
        <f t="shared" si="196"/>
        <v>1.4333899369504184</v>
      </c>
      <c r="AM287" s="98" t="str">
        <f t="shared" si="181"/>
        <v>1+14.4636440836309i</v>
      </c>
      <c r="AN287" s="98">
        <f t="shared" si="197"/>
        <v>14.498172304740729</v>
      </c>
      <c r="AO287" s="98">
        <f t="shared" si="198"/>
        <v>1.5017673079467739</v>
      </c>
      <c r="AP287" s="168" t="str">
        <f t="shared" si="199"/>
        <v>-0.000197923763426932+0.00289006732037925i</v>
      </c>
      <c r="AQ287" s="98">
        <f t="shared" si="200"/>
        <v>-50.761519687510486</v>
      </c>
      <c r="AR287" s="169">
        <f t="shared" si="201"/>
        <v>93.917734772291411</v>
      </c>
      <c r="AS287" s="168" t="str">
        <f t="shared" si="202"/>
        <v>0.008555437348004+0.00053209939467859i</v>
      </c>
      <c r="AT287" s="190">
        <f t="shared" si="203"/>
        <v>-41.338389024836424</v>
      </c>
      <c r="AU287" s="169">
        <f t="shared" si="204"/>
        <v>3.5588865939878613</v>
      </c>
      <c r="AV287" s="225"/>
      <c r="AX287">
        <f t="shared" si="205"/>
        <v>0</v>
      </c>
      <c r="AY287">
        <f t="shared" si="206"/>
        <v>0</v>
      </c>
    </row>
    <row r="288" spans="14:51" x14ac:dyDescent="0.3">
      <c r="N288" s="170">
        <v>70</v>
      </c>
      <c r="O288" s="199">
        <f t="shared" si="207"/>
        <v>5011.8723362727324</v>
      </c>
      <c r="P288" s="189" t="str">
        <f t="shared" si="173"/>
        <v>20.7142857142857</v>
      </c>
      <c r="Q288" s="160" t="str">
        <f t="shared" si="174"/>
        <v>1+7.19783374279513i</v>
      </c>
      <c r="R288" s="160">
        <f t="shared" si="182"/>
        <v>7.2669670832418216</v>
      </c>
      <c r="S288" s="160">
        <f t="shared" si="183"/>
        <v>1.4327492944920777</v>
      </c>
      <c r="T288" s="160" t="str">
        <f t="shared" si="175"/>
        <v>1+0.000629810452494574i</v>
      </c>
      <c r="U288" s="160">
        <f t="shared" si="184"/>
        <v>1.0000001983305833</v>
      </c>
      <c r="V288" s="160">
        <f t="shared" si="185"/>
        <v>6.2981036922080255E-4</v>
      </c>
      <c r="W288" s="98" t="str">
        <f t="shared" si="176"/>
        <v>1-0.165325243779825i</v>
      </c>
      <c r="X288" s="160">
        <f t="shared" si="186"/>
        <v>1.0135740901536792</v>
      </c>
      <c r="Y288" s="160">
        <f t="shared" si="187"/>
        <v>-0.1638432259695381</v>
      </c>
      <c r="Z288" s="98" t="str">
        <f t="shared" si="177"/>
        <v>0.997905059167649-0.0123360976924921i</v>
      </c>
      <c r="AA288" s="160">
        <f t="shared" si="188"/>
        <v>0.99798130564588627</v>
      </c>
      <c r="AB288" s="160">
        <f t="shared" si="189"/>
        <v>-1.23613656834064E-2</v>
      </c>
      <c r="AC288" s="171" t="str">
        <f t="shared" si="190"/>
        <v>-0.0370696308468117-2.894771866635i</v>
      </c>
      <c r="AD288" s="190">
        <f t="shared" si="191"/>
        <v>9.232998989603038</v>
      </c>
      <c r="AE288" s="169">
        <f t="shared" si="192"/>
        <v>-90.733673465878113</v>
      </c>
      <c r="AF288" s="98" t="str">
        <f t="shared" si="178"/>
        <v>-0.0000897803247373448</v>
      </c>
      <c r="AG288" s="98" t="str">
        <f t="shared" si="179"/>
        <v>0.0629810452494573i</v>
      </c>
      <c r="AH288" s="98">
        <f t="shared" si="193"/>
        <v>6.2981045249457301E-2</v>
      </c>
      <c r="AI288" s="98">
        <f t="shared" si="194"/>
        <v>1.5707963267948966</v>
      </c>
      <c r="AJ288" s="98" t="str">
        <f t="shared" si="180"/>
        <v>1+7.40027281681125i</v>
      </c>
      <c r="AK288" s="98">
        <f t="shared" si="195"/>
        <v>7.467532240521999</v>
      </c>
      <c r="AL288" s="98">
        <f t="shared" si="196"/>
        <v>1.4364797773622655</v>
      </c>
      <c r="AM288" s="98" t="str">
        <f t="shared" si="181"/>
        <v>1+14.8005456336225i</v>
      </c>
      <c r="AN288" s="98">
        <f t="shared" si="197"/>
        <v>14.83428970503617</v>
      </c>
      <c r="AO288" s="98">
        <f t="shared" si="198"/>
        <v>1.5033337818839658</v>
      </c>
      <c r="AP288" s="168" t="str">
        <f t="shared" si="199"/>
        <v>-0.000189175471859267+0.00282546351452304i</v>
      </c>
      <c r="AQ288" s="98">
        <f t="shared" si="200"/>
        <v>-50.958780842783099</v>
      </c>
      <c r="AR288" s="169">
        <f t="shared" si="201"/>
        <v>93.830452302641945</v>
      </c>
      <c r="AS288" s="168" t="str">
        <f t="shared" si="202"/>
        <v>0.00818608495695204+0.000442880944341103i</v>
      </c>
      <c r="AT288" s="190">
        <f t="shared" si="203"/>
        <v>-41.725781853180059</v>
      </c>
      <c r="AU288" s="169">
        <f t="shared" si="204"/>
        <v>3.0967788367638436</v>
      </c>
      <c r="AV288" s="225"/>
      <c r="AX288">
        <f t="shared" si="205"/>
        <v>0</v>
      </c>
      <c r="AY288">
        <f t="shared" si="206"/>
        <v>0</v>
      </c>
    </row>
    <row r="289" spans="14:51" x14ac:dyDescent="0.3">
      <c r="N289" s="170">
        <v>71</v>
      </c>
      <c r="O289" s="199">
        <f t="shared" si="207"/>
        <v>5128.6138399136489</v>
      </c>
      <c r="P289" s="189" t="str">
        <f t="shared" si="173"/>
        <v>20.7142857142857</v>
      </c>
      <c r="Q289" s="160" t="str">
        <f t="shared" si="174"/>
        <v>1+7.36549282860418i</v>
      </c>
      <c r="R289" s="160">
        <f t="shared" si="182"/>
        <v>7.4330669718642781</v>
      </c>
      <c r="S289" s="160">
        <f t="shared" si="183"/>
        <v>1.4358531861399704</v>
      </c>
      <c r="T289" s="160" t="str">
        <f t="shared" si="175"/>
        <v>1+0.000644480622502866i</v>
      </c>
      <c r="U289" s="160">
        <f t="shared" si="184"/>
        <v>1.0000002076776149</v>
      </c>
      <c r="V289" s="160">
        <f t="shared" si="185"/>
        <v>6.4448053327341328E-4</v>
      </c>
      <c r="W289" s="98" t="str">
        <f t="shared" si="176"/>
        <v>1-0.169176163407002i</v>
      </c>
      <c r="X289" s="160">
        <f t="shared" si="186"/>
        <v>1.0142093345385421</v>
      </c>
      <c r="Y289" s="160">
        <f t="shared" si="187"/>
        <v>-0.16758935184919901</v>
      </c>
      <c r="Z289" s="98" t="str">
        <f t="shared" si="177"/>
        <v>0.997806327647968-0.0126234423208179i</v>
      </c>
      <c r="AA289" s="160">
        <f t="shared" si="188"/>
        <v>0.99788617526767609</v>
      </c>
      <c r="AB289" s="160">
        <f t="shared" si="189"/>
        <v>-1.2650520009323473E-2</v>
      </c>
      <c r="AC289" s="171" t="str">
        <f t="shared" si="190"/>
        <v>-0.0548061934440994-2.83183068903316i</v>
      </c>
      <c r="AD289" s="190">
        <f t="shared" si="191"/>
        <v>9.0429720806385347</v>
      </c>
      <c r="AE289" s="169">
        <f t="shared" si="192"/>
        <v>-91.108742698809664</v>
      </c>
      <c r="AF289" s="98" t="str">
        <f t="shared" si="178"/>
        <v>-0.0000897803247373448</v>
      </c>
      <c r="AG289" s="98" t="str">
        <f t="shared" si="179"/>
        <v>0.0644480622502866i</v>
      </c>
      <c r="AH289" s="98">
        <f t="shared" si="193"/>
        <v>6.4448062250286597E-2</v>
      </c>
      <c r="AI289" s="98">
        <f t="shared" si="194"/>
        <v>1.5707963267948966</v>
      </c>
      <c r="AJ289" s="98" t="str">
        <f t="shared" si="180"/>
        <v>1+7.57264731440868i</v>
      </c>
      <c r="AK289" s="98">
        <f t="shared" si="195"/>
        <v>7.6383890545337492</v>
      </c>
      <c r="AL289" s="98">
        <f t="shared" si="196"/>
        <v>1.4395017796801368</v>
      </c>
      <c r="AM289" s="98" t="str">
        <f t="shared" si="181"/>
        <v>1+15.1452946288174i</v>
      </c>
      <c r="AN289" s="98">
        <f t="shared" si="197"/>
        <v>15.178272279600373</v>
      </c>
      <c r="AO289" s="98">
        <f t="shared" si="198"/>
        <v>1.504864918996198</v>
      </c>
      <c r="AP289" s="168" t="str">
        <f t="shared" si="199"/>
        <v>-0.000180807103335906+0.00276225319118451i</v>
      </c>
      <c r="AQ289" s="98">
        <f t="shared" si="200"/>
        <v>-51.156162556660185</v>
      </c>
      <c r="AR289" s="169">
        <f t="shared" si="201"/>
        <v>93.745032018535923</v>
      </c>
      <c r="AS289" s="168" t="str">
        <f t="shared" si="202"/>
        <v>0.00783214270675757+0.000360626521284169i</v>
      </c>
      <c r="AT289" s="190">
        <f t="shared" si="203"/>
        <v>-42.113190476021657</v>
      </c>
      <c r="AU289" s="169">
        <f t="shared" si="204"/>
        <v>2.636289319726258</v>
      </c>
      <c r="AV289" s="225"/>
      <c r="AX289">
        <f t="shared" si="205"/>
        <v>0</v>
      </c>
      <c r="AY289">
        <f t="shared" si="206"/>
        <v>0</v>
      </c>
    </row>
    <row r="290" spans="14:51" x14ac:dyDescent="0.3">
      <c r="N290" s="170">
        <v>72</v>
      </c>
      <c r="O290" s="199">
        <f t="shared" si="207"/>
        <v>5248.0746024977261</v>
      </c>
      <c r="P290" s="189" t="str">
        <f t="shared" si="173"/>
        <v>20.7142857142857</v>
      </c>
      <c r="Q290" s="160" t="str">
        <f t="shared" si="174"/>
        <v>1+7.53705719620482i</v>
      </c>
      <c r="R290" s="160">
        <f t="shared" si="182"/>
        <v>7.603106679434589</v>
      </c>
      <c r="S290" s="160">
        <f t="shared" si="183"/>
        <v>1.4388889545043584</v>
      </c>
      <c r="T290" s="160" t="str">
        <f t="shared" si="175"/>
        <v>1+0.000659492504667922i</v>
      </c>
      <c r="U290" s="160">
        <f t="shared" si="184"/>
        <v>1.0000002174651583</v>
      </c>
      <c r="V290" s="160">
        <f t="shared" si="185"/>
        <v>6.5949240905684191E-4</v>
      </c>
      <c r="W290" s="98" t="str">
        <f t="shared" si="176"/>
        <v>1-0.173116782475329i</v>
      </c>
      <c r="X290" s="160">
        <f t="shared" si="186"/>
        <v>1.0148740908972946</v>
      </c>
      <c r="Y290" s="160">
        <f t="shared" si="187"/>
        <v>-0.17141782624276478</v>
      </c>
      <c r="Z290" s="98" t="str">
        <f t="shared" si="177"/>
        <v>0.997702943055117-0.0129174800653532i</v>
      </c>
      <c r="AA290" s="160">
        <f t="shared" si="188"/>
        <v>0.9977865622827764</v>
      </c>
      <c r="AB290" s="160">
        <f t="shared" si="189"/>
        <v>-1.2946497191257086E-2</v>
      </c>
      <c r="AC290" s="171" t="str">
        <f t="shared" si="190"/>
        <v>-0.0717760461136852-2.7701785114753i</v>
      </c>
      <c r="AD290" s="190">
        <f t="shared" si="191"/>
        <v>8.8530697429424912</v>
      </c>
      <c r="AE290" s="169">
        <f t="shared" si="192"/>
        <v>-91.484216477911673</v>
      </c>
      <c r="AF290" s="98" t="str">
        <f t="shared" si="178"/>
        <v>-0.0000897803247373448</v>
      </c>
      <c r="AG290" s="98" t="str">
        <f t="shared" si="179"/>
        <v>0.0659492504667921i</v>
      </c>
      <c r="AH290" s="98">
        <f t="shared" si="193"/>
        <v>6.5949250466792106E-2</v>
      </c>
      <c r="AI290" s="98">
        <f t="shared" si="194"/>
        <v>1.5707963267948966</v>
      </c>
      <c r="AJ290" s="98" t="str">
        <f t="shared" si="180"/>
        <v>1+7.74903692984809i</v>
      </c>
      <c r="AK290" s="98">
        <f t="shared" si="195"/>
        <v>7.8132946533552365</v>
      </c>
      <c r="AL290" s="98">
        <f t="shared" si="196"/>
        <v>1.4424573253054704</v>
      </c>
      <c r="AM290" s="98" t="str">
        <f t="shared" si="181"/>
        <v>1+15.4980738596962i</v>
      </c>
      <c r="AN290" s="98">
        <f t="shared" si="197"/>
        <v>15.530302423346386</v>
      </c>
      <c r="AO290" s="98">
        <f t="shared" si="198"/>
        <v>1.5063615023799255</v>
      </c>
      <c r="AP290" s="168" t="str">
        <f t="shared" si="199"/>
        <v>-0.000172802743490872+0.00270040958111623i</v>
      </c>
      <c r="AQ290" s="98">
        <f t="shared" si="200"/>
        <v>-51.353659637334701</v>
      </c>
      <c r="AR290" s="169">
        <f t="shared" si="201"/>
        <v>93.661439639622941</v>
      </c>
      <c r="AS290" s="168" t="str">
        <f t="shared" si="202"/>
        <v>0.00749301969147557+0.000284869724122356i</v>
      </c>
      <c r="AT290" s="190">
        <f t="shared" si="203"/>
        <v>-42.500589894392206</v>
      </c>
      <c r="AU290" s="169">
        <f t="shared" si="204"/>
        <v>2.1772231617112556</v>
      </c>
      <c r="AV290" s="225"/>
      <c r="AX290">
        <f t="shared" si="205"/>
        <v>0</v>
      </c>
      <c r="AY290">
        <f t="shared" si="206"/>
        <v>0</v>
      </c>
    </row>
    <row r="291" spans="14:51" x14ac:dyDescent="0.3">
      <c r="N291" s="170">
        <v>73</v>
      </c>
      <c r="O291" s="199">
        <f t="shared" si="207"/>
        <v>5370.3179637025269</v>
      </c>
      <c r="P291" s="189" t="str">
        <f t="shared" si="173"/>
        <v>20.7142857142857</v>
      </c>
      <c r="Q291" s="160" t="str">
        <f t="shared" si="174"/>
        <v>1+7.71261781129561i</v>
      </c>
      <c r="R291" s="160">
        <f t="shared" si="182"/>
        <v>7.7771764479863963</v>
      </c>
      <c r="S291" s="160">
        <f t="shared" si="183"/>
        <v>1.441857985253101</v>
      </c>
      <c r="T291" s="160" t="str">
        <f t="shared" si="175"/>
        <v>1+0.000674854058488366i</v>
      </c>
      <c r="U291" s="160">
        <f t="shared" si="184"/>
        <v>1.0000002277139741</v>
      </c>
      <c r="V291" s="160">
        <f t="shared" si="185"/>
        <v>6.7485395603924918E-4</v>
      </c>
      <c r="W291" s="98" t="str">
        <f t="shared" si="176"/>
        <v>1-0.177149190353196i</v>
      </c>
      <c r="X291" s="160">
        <f t="shared" si="186"/>
        <v>1.015569709888392</v>
      </c>
      <c r="Y291" s="160">
        <f t="shared" si="187"/>
        <v>-0.1753302299148429</v>
      </c>
      <c r="Z291" s="98" t="str">
        <f t="shared" si="177"/>
        <v>0.997594686096515-0.0132183668288023i</v>
      </c>
      <c r="AA291" s="160">
        <f t="shared" si="188"/>
        <v>0.99768225550504053</v>
      </c>
      <c r="AB291" s="160">
        <f t="shared" si="189"/>
        <v>-1.3249462448914204E-2</v>
      </c>
      <c r="AC291" s="171" t="str">
        <f t="shared" si="190"/>
        <v>-0.0880114361490766-2.7097963626232i</v>
      </c>
      <c r="AD291" s="190">
        <f t="shared" si="191"/>
        <v>8.6633120000802002</v>
      </c>
      <c r="AE291" s="169">
        <f t="shared" si="192"/>
        <v>-91.860254844809063</v>
      </c>
      <c r="AF291" s="98" t="str">
        <f t="shared" si="178"/>
        <v>-0.0000897803247373448</v>
      </c>
      <c r="AG291" s="98" t="str">
        <f t="shared" si="179"/>
        <v>0.0674854058488366i</v>
      </c>
      <c r="AH291" s="98">
        <f t="shared" si="193"/>
        <v>6.7485405848836597E-2</v>
      </c>
      <c r="AI291" s="98">
        <f t="shared" si="194"/>
        <v>1.5707963267948966</v>
      </c>
      <c r="AJ291" s="98" t="str">
        <f t="shared" si="180"/>
        <v>1+7.9295351872383i</v>
      </c>
      <c r="AK291" s="98">
        <f t="shared" si="195"/>
        <v>7.9923418524016068</v>
      </c>
      <c r="AL291" s="98">
        <f t="shared" si="196"/>
        <v>1.4453477746586099</v>
      </c>
      <c r="AM291" s="98" t="str">
        <f t="shared" si="181"/>
        <v>1+15.8590703744766i</v>
      </c>
      <c r="AN291" s="98">
        <f t="shared" si="197"/>
        <v>15.890566797399057</v>
      </c>
      <c r="AO291" s="98">
        <f t="shared" si="198"/>
        <v>1.5078242987124395</v>
      </c>
      <c r="AP291" s="168" t="str">
        <f t="shared" si="199"/>
        <v>-0.000165147093817777+0.00263990621457207i</v>
      </c>
      <c r="AQ291" s="98">
        <f t="shared" si="200"/>
        <v>-51.551267106593528</v>
      </c>
      <c r="AR291" s="169">
        <f t="shared" si="201"/>
        <v>93.579641146931991</v>
      </c>
      <c r="AS291" s="168" t="str">
        <f t="shared" si="202"/>
        <v>0.00716814309081652+0.000215173056881844i</v>
      </c>
      <c r="AT291" s="190">
        <f t="shared" si="203"/>
        <v>-42.887955106513331</v>
      </c>
      <c r="AU291" s="169">
        <f t="shared" si="204"/>
        <v>1.7193863021229272</v>
      </c>
      <c r="AV291" s="225"/>
      <c r="AX291">
        <f t="shared" si="205"/>
        <v>0</v>
      </c>
      <c r="AY291">
        <f t="shared" si="206"/>
        <v>0</v>
      </c>
    </row>
    <row r="292" spans="14:51" x14ac:dyDescent="0.3">
      <c r="N292" s="170">
        <v>74</v>
      </c>
      <c r="O292" s="199">
        <f t="shared" si="207"/>
        <v>5495.4087385762541</v>
      </c>
      <c r="P292" s="189" t="str">
        <f t="shared" si="173"/>
        <v>20.7142857142857</v>
      </c>
      <c r="Q292" s="160" t="str">
        <f t="shared" si="174"/>
        <v>1+7.89226775843854i</v>
      </c>
      <c r="R292" s="160">
        <f t="shared" si="182"/>
        <v>7.9553686508475838</v>
      </c>
      <c r="S292" s="160">
        <f t="shared" si="183"/>
        <v>1.4447616431150907</v>
      </c>
      <c r="T292" s="160" t="str">
        <f t="shared" si="175"/>
        <v>1+0.000690573428863372i</v>
      </c>
      <c r="U292" s="160">
        <f t="shared" si="184"/>
        <v>1.0000002384458018</v>
      </c>
      <c r="V292" s="160">
        <f t="shared" si="185"/>
        <v>6.9057331908716694E-4</v>
      </c>
      <c r="W292" s="98" t="str">
        <f t="shared" si="176"/>
        <v>1-0.181275525076635i</v>
      </c>
      <c r="X292" s="160">
        <f t="shared" si="186"/>
        <v>1.0162976020791399</v>
      </c>
      <c r="Y292" s="160">
        <f t="shared" si="187"/>
        <v>-0.17932815794085266</v>
      </c>
      <c r="Z292" s="98" t="str">
        <f t="shared" si="177"/>
        <v>0.997481327144637-0.0135262621453098i</v>
      </c>
      <c r="AA292" s="160">
        <f t="shared" si="188"/>
        <v>0.99757303380246298</v>
      </c>
      <c r="AB292" s="160">
        <f t="shared" si="189"/>
        <v>-1.3559585304453311E-2</v>
      </c>
      <c r="AC292" s="171" t="str">
        <f t="shared" si="190"/>
        <v>-0.103543371958579-2.65066508198873i</v>
      </c>
      <c r="AD292" s="190">
        <f t="shared" si="191"/>
        <v>8.4737191236443898</v>
      </c>
      <c r="AE292" s="169">
        <f t="shared" si="192"/>
        <v>-92.237017204226262</v>
      </c>
      <c r="AF292" s="98" t="str">
        <f t="shared" si="178"/>
        <v>-0.0000897803247373448</v>
      </c>
      <c r="AG292" s="98" t="str">
        <f t="shared" si="179"/>
        <v>0.0690573428863373i</v>
      </c>
      <c r="AH292" s="98">
        <f t="shared" si="193"/>
        <v>6.9057342886337303E-2</v>
      </c>
      <c r="AI292" s="98">
        <f t="shared" si="194"/>
        <v>1.5707963267948966</v>
      </c>
      <c r="AJ292" s="98" t="str">
        <f t="shared" si="180"/>
        <v>1+8.11423778914462i</v>
      </c>
      <c r="AK292" s="98">
        <f t="shared" si="195"/>
        <v>8.1756256579409605</v>
      </c>
      <c r="AL292" s="98">
        <f t="shared" si="196"/>
        <v>1.4481744670005132</v>
      </c>
      <c r="AM292" s="98" t="str">
        <f t="shared" si="181"/>
        <v>1+16.2284755782893i</v>
      </c>
      <c r="AN292" s="98">
        <f t="shared" si="197"/>
        <v>16.259256428112948</v>
      </c>
      <c r="AO292" s="98">
        <f t="shared" si="198"/>
        <v>1.5092540585331835</v>
      </c>
      <c r="AP292" s="168" t="str">
        <f t="shared" si="199"/>
        <v>-0.000157825452301782+0.00258071693301729i</v>
      </c>
      <c r="AQ292" s="98">
        <f t="shared" si="200"/>
        <v>-51.748980191903328</v>
      </c>
      <c r="AR292" s="169">
        <f t="shared" si="201"/>
        <v>93.499602809205015</v>
      </c>
      <c r="AS292" s="168" t="str">
        <f t="shared" si="202"/>
        <v>0.00685695804035819+0.000151126282150199i</v>
      </c>
      <c r="AT292" s="190">
        <f t="shared" si="203"/>
        <v>-43.275261068258935</v>
      </c>
      <c r="AU292" s="169">
        <f t="shared" si="204"/>
        <v>1.2625856049787645</v>
      </c>
      <c r="AV292" s="225"/>
      <c r="AX292">
        <f t="shared" si="205"/>
        <v>0</v>
      </c>
      <c r="AY292">
        <f t="shared" si="206"/>
        <v>0</v>
      </c>
    </row>
    <row r="293" spans="14:51" x14ac:dyDescent="0.3">
      <c r="N293" s="170">
        <v>75</v>
      </c>
      <c r="O293" s="199">
        <f t="shared" si="207"/>
        <v>5623.4132519034993</v>
      </c>
      <c r="P293" s="189" t="str">
        <f t="shared" si="173"/>
        <v>20.7142857142857</v>
      </c>
      <c r="Q293" s="160" t="str">
        <f t="shared" si="174"/>
        <v>1+8.07610229041349i</v>
      </c>
      <c r="R293" s="160">
        <f t="shared" si="182"/>
        <v>8.1377778419677931</v>
      </c>
      <c r="S293" s="160">
        <f t="shared" si="183"/>
        <v>1.4476012716926716</v>
      </c>
      <c r="T293" s="160" t="str">
        <f t="shared" si="175"/>
        <v>1+0.00070665895041118i</v>
      </c>
      <c r="U293" s="160">
        <f t="shared" si="184"/>
        <v>1.0000002496834051</v>
      </c>
      <c r="V293" s="160">
        <f t="shared" si="185"/>
        <v>7.0665883278385867E-4</v>
      </c>
      <c r="W293" s="98" t="str">
        <f t="shared" si="176"/>
        <v>1-0.185497974482934i</v>
      </c>
      <c r="X293" s="160">
        <f t="shared" si="186"/>
        <v>1.0170592404266681</v>
      </c>
      <c r="Y293" s="160">
        <f t="shared" si="187"/>
        <v>-0.18341321861757792</v>
      </c>
      <c r="Z293" s="98" t="str">
        <f t="shared" si="177"/>
        <v>0.997362625749948-0.0138413292650479i</v>
      </c>
      <c r="AA293" s="160">
        <f t="shared" si="188"/>
        <v>0.99745866562913499</v>
      </c>
      <c r="AB293" s="160">
        <f t="shared" si="189"/>
        <v>-1.3877039715634046E-2</v>
      </c>
      <c r="AC293" s="171" t="str">
        <f t="shared" si="190"/>
        <v>-0.118401662156146-2.59276536206279i</v>
      </c>
      <c r="AD293" s="190">
        <f t="shared" si="191"/>
        <v>8.2843116649956041</v>
      </c>
      <c r="AE293" s="169">
        <f t="shared" si="192"/>
        <v>-92.614662242942956</v>
      </c>
      <c r="AF293" s="98" t="str">
        <f t="shared" si="178"/>
        <v>-0.0000897803247373448</v>
      </c>
      <c r="AG293" s="98" t="str">
        <f t="shared" si="179"/>
        <v>0.0706658950411181i</v>
      </c>
      <c r="AH293" s="98">
        <f t="shared" si="193"/>
        <v>7.0665895041118101E-2</v>
      </c>
      <c r="AI293" s="98">
        <f t="shared" si="194"/>
        <v>1.5707963267948966</v>
      </c>
      <c r="AJ293" s="98" t="str">
        <f t="shared" si="180"/>
        <v>1+8.30324266733137i</v>
      </c>
      <c r="AK293" s="98">
        <f t="shared" si="195"/>
        <v>8.3632433177919765</v>
      </c>
      <c r="AL293" s="98">
        <f t="shared" si="196"/>
        <v>1.4509387202978332</v>
      </c>
      <c r="AM293" s="98" t="str">
        <f t="shared" si="181"/>
        <v>1+16.6064853346628i</v>
      </c>
      <c r="AN293" s="98">
        <f t="shared" si="197"/>
        <v>16.636566808400421</v>
      </c>
      <c r="AO293" s="98">
        <f t="shared" si="198"/>
        <v>1.5106515165246739</v>
      </c>
      <c r="AP293" s="168" t="str">
        <f t="shared" si="199"/>
        <v>-0.000150823694248754+0.00252281589955745i</v>
      </c>
      <c r="AQ293" s="98">
        <f t="shared" si="200"/>
        <v>-51.94679431871144</v>
      </c>
      <c r="AR293" s="169">
        <f t="shared" si="201"/>
        <v>93.421291206722671</v>
      </c>
      <c r="AS293" s="168" t="str">
        <f t="shared" si="202"/>
        <v>0.00655892745532542+0.0000923448544049634i</v>
      </c>
      <c r="AT293" s="190">
        <f t="shared" si="203"/>
        <v>-43.662482653715827</v>
      </c>
      <c r="AU293" s="169">
        <f t="shared" si="204"/>
        <v>0.80662896377970339</v>
      </c>
      <c r="AV293" s="225"/>
      <c r="AX293">
        <f t="shared" si="205"/>
        <v>0</v>
      </c>
      <c r="AY293">
        <f t="shared" si="206"/>
        <v>0</v>
      </c>
    </row>
    <row r="294" spans="14:51" x14ac:dyDescent="0.3">
      <c r="N294" s="170">
        <v>76</v>
      </c>
      <c r="O294" s="199">
        <f t="shared" si="207"/>
        <v>5754.399373371567</v>
      </c>
      <c r="P294" s="189" t="str">
        <f t="shared" si="173"/>
        <v>20.7142857142857</v>
      </c>
      <c r="Q294" s="160" t="str">
        <f t="shared" si="174"/>
        <v>1+8.26421887872265i</v>
      </c>
      <c r="R294" s="160">
        <f t="shared" si="182"/>
        <v>8.3245008063808754</v>
      </c>
      <c r="S294" s="160">
        <f t="shared" si="183"/>
        <v>1.4503781933181146</v>
      </c>
      <c r="T294" s="160" t="str">
        <f t="shared" si="175"/>
        <v>1+0.000723119151888232i</v>
      </c>
      <c r="U294" s="160">
        <f t="shared" si="184"/>
        <v>1.0000002614506198</v>
      </c>
      <c r="V294" s="160">
        <f t="shared" si="185"/>
        <v>7.2311902584828807E-4</v>
      </c>
      <c r="W294" s="98" t="str">
        <f t="shared" si="176"/>
        <v>1-0.18981877737066i</v>
      </c>
      <c r="X294" s="160">
        <f t="shared" si="186"/>
        <v>1.0178561628454641</v>
      </c>
      <c r="Y294" s="160">
        <f t="shared" si="187"/>
        <v>-0.18758703226767937</v>
      </c>
      <c r="Z294" s="98" t="str">
        <f t="shared" si="177"/>
        <v>0.997238330130876-0.014163735240774i</v>
      </c>
      <c r="AA294" s="160">
        <f t="shared" si="188"/>
        <v>0.99733890853520246</v>
      </c>
      <c r="AB294" s="160">
        <f t="shared" si="189"/>
        <v>-1.4202004214480762E-2</v>
      </c>
      <c r="AC294" s="171" t="str">
        <f t="shared" si="190"/>
        <v>-0.132614954285422-2.53607778744217i</v>
      </c>
      <c r="AD294" s="190">
        <f t="shared" si="191"/>
        <v>8.0951104871087427</v>
      </c>
      <c r="AE294" s="169">
        <f t="shared" si="192"/>
        <v>-92.99334784487634</v>
      </c>
      <c r="AF294" s="98" t="str">
        <f t="shared" si="178"/>
        <v>-0.0000897803247373448</v>
      </c>
      <c r="AG294" s="98" t="str">
        <f t="shared" si="179"/>
        <v>0.0723119151888233i</v>
      </c>
      <c r="AH294" s="98">
        <f t="shared" si="193"/>
        <v>7.2311915188823295E-2</v>
      </c>
      <c r="AI294" s="98">
        <f t="shared" si="194"/>
        <v>1.5707963267948966</v>
      </c>
      <c r="AJ294" s="98" t="str">
        <f t="shared" si="180"/>
        <v>1+8.49665003468673i</v>
      </c>
      <c r="AK294" s="98">
        <f t="shared" si="195"/>
        <v>8.5552943731903248</v>
      </c>
      <c r="AL294" s="98">
        <f t="shared" si="196"/>
        <v>1.4536418311282371</v>
      </c>
      <c r="AM294" s="98" t="str">
        <f t="shared" si="181"/>
        <v>1+16.9933000693735i</v>
      </c>
      <c r="AN294" s="98">
        <f t="shared" si="197"/>
        <v>17.022698001426491</v>
      </c>
      <c r="AO294" s="98">
        <f t="shared" si="198"/>
        <v>1.5120173917926654</v>
      </c>
      <c r="AP294" s="168" t="str">
        <f t="shared" si="199"/>
        <v>-0.000144128253354704+0.0024661776081606i</v>
      </c>
      <c r="AQ294" s="98">
        <f t="shared" si="200"/>
        <v>-52.144705102963741</v>
      </c>
      <c r="AR294" s="169">
        <f t="shared" si="201"/>
        <v>93.344673252781661</v>
      </c>
      <c r="AS294" s="168" t="str">
        <f t="shared" si="202"/>
        <v>0.00627353181367323+0.0000384684311097529i</v>
      </c>
      <c r="AT294" s="190">
        <f t="shared" si="203"/>
        <v>-44.049594615855</v>
      </c>
      <c r="AU294" s="169">
        <f t="shared" si="204"/>
        <v>0.35132540790530803</v>
      </c>
      <c r="AV294" s="225"/>
      <c r="AX294">
        <f t="shared" si="205"/>
        <v>0</v>
      </c>
      <c r="AY294">
        <f t="shared" si="206"/>
        <v>0</v>
      </c>
    </row>
    <row r="295" spans="14:51" x14ac:dyDescent="0.3">
      <c r="N295" s="170">
        <v>77</v>
      </c>
      <c r="O295" s="199">
        <f t="shared" si="207"/>
        <v>5888.4365535558973</v>
      </c>
      <c r="P295" s="189" t="str">
        <f t="shared" si="173"/>
        <v>20.7142857142857</v>
      </c>
      <c r="Q295" s="160" t="str">
        <f t="shared" si="174"/>
        <v>1+8.45671726527122i</v>
      </c>
      <c r="R295" s="160">
        <f t="shared" si="182"/>
        <v>8.5156366118298124</v>
      </c>
      <c r="S295" s="160">
        <f t="shared" si="183"/>
        <v>1.4530937089509504</v>
      </c>
      <c r="T295" s="160" t="str">
        <f t="shared" si="175"/>
        <v>1+0.000739962760711232i</v>
      </c>
      <c r="U295" s="160">
        <f t="shared" si="184"/>
        <v>1.0000002737724061</v>
      </c>
      <c r="V295" s="160">
        <f t="shared" si="185"/>
        <v>7.3996262565700097E-4</v>
      </c>
      <c r="W295" s="98" t="str">
        <f t="shared" si="176"/>
        <v>1-0.194240224686698i</v>
      </c>
      <c r="X295" s="160">
        <f t="shared" si="186"/>
        <v>1.0186899748629801</v>
      </c>
      <c r="Y295" s="160">
        <f t="shared" si="187"/>
        <v>-0.19185122993220757</v>
      </c>
      <c r="Z295" s="98" t="str">
        <f t="shared" si="177"/>
        <v>0.997108176639749-0.0144936510164041i</v>
      </c>
      <c r="AA295" s="160">
        <f t="shared" si="188"/>
        <v>0.99721350865380409</v>
      </c>
      <c r="AB295" s="160">
        <f t="shared" si="189"/>
        <v>-1.4534662051767393E-2</v>
      </c>
      <c r="AC295" s="171" t="str">
        <f t="shared" si="190"/>
        <v>-0.146210773088637-2.48058287111474i</v>
      </c>
      <c r="AD295" s="190">
        <f t="shared" si="191"/>
        <v>7.9061367965151694</v>
      </c>
      <c r="AE295" s="169">
        <f t="shared" si="192"/>
        <v>-93.373231001747271</v>
      </c>
      <c r="AF295" s="98" t="str">
        <f t="shared" si="178"/>
        <v>-0.0000897803247373448</v>
      </c>
      <c r="AG295" s="98" t="str">
        <f t="shared" si="179"/>
        <v>0.0739962760711232i</v>
      </c>
      <c r="AH295" s="98">
        <f t="shared" si="193"/>
        <v>7.3996276071123204E-2</v>
      </c>
      <c r="AI295" s="98">
        <f t="shared" si="194"/>
        <v>1.5707963267948966</v>
      </c>
      <c r="AJ295" s="98" t="str">
        <f t="shared" si="180"/>
        <v>1+8.69456243835698i</v>
      </c>
      <c r="AK295" s="98">
        <f t="shared" si="195"/>
        <v>8.7518807118520581</v>
      </c>
      <c r="AL295" s="98">
        <f t="shared" si="196"/>
        <v>1.456285074622971</v>
      </c>
      <c r="AM295" s="98" t="str">
        <f t="shared" si="181"/>
        <v>1+17.389124876714i</v>
      </c>
      <c r="AN295" s="98">
        <f t="shared" si="197"/>
        <v>17.417854746723368</v>
      </c>
      <c r="AO295" s="98">
        <f t="shared" si="198"/>
        <v>1.5133523881452018</v>
      </c>
      <c r="AP295" s="168" t="str">
        <f t="shared" si="199"/>
        <v>-0.000137726103052919+0.00241077689174479i</v>
      </c>
      <c r="AQ295" s="98">
        <f t="shared" si="200"/>
        <v>-52.34270834383981</v>
      </c>
      <c r="AR295" s="169">
        <f t="shared" si="201"/>
        <v>93.269716212973663</v>
      </c>
      <c r="AS295" s="168" t="str">
        <f t="shared" si="202"/>
        <v>0.00600026890374321-0.0000108405409477727i</v>
      </c>
      <c r="AT295" s="190">
        <f t="shared" si="203"/>
        <v>-44.43657154732464</v>
      </c>
      <c r="AU295" s="169">
        <f t="shared" si="204"/>
        <v>-0.10351478877360555</v>
      </c>
      <c r="AV295" s="225"/>
      <c r="AX295">
        <f t="shared" si="205"/>
        <v>0</v>
      </c>
      <c r="AY295">
        <f t="shared" si="206"/>
        <v>0</v>
      </c>
    </row>
    <row r="296" spans="14:51" x14ac:dyDescent="0.3">
      <c r="N296" s="170">
        <v>78</v>
      </c>
      <c r="O296" s="199">
        <f t="shared" si="207"/>
        <v>6025.595860743585</v>
      </c>
      <c r="P296" s="189" t="str">
        <f t="shared" si="173"/>
        <v>20.7142857142857</v>
      </c>
      <c r="Q296" s="160" t="str">
        <f t="shared" si="174"/>
        <v>1+8.6536995152517i</v>
      </c>
      <c r="R296" s="160">
        <f t="shared" si="182"/>
        <v>8.7112866615826334</v>
      </c>
      <c r="S296" s="160">
        <f t="shared" si="183"/>
        <v>1.4557490981131456</v>
      </c>
      <c r="T296" s="160" t="str">
        <f t="shared" si="175"/>
        <v>1+0.000757198707584524i</v>
      </c>
      <c r="U296" s="160">
        <f t="shared" si="184"/>
        <v>1.0000002866749003</v>
      </c>
      <c r="V296" s="160">
        <f t="shared" si="185"/>
        <v>7.5719856287131038E-4</v>
      </c>
      <c r="W296" s="98" t="str">
        <f t="shared" si="176"/>
        <v>1-0.198764660740937i</v>
      </c>
      <c r="X296" s="160">
        <f t="shared" si="186"/>
        <v>1.0195623523647095</v>
      </c>
      <c r="Y296" s="160">
        <f t="shared" si="187"/>
        <v>-0.19620745194501318</v>
      </c>
      <c r="Z296" s="98" t="str">
        <f t="shared" si="177"/>
        <v>0.99697188920356-0.0148312515176491i</v>
      </c>
      <c r="AA296" s="160">
        <f t="shared" si="188"/>
        <v>0.99708220016390581</v>
      </c>
      <c r="AB296" s="160">
        <f t="shared" si="189"/>
        <v>-1.4875201347652783E-2</v>
      </c>
      <c r="AC296" s="171" t="str">
        <f t="shared" si="190"/>
        <v>-0.159215558243599-2.42626108805747i</v>
      </c>
      <c r="AD296" s="190">
        <f t="shared" si="191"/>
        <v>7.7174121753249922</v>
      </c>
      <c r="AE296" s="169">
        <f t="shared" si="192"/>
        <v>-93.754467718790636</v>
      </c>
      <c r="AF296" s="98" t="str">
        <f t="shared" si="178"/>
        <v>-0.0000897803247373448</v>
      </c>
      <c r="AG296" s="98" t="str">
        <f t="shared" si="179"/>
        <v>0.0757198707584525i</v>
      </c>
      <c r="AH296" s="98">
        <f t="shared" si="193"/>
        <v>7.5719870758452504E-2</v>
      </c>
      <c r="AI296" s="98">
        <f t="shared" si="194"/>
        <v>1.5707963267948966</v>
      </c>
      <c r="AJ296" s="98" t="str">
        <f t="shared" si="180"/>
        <v>1+8.89708481411816i</v>
      </c>
      <c r="AK296" s="98">
        <f t="shared" si="195"/>
        <v>8.9531066222631335</v>
      </c>
      <c r="AL296" s="98">
        <f t="shared" si="196"/>
        <v>1.4588697044438508</v>
      </c>
      <c r="AM296" s="98" t="str">
        <f t="shared" si="181"/>
        <v>1+17.7941696282364i</v>
      </c>
      <c r="AN296" s="98">
        <f t="shared" si="197"/>
        <v>17.82224656878169</v>
      </c>
      <c r="AO296" s="98">
        <f t="shared" si="198"/>
        <v>1.5146571943702474</v>
      </c>
      <c r="AP296" s="168" t="str">
        <f t="shared" si="199"/>
        <v>-0.000131604738171176+0.00235658892920007i</v>
      </c>
      <c r="AQ296" s="98">
        <f t="shared" si="200"/>
        <v>-52.540800016705745</v>
      </c>
      <c r="AR296" s="169">
        <f t="shared" si="201"/>
        <v>93.196387722411103</v>
      </c>
      <c r="AS296" s="168" t="str">
        <f t="shared" si="202"/>
        <v>0.00573865354132058-0.0000558981666845584i</v>
      </c>
      <c r="AT296" s="190">
        <f t="shared" si="203"/>
        <v>-44.82338784138075</v>
      </c>
      <c r="AU296" s="169">
        <f t="shared" si="204"/>
        <v>-0.5580799963795271</v>
      </c>
      <c r="AV296" s="225"/>
      <c r="AX296">
        <f t="shared" si="205"/>
        <v>0</v>
      </c>
      <c r="AY296">
        <f t="shared" si="206"/>
        <v>0</v>
      </c>
    </row>
    <row r="297" spans="14:51" x14ac:dyDescent="0.3">
      <c r="N297" s="170">
        <v>79</v>
      </c>
      <c r="O297" s="199">
        <f t="shared" si="207"/>
        <v>6165.9500186148289</v>
      </c>
      <c r="P297" s="189" t="str">
        <f t="shared" si="173"/>
        <v>20.7142857142857</v>
      </c>
      <c r="Q297" s="160" t="str">
        <f t="shared" si="174"/>
        <v>1+8.85527007126043i</v>
      </c>
      <c r="R297" s="160">
        <f t="shared" si="182"/>
        <v>8.9115547484690172</v>
      </c>
      <c r="S297" s="160">
        <f t="shared" si="183"/>
        <v>1.4583456188592774</v>
      </c>
      <c r="T297" s="160" t="str">
        <f t="shared" si="175"/>
        <v>1+0.000774836131235288i</v>
      </c>
      <c r="U297" s="160">
        <f t="shared" si="184"/>
        <v>1.00000030018547</v>
      </c>
      <c r="V297" s="160">
        <f t="shared" si="185"/>
        <v>7.7483597617228838E-4</v>
      </c>
      <c r="W297" s="98" t="str">
        <f t="shared" si="176"/>
        <v>1-0.203394484449263i</v>
      </c>
      <c r="X297" s="160">
        <f t="shared" si="186"/>
        <v>1.0204750444299859</v>
      </c>
      <c r="Y297" s="160">
        <f t="shared" si="187"/>
        <v>-0.20065734638282701</v>
      </c>
      <c r="Z297" s="98" t="str">
        <f t="shared" si="177"/>
        <v>0.996829178738387-0.0151767157447636i</v>
      </c>
      <c r="AA297" s="160">
        <f t="shared" si="188"/>
        <v>0.9969447047279224</v>
      </c>
      <c r="AB297" s="160">
        <f t="shared" si="189"/>
        <v>-1.5223815248819102E-2</v>
      </c>
      <c r="AC297" s="171" t="str">
        <f t="shared" si="190"/>
        <v>-0.171654701502466-2.37309290629689i</v>
      </c>
      <c r="AD297" s="190">
        <f t="shared" si="191"/>
        <v>7.5289586133128736</v>
      </c>
      <c r="AE297" s="169">
        <f t="shared" si="192"/>
        <v>-94.137212914967549</v>
      </c>
      <c r="AF297" s="98" t="str">
        <f t="shared" si="178"/>
        <v>-0.0000897803247373448</v>
      </c>
      <c r="AG297" s="98" t="str">
        <f t="shared" si="179"/>
        <v>0.0774836131235288i</v>
      </c>
      <c r="AH297" s="98">
        <f t="shared" si="193"/>
        <v>7.7483613123528805E-2</v>
      </c>
      <c r="AI297" s="98">
        <f t="shared" si="194"/>
        <v>1.5707963267948966</v>
      </c>
      <c r="AJ297" s="98" t="str">
        <f t="shared" si="180"/>
        <v>1+9.10432454201464i</v>
      </c>
      <c r="AK297" s="98">
        <f t="shared" si="195"/>
        <v>9.1590788492255086</v>
      </c>
      <c r="AL297" s="98">
        <f t="shared" si="196"/>
        <v>1.4613969527920279</v>
      </c>
      <c r="AM297" s="98" t="str">
        <f t="shared" si="181"/>
        <v>1+18.2086490840293i</v>
      </c>
      <c r="AN297" s="98">
        <f t="shared" si="197"/>
        <v>18.236087888177142</v>
      </c>
      <c r="AO297" s="98">
        <f t="shared" si="198"/>
        <v>1.5159324845116131</v>
      </c>
      <c r="AP297" s="168" t="str">
        <f t="shared" si="199"/>
        <v>-0.000125752156926587+0.00230358925141179i</v>
      </c>
      <c r="AQ297" s="98">
        <f t="shared" si="200"/>
        <v>-52.738976266283473</v>
      </c>
      <c r="AR297" s="169">
        <f t="shared" si="201"/>
        <v>93.124655801034081</v>
      </c>
      <c r="AS297" s="168" t="str">
        <f t="shared" si="202"/>
        <v>0.00548821726050761-0.0000970003737813629i</v>
      </c>
      <c r="AT297" s="190">
        <f t="shared" si="203"/>
        <v>-45.210017652970592</v>
      </c>
      <c r="AU297" s="169">
        <f t="shared" si="204"/>
        <v>-1.0125571139334653</v>
      </c>
      <c r="AV297" s="225"/>
      <c r="AX297">
        <f t="shared" si="205"/>
        <v>0</v>
      </c>
      <c r="AY297">
        <f t="shared" si="206"/>
        <v>0</v>
      </c>
    </row>
    <row r="298" spans="14:51" x14ac:dyDescent="0.3">
      <c r="N298" s="170">
        <v>80</v>
      </c>
      <c r="O298" s="199">
        <f t="shared" si="207"/>
        <v>6309.5734448019384</v>
      </c>
      <c r="P298" s="189" t="str">
        <f t="shared" si="173"/>
        <v>20.7142857142857</v>
      </c>
      <c r="Q298" s="160" t="str">
        <f t="shared" si="174"/>
        <v>1+9.06153580867429i</v>
      </c>
      <c r="R298" s="160">
        <f t="shared" si="182"/>
        <v>9.1165471101665698</v>
      </c>
      <c r="S298" s="160">
        <f t="shared" si="183"/>
        <v>1.4608845077790027</v>
      </c>
      <c r="T298" s="160" t="str">
        <f t="shared" si="175"/>
        <v>1+0.000792884383259i</v>
      </c>
      <c r="U298" s="160">
        <f t="shared" si="184"/>
        <v>1.0000003143327734</v>
      </c>
      <c r="V298" s="160">
        <f t="shared" si="185"/>
        <v>7.9288421710600526E-4</v>
      </c>
      <c r="W298" s="98" t="str">
        <f t="shared" si="176"/>
        <v>1-0.208132150605487i</v>
      </c>
      <c r="X298" s="160">
        <f t="shared" si="186"/>
        <v>1.0214298762595821</v>
      </c>
      <c r="Y298" s="160">
        <f t="shared" si="187"/>
        <v>-0.20520256738462042</v>
      </c>
      <c r="Z298" s="98" t="str">
        <f t="shared" si="177"/>
        <v>0.996679742536198-0.0155302268674536i</v>
      </c>
      <c r="AA298" s="160">
        <f t="shared" si="188"/>
        <v>0.99680073090291055</v>
      </c>
      <c r="AB298" s="160">
        <f t="shared" si="189"/>
        <v>-1.558070209248656E-2</v>
      </c>
      <c r="AC298" s="171" t="str">
        <f t="shared" si="190"/>
        <v>-0.18355258317562-2.32105881557597i</v>
      </c>
      <c r="AD298" s="190">
        <f t="shared" si="191"/>
        <v>7.3407985400470288</v>
      </c>
      <c r="AE298" s="169">
        <f t="shared" si="192"/>
        <v>-94.521620317138314</v>
      </c>
      <c r="AF298" s="98" t="str">
        <f t="shared" si="178"/>
        <v>-0.0000897803247373448</v>
      </c>
      <c r="AG298" s="98" t="str">
        <f t="shared" si="179"/>
        <v>0.0792884383259001i</v>
      </c>
      <c r="AH298" s="98">
        <f t="shared" si="193"/>
        <v>7.9288438325900101E-2</v>
      </c>
      <c r="AI298" s="98">
        <f t="shared" si="194"/>
        <v>1.5707963267948966</v>
      </c>
      <c r="AJ298" s="98" t="str">
        <f t="shared" si="180"/>
        <v>1+9.31639150329325i</v>
      </c>
      <c r="AK298" s="98">
        <f t="shared" si="195"/>
        <v>9.3699066506894653</v>
      </c>
      <c r="AL298" s="98">
        <f t="shared" si="196"/>
        <v>1.4638680304460063</v>
      </c>
      <c r="AM298" s="98" t="str">
        <f t="shared" si="181"/>
        <v>1+18.6327830065865i</v>
      </c>
      <c r="AN298" s="98">
        <f t="shared" si="197"/>
        <v>18.659598135290551</v>
      </c>
      <c r="AO298" s="98">
        <f t="shared" si="198"/>
        <v>1.5171789181429178</v>
      </c>
      <c r="AP298" s="168" t="str">
        <f t="shared" si="199"/>
        <v>-0.000120156843281446+0.002251753746349i</v>
      </c>
      <c r="AQ298" s="98">
        <f t="shared" si="200"/>
        <v>-52.937233400035169</v>
      </c>
      <c r="AR298" s="169">
        <f t="shared" si="201"/>
        <v>93.054488867128939</v>
      </c>
      <c r="AS298" s="168" t="str">
        <f t="shared" si="202"/>
        <v>0.0052485079824401-0.000134424116467558i</v>
      </c>
      <c r="AT298" s="190">
        <f t="shared" si="203"/>
        <v>-45.596434859988136</v>
      </c>
      <c r="AU298" s="169">
        <f t="shared" si="204"/>
        <v>-1.4671314500093871</v>
      </c>
      <c r="AV298" s="225"/>
      <c r="AX298">
        <f t="shared" si="205"/>
        <v>0</v>
      </c>
      <c r="AY298">
        <f t="shared" si="206"/>
        <v>0</v>
      </c>
    </row>
    <row r="299" spans="14:51" x14ac:dyDescent="0.3">
      <c r="N299" s="170">
        <v>81</v>
      </c>
      <c r="O299" s="199">
        <f t="shared" si="207"/>
        <v>6456.5422903465615</v>
      </c>
      <c r="P299" s="189" t="str">
        <f t="shared" si="173"/>
        <v>20.7142857142857</v>
      </c>
      <c r="Q299" s="160" t="str">
        <f t="shared" si="174"/>
        <v>1+9.27260609231753i</v>
      </c>
      <c r="R299" s="160">
        <f t="shared" si="182"/>
        <v>9.3263724857676653</v>
      </c>
      <c r="S299" s="160">
        <f t="shared" si="183"/>
        <v>1.4633669800292906</v>
      </c>
      <c r="T299" s="160" t="str">
        <f t="shared" si="175"/>
        <v>1+0.000811353033077784i</v>
      </c>
      <c r="U299" s="160">
        <f t="shared" si="184"/>
        <v>1.000000329146818</v>
      </c>
      <c r="V299" s="160">
        <f t="shared" si="185"/>
        <v>8.1135285504164566E-4</v>
      </c>
      <c r="W299" s="98" t="str">
        <f t="shared" si="176"/>
        <v>1-0.212980171182918i</v>
      </c>
      <c r="X299" s="160">
        <f t="shared" si="186"/>
        <v>1.0224287521960174</v>
      </c>
      <c r="Y299" s="160">
        <f t="shared" si="187"/>
        <v>-0.20984477333382784</v>
      </c>
      <c r="Z299" s="98" t="str">
        <f t="shared" si="177"/>
        <v>0.996523263622774-0.0158919723219956i</v>
      </c>
      <c r="AA299" s="160">
        <f t="shared" si="188"/>
        <v>0.99664997352413942</v>
      </c>
      <c r="AB299" s="160">
        <f t="shared" si="189"/>
        <v>-1.5946065577707544E-2</v>
      </c>
      <c r="AC299" s="171" t="str">
        <f t="shared" si="190"/>
        <v>-0.194932607912877-2.27013935376556i</v>
      </c>
      <c r="AD299" s="190">
        <f t="shared" si="191"/>
        <v>7.1529548570366881</v>
      </c>
      <c r="AE299" s="169">
        <f t="shared" si="192"/>
        <v>-94.907842347659894</v>
      </c>
      <c r="AF299" s="98" t="str">
        <f t="shared" si="178"/>
        <v>-0.0000897803247373448</v>
      </c>
      <c r="AG299" s="98" t="str">
        <f t="shared" si="179"/>
        <v>0.0811353033077783i</v>
      </c>
      <c r="AH299" s="98">
        <f t="shared" si="193"/>
        <v>8.1135303307778295E-2</v>
      </c>
      <c r="AI299" s="98">
        <f t="shared" si="194"/>
        <v>1.5707963267948966</v>
      </c>
      <c r="AJ299" s="98" t="str">
        <f t="shared" si="180"/>
        <v>1+9.53339813866396i</v>
      </c>
      <c r="AK299" s="98">
        <f t="shared" si="195"/>
        <v>9.5857018559040039</v>
      </c>
      <c r="AL299" s="98">
        <f t="shared" si="196"/>
        <v>1.4662841268265623</v>
      </c>
      <c r="AM299" s="98" t="str">
        <f t="shared" si="181"/>
        <v>1+19.066796277328i</v>
      </c>
      <c r="AN299" s="98">
        <f t="shared" si="197"/>
        <v>19.093001866682172</v>
      </c>
      <c r="AO299" s="98">
        <f t="shared" si="198"/>
        <v>1.5183971406393495</v>
      </c>
      <c r="AP299" s="168" t="str">
        <f t="shared" si="199"/>
        <v>-0.000114807749679485+0.00220105866327926i</v>
      </c>
      <c r="AQ299" s="98">
        <f t="shared" si="200"/>
        <v>-53.135567881760593</v>
      </c>
      <c r="AR299" s="169">
        <f t="shared" si="201"/>
        <v>92.985855749179663</v>
      </c>
      <c r="AS299" s="168" t="str">
        <f t="shared" si="202"/>
        <v>0.0050190896655105-0.000168428514737593i</v>
      </c>
      <c r="AT299" s="190">
        <f t="shared" si="203"/>
        <v>-45.982613024723911</v>
      </c>
      <c r="AU299" s="169">
        <f t="shared" si="204"/>
        <v>-1.9219865984802367</v>
      </c>
      <c r="AV299" s="225"/>
      <c r="AX299">
        <f t="shared" si="205"/>
        <v>0</v>
      </c>
      <c r="AY299">
        <f t="shared" si="206"/>
        <v>0</v>
      </c>
    </row>
    <row r="300" spans="14:51" x14ac:dyDescent="0.3">
      <c r="N300" s="170">
        <v>82</v>
      </c>
      <c r="O300" s="199">
        <f t="shared" si="207"/>
        <v>6606.9344800759654</v>
      </c>
      <c r="P300" s="189" t="str">
        <f t="shared" si="173"/>
        <v>20.7142857142857</v>
      </c>
      <c r="Q300" s="160" t="str">
        <f t="shared" si="174"/>
        <v>1+9.48859283444834i</v>
      </c>
      <c r="R300" s="160">
        <f t="shared" si="182"/>
        <v>9.5411421736574269</v>
      </c>
      <c r="S300" s="160">
        <f t="shared" si="183"/>
        <v>1.4657942293940214</v>
      </c>
      <c r="T300" s="160" t="str">
        <f t="shared" si="175"/>
        <v>1+0.00083025187301423i</v>
      </c>
      <c r="U300" s="160">
        <f t="shared" si="184"/>
        <v>1.0000003446590269</v>
      </c>
      <c r="V300" s="160">
        <f t="shared" si="185"/>
        <v>8.3025168224507419E-4</v>
      </c>
      <c r="W300" s="98" t="str">
        <f t="shared" si="176"/>
        <v>1-0.217941116666235i</v>
      </c>
      <c r="X300" s="160">
        <f t="shared" si="186"/>
        <v>1.0234736588372588</v>
      </c>
      <c r="Y300" s="160">
        <f t="shared" si="187"/>
        <v>-0.2145856248968776</v>
      </c>
      <c r="Z300" s="98" t="str">
        <f t="shared" si="177"/>
        <v>0.99635941008536-0.0162621439106178i</v>
      </c>
      <c r="AA300" s="160">
        <f t="shared" si="188"/>
        <v>0.99649211305971508</v>
      </c>
      <c r="AB300" s="160">
        <f t="shared" si="189"/>
        <v>-1.6320114944369395E-2</v>
      </c>
      <c r="AC300" s="171" t="str">
        <f t="shared" si="190"/>
        <v>-0.2058172397421-2.22031513115337i</v>
      </c>
      <c r="AD300" s="190">
        <f t="shared" si="191"/>
        <v>6.9654509698707656</v>
      </c>
      <c r="AE300" s="169">
        <f t="shared" si="192"/>
        <v>-95.296030004869678</v>
      </c>
      <c r="AF300" s="98" t="str">
        <f t="shared" si="178"/>
        <v>-0.0000897803247373448</v>
      </c>
      <c r="AG300" s="98" t="str">
        <f t="shared" si="179"/>
        <v>0.083025187301423i</v>
      </c>
      <c r="AH300" s="98">
        <f t="shared" si="193"/>
        <v>8.3025187301422998E-2</v>
      </c>
      <c r="AI300" s="98">
        <f t="shared" si="194"/>
        <v>1.5707963267948966</v>
      </c>
      <c r="AJ300" s="98" t="str">
        <f t="shared" si="180"/>
        <v>1+9.7554595079172i</v>
      </c>
      <c r="AK300" s="98">
        <f t="shared" si="195"/>
        <v>9.8065789249162787</v>
      </c>
      <c r="AL300" s="98">
        <f t="shared" si="196"/>
        <v>1.4686464100863303</v>
      </c>
      <c r="AM300" s="98" t="str">
        <f t="shared" si="181"/>
        <v>1+19.5109190158344i</v>
      </c>
      <c r="AN300" s="98">
        <f t="shared" si="197"/>
        <v>19.536528884181251</v>
      </c>
      <c r="AO300" s="98">
        <f t="shared" si="198"/>
        <v>1.5195877834470171</v>
      </c>
      <c r="AP300" s="168" t="str">
        <f t="shared" si="199"/>
        <v>-0.000109694280178414+0.0021514806161682i</v>
      </c>
      <c r="AQ300" s="98">
        <f t="shared" si="200"/>
        <v>-53.333976325405118</v>
      </c>
      <c r="AR300" s="169">
        <f t="shared" si="201"/>
        <v>92.918725696167527</v>
      </c>
      <c r="AS300" s="168" t="str">
        <f t="shared" si="202"/>
        <v>0.00479954194042325-0.000199255931697262i</v>
      </c>
      <c r="AT300" s="190">
        <f t="shared" si="203"/>
        <v>-46.368525355534345</v>
      </c>
      <c r="AU300" s="169">
        <f t="shared" si="204"/>
        <v>-2.377304308702155</v>
      </c>
      <c r="AV300" s="225"/>
      <c r="AX300">
        <f t="shared" si="205"/>
        <v>0</v>
      </c>
      <c r="AY300">
        <f t="shared" si="206"/>
        <v>0</v>
      </c>
    </row>
    <row r="301" spans="14:51" x14ac:dyDescent="0.3">
      <c r="N301" s="170">
        <v>83</v>
      </c>
      <c r="O301" s="199">
        <f t="shared" si="207"/>
        <v>6760.8297539198229</v>
      </c>
      <c r="P301" s="189" t="str">
        <f t="shared" si="173"/>
        <v>20.7142857142857</v>
      </c>
      <c r="Q301" s="160" t="str">
        <f t="shared" si="174"/>
        <v>1+9.70961055409636i</v>
      </c>
      <c r="R301" s="160">
        <f t="shared" si="182"/>
        <v>9.7609700907348049</v>
      </c>
      <c r="S301" s="160">
        <f t="shared" si="183"/>
        <v>1.4681674283687021</v>
      </c>
      <c r="T301" s="160" t="str">
        <f t="shared" si="175"/>
        <v>1+0.000849590923483432i</v>
      </c>
      <c r="U301" s="160">
        <f t="shared" si="184"/>
        <v>1.0000003609023036</v>
      </c>
      <c r="V301" s="160">
        <f t="shared" si="185"/>
        <v>8.4959071907060276E-4</v>
      </c>
      <c r="W301" s="98" t="str">
        <f t="shared" si="176"/>
        <v>1-0.2230176174144i</v>
      </c>
      <c r="X301" s="160">
        <f t="shared" si="186"/>
        <v>1.0245666682442855</v>
      </c>
      <c r="Y301" s="160">
        <f t="shared" si="187"/>
        <v>-0.21942678291151496</v>
      </c>
      <c r="Z301" s="98" t="str">
        <f t="shared" si="177"/>
        <v>0.996187834368634-0.0166409379031963i</v>
      </c>
      <c r="AA301" s="160">
        <f t="shared" si="188"/>
        <v>0.99632681493492226</v>
      </c>
      <c r="AB301" s="160">
        <f t="shared" si="189"/>
        <v>-1.6703065160365505E-2</v>
      </c>
      <c r="AC301" s="171" t="str">
        <f t="shared" si="190"/>
        <v>-0.216228036332765-2.17156685273715i</v>
      </c>
      <c r="AD301" s="190">
        <f t="shared" si="191"/>
        <v>6.7783108203135498</v>
      </c>
      <c r="AE301" s="169">
        <f t="shared" si="192"/>
        <v>-95.686332735928175</v>
      </c>
      <c r="AF301" s="98" t="str">
        <f t="shared" si="178"/>
        <v>-0.0000897803247373448</v>
      </c>
      <c r="AG301" s="98" t="str">
        <f t="shared" si="179"/>
        <v>0.0849590923483432i</v>
      </c>
      <c r="AH301" s="98">
        <f t="shared" si="193"/>
        <v>8.4959092348343201E-2</v>
      </c>
      <c r="AI301" s="98">
        <f t="shared" si="194"/>
        <v>1.5707963267948966</v>
      </c>
      <c r="AJ301" s="98" t="str">
        <f t="shared" si="180"/>
        <v>1+9.98269335093033i</v>
      </c>
      <c r="AK301" s="98">
        <f t="shared" si="195"/>
        <v>10.032655009453309</v>
      </c>
      <c r="AL301" s="98">
        <f t="shared" si="196"/>
        <v>1.4709560272219744</v>
      </c>
      <c r="AM301" s="98" t="str">
        <f t="shared" si="181"/>
        <v>1+19.9653867018607i</v>
      </c>
      <c r="AN301" s="98">
        <f t="shared" si="197"/>
        <v>19.990414356756993</v>
      </c>
      <c r="AO301" s="98">
        <f t="shared" si="198"/>
        <v>1.5207514643497058</v>
      </c>
      <c r="AP301" s="168" t="str">
        <f t="shared" si="199"/>
        <v>-0.000104806273991461+0.00210299658631988i</v>
      </c>
      <c r="AQ301" s="98">
        <f t="shared" si="200"/>
        <v>-53.532455489074223</v>
      </c>
      <c r="AR301" s="169">
        <f t="shared" si="201"/>
        <v>92.853068386428035</v>
      </c>
      <c r="AS301" s="168" t="str">
        <f t="shared" si="202"/>
        <v>0.00458945973309216-0.000227132991715711i</v>
      </c>
      <c r="AT301" s="190">
        <f t="shared" si="203"/>
        <v>-46.754144668760667</v>
      </c>
      <c r="AU301" s="169">
        <f t="shared" si="204"/>
        <v>-2.8332643495001402</v>
      </c>
      <c r="AV301" s="225"/>
      <c r="AX301">
        <f t="shared" si="205"/>
        <v>0</v>
      </c>
      <c r="AY301">
        <f t="shared" si="206"/>
        <v>0</v>
      </c>
    </row>
    <row r="302" spans="14:51" x14ac:dyDescent="0.3">
      <c r="N302" s="170">
        <v>84</v>
      </c>
      <c r="O302" s="199">
        <f t="shared" si="207"/>
        <v>6918.3097091893687</v>
      </c>
      <c r="P302" s="189" t="str">
        <f t="shared" si="173"/>
        <v>20.7142857142857</v>
      </c>
      <c r="Q302" s="160" t="str">
        <f t="shared" si="174"/>
        <v>1+9.93577643778206i</v>
      </c>
      <c r="R302" s="160">
        <f t="shared" si="182"/>
        <v>9.9859728330085673</v>
      </c>
      <c r="S302" s="160">
        <f t="shared" si="183"/>
        <v>1.4704877282681794</v>
      </c>
      <c r="T302" s="160" t="str">
        <f t="shared" si="175"/>
        <v>1+0.00086938043830593i</v>
      </c>
      <c r="U302" s="160">
        <f t="shared" si="184"/>
        <v>1.0000003779111017</v>
      </c>
      <c r="V302" s="160">
        <f t="shared" si="185"/>
        <v>8.6938021927364167E-4</v>
      </c>
      <c r="W302" s="98" t="str">
        <f t="shared" si="176"/>
        <v>1-0.228212365055306i</v>
      </c>
      <c r="X302" s="160">
        <f t="shared" si="186"/>
        <v>1.0257099412427162</v>
      </c>
      <c r="Y302" s="160">
        <f t="shared" si="187"/>
        <v>-0.22436990611834304</v>
      </c>
      <c r="Z302" s="98" t="str">
        <f t="shared" si="177"/>
        <v>0.996008172537498-0.0170285551413199i</v>
      </c>
      <c r="AA302" s="160">
        <f t="shared" si="188"/>
        <v>0.99615372882486741</v>
      </c>
      <c r="AB302" s="160">
        <f t="shared" si="189"/>
        <v>-1.7095137117426551E-2</v>
      </c>
      <c r="AC302" s="171" t="str">
        <f t="shared" si="190"/>
        <v>-0.226185682458397-2.12387533864412i</v>
      </c>
      <c r="AD302" s="190">
        <f t="shared" si="191"/>
        <v>6.5915589183220753</v>
      </c>
      <c r="AE302" s="169">
        <f t="shared" si="192"/>
        <v>-96.078898301491975</v>
      </c>
      <c r="AF302" s="98" t="str">
        <f t="shared" si="178"/>
        <v>-0.0000897803247373448</v>
      </c>
      <c r="AG302" s="98" t="str">
        <f t="shared" si="179"/>
        <v>0.086938043830593i</v>
      </c>
      <c r="AH302" s="98">
        <f t="shared" si="193"/>
        <v>8.6938043830593004E-2</v>
      </c>
      <c r="AI302" s="98">
        <f t="shared" si="194"/>
        <v>1.5707963267948966</v>
      </c>
      <c r="AJ302" s="98" t="str">
        <f t="shared" si="180"/>
        <v>1+10.2152201500947i</v>
      </c>
      <c r="AK302" s="98">
        <f t="shared" si="195"/>
        <v>10.264050015218203</v>
      </c>
      <c r="AL302" s="98">
        <f t="shared" si="196"/>
        <v>1.473214104206974</v>
      </c>
      <c r="AM302" s="98" t="str">
        <f t="shared" si="181"/>
        <v>1+20.4304403001894i</v>
      </c>
      <c r="AN302" s="98">
        <f t="shared" si="197"/>
        <v>20.454898945230774</v>
      </c>
      <c r="AO302" s="98">
        <f t="shared" si="198"/>
        <v>1.5218887877328577</v>
      </c>
      <c r="AP302" s="168" t="str">
        <f t="shared" si="199"/>
        <v>-0.000100133989447667+0.00205558392431061i</v>
      </c>
      <c r="AQ302" s="98">
        <f t="shared" si="200"/>
        <v>-53.731002269253061</v>
      </c>
      <c r="AR302" s="169">
        <f t="shared" si="201"/>
        <v>92.788853935168063</v>
      </c>
      <c r="AS302" s="168" t="str">
        <f t="shared" si="202"/>
        <v>0.00438845287809711-0.000252271542022755i</v>
      </c>
      <c r="AT302" s="190">
        <f t="shared" si="203"/>
        <v>-47.139443350930989</v>
      </c>
      <c r="AU302" s="169">
        <f t="shared" si="204"/>
        <v>-3.2900443663239205</v>
      </c>
      <c r="AV302" s="225"/>
      <c r="AX302">
        <f t="shared" si="205"/>
        <v>0</v>
      </c>
      <c r="AY302">
        <f t="shared" si="206"/>
        <v>0</v>
      </c>
    </row>
    <row r="303" spans="14:51" x14ac:dyDescent="0.3">
      <c r="N303" s="170">
        <v>85</v>
      </c>
      <c r="O303" s="199">
        <f t="shared" si="207"/>
        <v>7079.4578438413828</v>
      </c>
      <c r="P303" s="189" t="str">
        <f t="shared" si="173"/>
        <v>20.7142857142857</v>
      </c>
      <c r="Q303" s="160" t="str">
        <f t="shared" si="174"/>
        <v>1+10.1672104016506i</v>
      </c>
      <c r="R303" s="160">
        <f t="shared" si="182"/>
        <v>10.216269737601497</v>
      </c>
      <c r="S303" s="160">
        <f t="shared" si="183"/>
        <v>1.4727562593553625</v>
      </c>
      <c r="T303" s="160" t="str">
        <f t="shared" si="175"/>
        <v>1+0.000889630910144428i</v>
      </c>
      <c r="U303" s="160">
        <f t="shared" si="184"/>
        <v>1.0000003957214998</v>
      </c>
      <c r="V303" s="160">
        <f t="shared" si="185"/>
        <v>8.8963067544710762E-4</v>
      </c>
      <c r="W303" s="98" t="str">
        <f t="shared" si="176"/>
        <v>1-0.233528113912912i</v>
      </c>
      <c r="X303" s="160">
        <f t="shared" si="186"/>
        <v>1.0269057308184242</v>
      </c>
      <c r="Y303" s="160">
        <f t="shared" si="187"/>
        <v>-0.22941664872909295</v>
      </c>
      <c r="Z303" s="98" t="str">
        <f t="shared" si="177"/>
        <v>0.995820043505121-0.0174252011447791i</v>
      </c>
      <c r="AA303" s="160">
        <f t="shared" si="188"/>
        <v>0.99597248791393689</v>
      </c>
      <c r="AB303" s="160">
        <f t="shared" si="189"/>
        <v>-1.7496557836139799E-2</v>
      </c>
      <c r="AC303" s="171" t="str">
        <f t="shared" si="190"/>
        <v>-0.235710022637984-2.07722154279223i</v>
      </c>
      <c r="AD303" s="190">
        <f t="shared" si="191"/>
        <v>6.4052203739409252</v>
      </c>
      <c r="AE303" s="169">
        <f t="shared" si="192"/>
        <v>-96.473872631703202</v>
      </c>
      <c r="AF303" s="98" t="str">
        <f t="shared" si="178"/>
        <v>-0.0000897803247373448</v>
      </c>
      <c r="AG303" s="98" t="str">
        <f t="shared" si="179"/>
        <v>0.0889630910144429i</v>
      </c>
      <c r="AH303" s="98">
        <f t="shared" si="193"/>
        <v>8.8963091014442899E-2</v>
      </c>
      <c r="AI303" s="98">
        <f t="shared" si="194"/>
        <v>1.5707963267948966</v>
      </c>
      <c r="AJ303" s="98" t="str">
        <f t="shared" si="180"/>
        <v>1+10.453163194197i</v>
      </c>
      <c r="AK303" s="98">
        <f t="shared" si="195"/>
        <v>10.500886665635184</v>
      </c>
      <c r="AL303" s="98">
        <f t="shared" si="196"/>
        <v>1.4754217461431876</v>
      </c>
      <c r="AM303" s="98" t="str">
        <f t="shared" si="181"/>
        <v>1+20.9063263883941i</v>
      </c>
      <c r="AN303" s="98">
        <f t="shared" si="197"/>
        <v>20.930228929900967</v>
      </c>
      <c r="AO303" s="98">
        <f t="shared" si="198"/>
        <v>1.5230003448446368</v>
      </c>
      <c r="AP303" s="168" t="str">
        <f t="shared" si="199"/>
        <v>-0.0000956680883781658+0.00200922035126721i</v>
      </c>
      <c r="AQ303" s="98">
        <f t="shared" si="200"/>
        <v>-53.929613695225285</v>
      </c>
      <c r="AR303" s="169">
        <f t="shared" si="201"/>
        <v>92.726052900739631</v>
      </c>
      <c r="AS303" s="168" t="str">
        <f t="shared" si="202"/>
        <v>0.00419614572514617-0.000274869560345015i</v>
      </c>
      <c r="AT303" s="190">
        <f t="shared" si="203"/>
        <v>-47.524393321284364</v>
      </c>
      <c r="AU303" s="169">
        <f t="shared" si="204"/>
        <v>-3.747819730963573</v>
      </c>
      <c r="AV303" s="225"/>
      <c r="AX303">
        <f t="shared" si="205"/>
        <v>0</v>
      </c>
      <c r="AY303">
        <f t="shared" si="206"/>
        <v>0</v>
      </c>
    </row>
    <row r="304" spans="14:51" x14ac:dyDescent="0.3">
      <c r="N304" s="170">
        <v>86</v>
      </c>
      <c r="O304" s="199">
        <f t="shared" si="207"/>
        <v>7244.3596007499036</v>
      </c>
      <c r="P304" s="189" t="str">
        <f t="shared" si="173"/>
        <v>20.7142857142857</v>
      </c>
      <c r="Q304" s="160" t="str">
        <f t="shared" si="174"/>
        <v>1+10.4040351550531i</v>
      </c>
      <c r="R304" s="160">
        <f t="shared" si="182"/>
        <v>10.451982946196418</v>
      </c>
      <c r="S304" s="160">
        <f t="shared" si="183"/>
        <v>1.4749741309890896</v>
      </c>
      <c r="T304" s="160" t="str">
        <f t="shared" si="175"/>
        <v>1+0.000910353076067144i</v>
      </c>
      <c r="U304" s="160">
        <f t="shared" si="184"/>
        <v>1.0000004143712757</v>
      </c>
      <c r="V304" s="160">
        <f t="shared" si="185"/>
        <v>9.1035282458444002E-4</v>
      </c>
      <c r="W304" s="98" t="str">
        <f t="shared" si="176"/>
        <v>1-0.238967682467625i</v>
      </c>
      <c r="X304" s="160">
        <f t="shared" si="186"/>
        <v>1.0281563856067557</v>
      </c>
      <c r="Y304" s="160">
        <f t="shared" si="187"/>
        <v>-0.23456865782522296</v>
      </c>
      <c r="Z304" s="98" t="str">
        <f t="shared" si="177"/>
        <v>0.995623048224601-0.017831086220535i</v>
      </c>
      <c r="AA304" s="160">
        <f t="shared" si="188"/>
        <v>0.99578270812052683</v>
      </c>
      <c r="AB304" s="160">
        <f t="shared" si="189"/>
        <v>-1.7907560680720667E-2</v>
      </c>
      <c r="AC304" s="171" t="str">
        <f t="shared" si="190"/>
        <v>-0.244820092941693-2.031586569904i</v>
      </c>
      <c r="AD304" s="190">
        <f t="shared" si="191"/>
        <v>6.2193209290269245</v>
      </c>
      <c r="AE304" s="169">
        <f t="shared" si="192"/>
        <v>-96.871399672988446</v>
      </c>
      <c r="AF304" s="98" t="str">
        <f t="shared" si="178"/>
        <v>-0.0000897803247373448</v>
      </c>
      <c r="AG304" s="98" t="str">
        <f t="shared" si="179"/>
        <v>0.0910353076067144i</v>
      </c>
      <c r="AH304" s="98">
        <f t="shared" si="193"/>
        <v>9.1035307606714397E-2</v>
      </c>
      <c r="AI304" s="98">
        <f t="shared" si="194"/>
        <v>1.5707963267948966</v>
      </c>
      <c r="AJ304" s="98" t="str">
        <f t="shared" si="180"/>
        <v>1+10.6966486437889i</v>
      </c>
      <c r="AK304" s="98">
        <f t="shared" si="195"/>
        <v>10.743290567078176</v>
      </c>
      <c r="AL304" s="98">
        <f t="shared" si="196"/>
        <v>1.4775800374294672</v>
      </c>
      <c r="AM304" s="98" t="str">
        <f t="shared" si="181"/>
        <v>1+21.3932972875779i</v>
      </c>
      <c r="AN304" s="98">
        <f t="shared" si="197"/>
        <v>21.416656341144574</v>
      </c>
      <c r="AO304" s="98">
        <f t="shared" si="198"/>
        <v>1.5240867140539354</v>
      </c>
      <c r="AP304" s="168" t="str">
        <f t="shared" si="199"/>
        <v>-0.0000913996209332716+0.00196388395953724i</v>
      </c>
      <c r="AQ304" s="98">
        <f t="shared" si="200"/>
        <v>-54.128286923688627</v>
      </c>
      <c r="AR304" s="169">
        <f t="shared" si="201"/>
        <v>92.664636289761745</v>
      </c>
      <c r="AS304" s="168" t="str">
        <f t="shared" si="202"/>
        <v>0.00401217674073747-0.000295112011118256i</v>
      </c>
      <c r="AT304" s="190">
        <f t="shared" si="203"/>
        <v>-47.908965994661692</v>
      </c>
      <c r="AU304" s="169">
        <f t="shared" si="204"/>
        <v>-4.2067633832267015</v>
      </c>
      <c r="AV304" s="225"/>
      <c r="AX304">
        <f t="shared" si="205"/>
        <v>0</v>
      </c>
      <c r="AY304">
        <f t="shared" si="206"/>
        <v>0</v>
      </c>
    </row>
    <row r="305" spans="14:51" x14ac:dyDescent="0.3">
      <c r="N305" s="170">
        <v>87</v>
      </c>
      <c r="O305" s="199">
        <f t="shared" si="207"/>
        <v>7413.1024130091773</v>
      </c>
      <c r="P305" s="189" t="str">
        <f t="shared" si="173"/>
        <v>20.7142857142857</v>
      </c>
      <c r="Q305" s="160" t="str">
        <f t="shared" si="174"/>
        <v>1+10.6463762656084i</v>
      </c>
      <c r="R305" s="160">
        <f t="shared" si="182"/>
        <v>10.693237469957817</v>
      </c>
      <c r="S305" s="160">
        <f t="shared" si="183"/>
        <v>1.477142431789386</v>
      </c>
      <c r="T305" s="160" t="str">
        <f t="shared" si="175"/>
        <v>1+0.000931557923240736i</v>
      </c>
      <c r="U305" s="160">
        <f t="shared" si="184"/>
        <v>1.0000004338999882</v>
      </c>
      <c r="V305" s="160">
        <f t="shared" si="185"/>
        <v>9.3155765377217004E-4</v>
      </c>
      <c r="W305" s="98" t="str">
        <f t="shared" si="176"/>
        <v>1-0.244533954850693i</v>
      </c>
      <c r="X305" s="160">
        <f t="shared" si="186"/>
        <v>1.0294643534746217</v>
      </c>
      <c r="Y305" s="160">
        <f t="shared" si="187"/>
        <v>-0.23982757058057882</v>
      </c>
      <c r="Z305" s="98" t="str">
        <f t="shared" si="177"/>
        <v>0.995416768842538-0.0182464255742274i</v>
      </c>
      <c r="AA305" s="160">
        <f t="shared" si="188"/>
        <v>0.99558398728542974</v>
      </c>
      <c r="AB305" s="160">
        <f t="shared" si="189"/>
        <v>-1.8328385584143719E-2</v>
      </c>
      <c r="AC305" s="171" t="str">
        <f t="shared" si="190"/>
        <v>-0.25353415195109-1.98695169097857i</v>
      </c>
      <c r="AD305" s="190">
        <f t="shared" si="191"/>
        <v>6.0338869887511359</v>
      </c>
      <c r="AE305" s="169">
        <f t="shared" si="192"/>
        <v>-97.271621225171828</v>
      </c>
      <c r="AF305" s="98" t="str">
        <f t="shared" si="178"/>
        <v>-0.0000897803247373448</v>
      </c>
      <c r="AG305" s="98" t="str">
        <f t="shared" si="179"/>
        <v>0.0931557923240736i</v>
      </c>
      <c r="AH305" s="98">
        <f t="shared" si="193"/>
        <v>9.3155792324073602E-2</v>
      </c>
      <c r="AI305" s="98">
        <f t="shared" si="194"/>
        <v>1.5707963267948966</v>
      </c>
      <c r="AJ305" s="98" t="str">
        <f t="shared" si="180"/>
        <v>1+10.9458055980786i</v>
      </c>
      <c r="AK305" s="98">
        <f t="shared" si="195"/>
        <v>10.991390275617041</v>
      </c>
      <c r="AL305" s="98">
        <f t="shared" si="196"/>
        <v>1.4796900419457011</v>
      </c>
      <c r="AM305" s="98" t="str">
        <f t="shared" si="181"/>
        <v>1+21.8916111961573i</v>
      </c>
      <c r="AN305" s="98">
        <f t="shared" si="197"/>
        <v>21.914439093066463</v>
      </c>
      <c r="AO305" s="98">
        <f t="shared" si="198"/>
        <v>1.5251484611052093</v>
      </c>
      <c r="AP305" s="168" t="str">
        <f t="shared" si="199"/>
        <v>-0.0000873200108332016+0.00191955321279698i</v>
      </c>
      <c r="AQ305" s="98">
        <f t="shared" si="200"/>
        <v>-54.327019233561735</v>
      </c>
      <c r="AR305" s="169">
        <f t="shared" si="201"/>
        <v>92.604575561176475</v>
      </c>
      <c r="AS305" s="168" t="str">
        <f t="shared" si="202"/>
        <v>0.00383619810698526-0.000313171652750176i</v>
      </c>
      <c r="AT305" s="190">
        <f t="shared" si="203"/>
        <v>-48.293132244810607</v>
      </c>
      <c r="AU305" s="169">
        <f t="shared" si="204"/>
        <v>-4.6670456639953608</v>
      </c>
      <c r="AV305" s="225"/>
      <c r="AX305">
        <f t="shared" si="205"/>
        <v>0</v>
      </c>
      <c r="AY305">
        <f t="shared" si="206"/>
        <v>0</v>
      </c>
    </row>
    <row r="306" spans="14:51" x14ac:dyDescent="0.3">
      <c r="N306" s="170">
        <v>88</v>
      </c>
      <c r="O306" s="199">
        <f t="shared" si="207"/>
        <v>7585.7757502918394</v>
      </c>
      <c r="P306" s="189" t="str">
        <f t="shared" si="173"/>
        <v>20.7142857142857</v>
      </c>
      <c r="Q306" s="160" t="str">
        <f t="shared" si="174"/>
        <v>1+10.8943622257812i</v>
      </c>
      <c r="R306" s="160">
        <f t="shared" si="182"/>
        <v>10.940161255965483</v>
      </c>
      <c r="S306" s="160">
        <f t="shared" si="183"/>
        <v>1.4792622298184814</v>
      </c>
      <c r="T306" s="160" t="str">
        <f t="shared" si="175"/>
        <v>1+0.000953256694755858i</v>
      </c>
      <c r="U306" s="160">
        <f t="shared" si="184"/>
        <v>1.0000004543490599</v>
      </c>
      <c r="V306" s="160">
        <f t="shared" si="185"/>
        <v>9.5325640601509447E-4</v>
      </c>
      <c r="W306" s="98" t="str">
        <f t="shared" si="176"/>
        <v>1-0.250229882373412i</v>
      </c>
      <c r="X306" s="160">
        <f t="shared" si="186"/>
        <v>1.0308321851943756</v>
      </c>
      <c r="Y306" s="160">
        <f t="shared" si="187"/>
        <v>-0.24519501130208046</v>
      </c>
      <c r="Z306" s="98" t="str">
        <f t="shared" si="177"/>
        <v>0.995200767812705-0.0186714394242792i</v>
      </c>
      <c r="AA306" s="160">
        <f t="shared" si="188"/>
        <v>0.99537590432216716</v>
      </c>
      <c r="AB306" s="160">
        <f t="shared" si="189"/>
        <v>-1.875927928428146E-2</v>
      </c>
      <c r="AC306" s="171" t="str">
        <f t="shared" si="190"/>
        <v>-0.261869710868427-1.94329835732169i</v>
      </c>
      <c r="AD306" s="190">
        <f t="shared" si="191"/>
        <v>5.8489456528162362</v>
      </c>
      <c r="AE306" s="169">
        <f t="shared" si="192"/>
        <v>-97.674676768426906</v>
      </c>
      <c r="AF306" s="98" t="str">
        <f t="shared" si="178"/>
        <v>-0.0000897803247373448</v>
      </c>
      <c r="AG306" s="98" t="str">
        <f t="shared" si="179"/>
        <v>0.0953256694755858i</v>
      </c>
      <c r="AH306" s="98">
        <f t="shared" si="193"/>
        <v>9.5325669475585795E-2</v>
      </c>
      <c r="AI306" s="98">
        <f t="shared" si="194"/>
        <v>1.5707963267948966</v>
      </c>
      <c r="AJ306" s="98" t="str">
        <f t="shared" si="180"/>
        <v>1+11.2007661633813i</v>
      </c>
      <c r="AK306" s="98">
        <f t="shared" si="195"/>
        <v>11.245317365319107</v>
      </c>
      <c r="AL306" s="98">
        <f t="shared" si="196"/>
        <v>1.4817528032507821</v>
      </c>
      <c r="AM306" s="98" t="str">
        <f t="shared" si="181"/>
        <v>1+22.4015323267627i</v>
      </c>
      <c r="AN306" s="98">
        <f t="shared" si="197"/>
        <v>22.423841120267376</v>
      </c>
      <c r="AO306" s="98">
        <f t="shared" si="198"/>
        <v>1.5261861393700351</v>
      </c>
      <c r="AP306" s="168" t="str">
        <f t="shared" si="199"/>
        <v>-0.0000834210410532997+0.00187620694563975i</v>
      </c>
      <c r="AQ306" s="98">
        <f t="shared" si="200"/>
        <v>-54.525808020979589</v>
      </c>
      <c r="AR306" s="169">
        <f t="shared" si="201"/>
        <v>92.545842629319409</v>
      </c>
      <c r="AS306" s="168" t="str">
        <f t="shared" si="202"/>
        <v>0.00366787531935824-0.000329209798339073i</v>
      </c>
      <c r="AT306" s="190">
        <f t="shared" si="203"/>
        <v>-48.676862368163363</v>
      </c>
      <c r="AU306" s="169">
        <f t="shared" si="204"/>
        <v>-5.1288341391074983</v>
      </c>
      <c r="AV306" s="225"/>
      <c r="AX306">
        <f t="shared" si="205"/>
        <v>0</v>
      </c>
      <c r="AY306">
        <f t="shared" si="206"/>
        <v>0</v>
      </c>
    </row>
    <row r="307" spans="14:51" x14ac:dyDescent="0.3">
      <c r="N307" s="170">
        <v>89</v>
      </c>
      <c r="O307" s="199">
        <f t="shared" si="207"/>
        <v>7762.4711662869322</v>
      </c>
      <c r="P307" s="189" t="str">
        <f t="shared" si="173"/>
        <v>20.7142857142857</v>
      </c>
      <c r="Q307" s="160" t="str">
        <f t="shared" si="174"/>
        <v>1+11.1481245210101i</v>
      </c>
      <c r="R307" s="160">
        <f t="shared" si="182"/>
        <v>11.192885255194332</v>
      </c>
      <c r="S307" s="160">
        <f t="shared" si="183"/>
        <v>1.4813345727760445</v>
      </c>
      <c r="T307" s="160" t="str">
        <f t="shared" si="175"/>
        <v>1+0.000975460895588384i</v>
      </c>
      <c r="U307" s="160">
        <f t="shared" si="184"/>
        <v>1.0000004757618661</v>
      </c>
      <c r="V307" s="160">
        <f t="shared" si="185"/>
        <v>9.7546058619708961E-4</v>
      </c>
      <c r="W307" s="98" t="str">
        <f t="shared" si="176"/>
        <v>1-0.25605848509195i</v>
      </c>
      <c r="X307" s="160">
        <f t="shared" si="186"/>
        <v>1.0322625382079813</v>
      </c>
      <c r="Y307" s="160">
        <f t="shared" si="187"/>
        <v>-0.25067258828265632</v>
      </c>
      <c r="Z307" s="98" t="str">
        <f t="shared" si="177"/>
        <v>0.994974586967958-0.0191063531186596i</v>
      </c>
      <c r="AA307" s="160">
        <f t="shared" si="188"/>
        <v>0.99515801832751838</v>
      </c>
      <c r="AB307" s="160">
        <f t="shared" si="189"/>
        <v>-1.9200495571749829E-2</v>
      </c>
      <c r="AC307" s="171" t="str">
        <f t="shared" si="190"/>
        <v>-0.269843562773397-1.90060821322923i</v>
      </c>
      <c r="AD307" s="190">
        <f t="shared" si="191"/>
        <v>5.6645247463245845</v>
      </c>
      <c r="AE307" s="169">
        <f t="shared" si="192"/>
        <v>-98.080703279607661</v>
      </c>
      <c r="AF307" s="98" t="str">
        <f t="shared" si="178"/>
        <v>-0.0000897803247373448</v>
      </c>
      <c r="AG307" s="98" t="str">
        <f t="shared" si="179"/>
        <v>0.0975460895588385i</v>
      </c>
      <c r="AH307" s="98">
        <f t="shared" si="193"/>
        <v>9.7546089558838506E-2</v>
      </c>
      <c r="AI307" s="98">
        <f t="shared" si="194"/>
        <v>1.5707963267948966</v>
      </c>
      <c r="AJ307" s="98" t="str">
        <f t="shared" si="180"/>
        <v>1+11.4616655231635i</v>
      </c>
      <c r="AK307" s="98">
        <f t="shared" si="195"/>
        <v>11.505206498141387</v>
      </c>
      <c r="AL307" s="98">
        <f t="shared" si="196"/>
        <v>1.4837693447930795</v>
      </c>
      <c r="AM307" s="98" t="str">
        <f t="shared" si="181"/>
        <v>1+22.9233310463271i</v>
      </c>
      <c r="AN307" s="98">
        <f t="shared" si="197"/>
        <v>22.9451325178022</v>
      </c>
      <c r="AO307" s="98">
        <f t="shared" si="198"/>
        <v>1.5272002900952983</v>
      </c>
      <c r="AP307" s="168" t="str">
        <f t="shared" si="199"/>
        <v>-0.000079694839943073+0.00183382436268578i</v>
      </c>
      <c r="AQ307" s="98">
        <f t="shared" si="200"/>
        <v>-54.724650794470492</v>
      </c>
      <c r="AR307" s="169">
        <f t="shared" si="201"/>
        <v>92.488409866080673</v>
      </c>
      <c r="AS307" s="168" t="str">
        <f t="shared" si="202"/>
        <v>0.00350688678488535-0.000343377032179992i</v>
      </c>
      <c r="AT307" s="190">
        <f t="shared" si="203"/>
        <v>-49.060126048145904</v>
      </c>
      <c r="AU307" s="169">
        <f t="shared" si="204"/>
        <v>-5.5922934135269911</v>
      </c>
      <c r="AV307" s="225"/>
      <c r="AX307">
        <f t="shared" si="205"/>
        <v>0</v>
      </c>
      <c r="AY307">
        <f t="shared" si="206"/>
        <v>0</v>
      </c>
    </row>
    <row r="308" spans="14:51" x14ac:dyDescent="0.3">
      <c r="N308" s="170">
        <v>90</v>
      </c>
      <c r="O308" s="199">
        <f t="shared" si="207"/>
        <v>7943.2823472428154</v>
      </c>
      <c r="P308" s="189" t="str">
        <f t="shared" si="173"/>
        <v>20.7142857142857</v>
      </c>
      <c r="Q308" s="160" t="str">
        <f t="shared" si="174"/>
        <v>1+11.4077976994229i</v>
      </c>
      <c r="R308" s="160">
        <f t="shared" si="182"/>
        <v>11.451543492078192</v>
      </c>
      <c r="S308" s="160">
        <f t="shared" si="183"/>
        <v>1.4833604882072069</v>
      </c>
      <c r="T308" s="160" t="str">
        <f t="shared" si="175"/>
        <v>1+0.0009981822986995i</v>
      </c>
      <c r="U308" s="160">
        <f t="shared" si="184"/>
        <v>1.0000004981838266</v>
      </c>
      <c r="V308" s="160">
        <f t="shared" si="185"/>
        <v>9.9818196718076419E-4</v>
      </c>
      <c r="W308" s="98" t="str">
        <f t="shared" si="176"/>
        <v>1-0.262022853408618i</v>
      </c>
      <c r="X308" s="160">
        <f t="shared" si="186"/>
        <v>1.0337581804795521</v>
      </c>
      <c r="Y308" s="160">
        <f t="shared" si="187"/>
        <v>-0.25626189046100611</v>
      </c>
      <c r="Z308" s="98" t="str">
        <f t="shared" si="177"/>
        <v>0.994737746548402-0.0195513972543658i</v>
      </c>
      <c r="AA308" s="160">
        <f t="shared" si="188"/>
        <v>0.99492986765037394</v>
      </c>
      <c r="AB308" s="160">
        <f t="shared" si="189"/>
        <v>-1.965229555020748E-2</v>
      </c>
      <c r="AC308" s="171" t="str">
        <f t="shared" si="190"/>
        <v>-0.277471811029201-1.85886310741466i</v>
      </c>
      <c r="AD308" s="190">
        <f t="shared" si="191"/>
        <v>5.4806528502243683</v>
      </c>
      <c r="AE308" s="169">
        <f t="shared" si="192"/>
        <v>-98.489835037521544</v>
      </c>
      <c r="AF308" s="98" t="str">
        <f t="shared" si="178"/>
        <v>-0.0000897803247373448</v>
      </c>
      <c r="AG308" s="98" t="str">
        <f t="shared" si="179"/>
        <v>0.0998182298699501i</v>
      </c>
      <c r="AH308" s="98">
        <f t="shared" si="193"/>
        <v>9.9818229869950106E-2</v>
      </c>
      <c r="AI308" s="98">
        <f t="shared" si="194"/>
        <v>1.5707963267948966</v>
      </c>
      <c r="AJ308" s="98" t="str">
        <f t="shared" si="180"/>
        <v>1+11.7286420097191i</v>
      </c>
      <c r="AK308" s="98">
        <f t="shared" si="195"/>
        <v>11.771195495451925</v>
      </c>
      <c r="AL308" s="98">
        <f t="shared" si="196"/>
        <v>1.4857406701320999</v>
      </c>
      <c r="AM308" s="98" t="str">
        <f t="shared" si="181"/>
        <v>1+23.4572840194383i</v>
      </c>
      <c r="AN308" s="98">
        <f t="shared" si="197"/>
        <v>23.478589684403861</v>
      </c>
      <c r="AO308" s="98">
        <f t="shared" si="198"/>
        <v>1.5281914426479408</v>
      </c>
      <c r="AP308" s="168" t="str">
        <f t="shared" si="199"/>
        <v>-0.0000761338677768359+0.00179238503725146i</v>
      </c>
      <c r="AQ308" s="98">
        <f t="shared" si="200"/>
        <v>-54.923545170312515</v>
      </c>
      <c r="AR308" s="169">
        <f t="shared" si="201"/>
        <v>92.432250102227655</v>
      </c>
      <c r="AS308" s="168" t="str">
        <f t="shared" si="202"/>
        <v>0.00335292342220149-0.000355813884312658i</v>
      </c>
      <c r="AT308" s="190">
        <f t="shared" si="203"/>
        <v>-49.442892320088134</v>
      </c>
      <c r="AU308" s="169">
        <f t="shared" si="204"/>
        <v>-6.0575849352938844</v>
      </c>
      <c r="AV308" s="225"/>
      <c r="AX308">
        <f t="shared" si="205"/>
        <v>0</v>
      </c>
      <c r="AY308">
        <f t="shared" si="206"/>
        <v>0</v>
      </c>
    </row>
    <row r="309" spans="14:51" x14ac:dyDescent="0.3">
      <c r="N309" s="170">
        <v>91</v>
      </c>
      <c r="O309" s="199">
        <f t="shared" si="207"/>
        <v>8128.3051616410066</v>
      </c>
      <c r="P309" s="189" t="str">
        <f t="shared" si="173"/>
        <v>20.7142857142857</v>
      </c>
      <c r="Q309" s="160" t="str">
        <f t="shared" si="174"/>
        <v>1+11.673519443176i</v>
      </c>
      <c r="R309" s="160">
        <f t="shared" si="182"/>
        <v>11.716273135694989</v>
      </c>
      <c r="S309" s="160">
        <f t="shared" si="183"/>
        <v>1.4853409837220384</v>
      </c>
      <c r="T309" s="160" t="str">
        <f t="shared" si="175"/>
        <v>1+0.0010214329512779i</v>
      </c>
      <c r="U309" s="160">
        <f t="shared" si="184"/>
        <v>1.000000521662501</v>
      </c>
      <c r="V309" s="160">
        <f t="shared" si="185"/>
        <v>1.0214325960491845E-3</v>
      </c>
      <c r="W309" s="98" t="str">
        <f t="shared" si="176"/>
        <v>1-0.268126149710447i</v>
      </c>
      <c r="X309" s="160">
        <f t="shared" si="186"/>
        <v>1.035321994433881</v>
      </c>
      <c r="Y309" s="160">
        <f t="shared" si="187"/>
        <v>-0.26196448388321281</v>
      </c>
      <c r="Z309" s="98" t="str">
        <f t="shared" si="177"/>
        <v>0.994489744183753-0.0200068077996898i</v>
      </c>
      <c r="AA309" s="160">
        <f t="shared" si="188"/>
        <v>0.99469096891698006</v>
      </c>
      <c r="AB309" s="160">
        <f t="shared" si="189"/>
        <v>-2.0114947909916307E-2</v>
      </c>
      <c r="AC309" s="171" t="str">
        <f t="shared" si="190"/>
        <v>-0.284769896842893-1.81804510326585i</v>
      </c>
      <c r="AD309" s="190">
        <f t="shared" si="191"/>
        <v>5.2973593312525722</v>
      </c>
      <c r="AE309" s="169">
        <f t="shared" si="192"/>
        <v>-98.902203416739312</v>
      </c>
      <c r="AF309" s="98" t="str">
        <f t="shared" si="178"/>
        <v>-0.0000897803247373448</v>
      </c>
      <c r="AG309" s="98" t="str">
        <f t="shared" si="179"/>
        <v>0.10214329512779i</v>
      </c>
      <c r="AH309" s="98">
        <f t="shared" si="193"/>
        <v>0.10214329512779</v>
      </c>
      <c r="AI309" s="98">
        <f t="shared" si="194"/>
        <v>1.5707963267948966</v>
      </c>
      <c r="AJ309" s="98" t="str">
        <f t="shared" si="180"/>
        <v>1+12.0018371775153i</v>
      </c>
      <c r="AK309" s="98">
        <f t="shared" si="195"/>
        <v>12.043425411218706</v>
      </c>
      <c r="AL309" s="98">
        <f t="shared" si="196"/>
        <v>1.4876677631701039</v>
      </c>
      <c r="AM309" s="98" t="str">
        <f t="shared" si="181"/>
        <v>1+24.0036743550306i</v>
      </c>
      <c r="AN309" s="98">
        <f t="shared" si="197"/>
        <v>24.024495469048954</v>
      </c>
      <c r="AO309" s="98">
        <f t="shared" si="198"/>
        <v>1.5291601147561946</v>
      </c>
      <c r="AP309" s="168" t="str">
        <f t="shared" si="199"/>
        <v>-0.0000727309037324891+0.00175186890961442i</v>
      </c>
      <c r="AQ309" s="98">
        <f t="shared" si="200"/>
        <v>-55.122488868063542</v>
      </c>
      <c r="AR309" s="169">
        <f t="shared" si="201"/>
        <v>92.377336627955927</v>
      </c>
      <c r="AS309" s="168" t="str">
        <f t="shared" si="202"/>
        <v>0.00320568826464137-0.000366651465286218i</v>
      </c>
      <c r="AT309" s="190">
        <f t="shared" si="203"/>
        <v>-49.825129536810962</v>
      </c>
      <c r="AU309" s="169">
        <f t="shared" si="204"/>
        <v>-6.5248667887833962</v>
      </c>
      <c r="AV309" s="225"/>
      <c r="AX309">
        <f t="shared" si="205"/>
        <v>0</v>
      </c>
      <c r="AY309">
        <f t="shared" si="206"/>
        <v>0</v>
      </c>
    </row>
    <row r="310" spans="14:51" x14ac:dyDescent="0.3">
      <c r="N310" s="170">
        <v>92</v>
      </c>
      <c r="O310" s="199">
        <f t="shared" si="207"/>
        <v>8317.6377110267094</v>
      </c>
      <c r="P310" s="189" t="str">
        <f t="shared" si="173"/>
        <v>20.7142857142857</v>
      </c>
      <c r="Q310" s="160" t="str">
        <f t="shared" si="174"/>
        <v>1+11.9454306414551i</v>
      </c>
      <c r="R310" s="160">
        <f t="shared" si="182"/>
        <v>11.987214572610871</v>
      </c>
      <c r="S310" s="160">
        <f t="shared" si="183"/>
        <v>1.4872770472252224</v>
      </c>
      <c r="T310" s="160" t="str">
        <f t="shared" si="175"/>
        <v>1+0.00104522518112732i</v>
      </c>
      <c r="U310" s="160">
        <f t="shared" si="184"/>
        <v>1.0000005462476904</v>
      </c>
      <c r="V310" s="160">
        <f t="shared" si="185"/>
        <v>1.0452248004929048E-3</v>
      </c>
      <c r="W310" s="98" t="str">
        <f t="shared" si="176"/>
        <v>1-0.27437161004592i</v>
      </c>
      <c r="X310" s="160">
        <f t="shared" si="186"/>
        <v>1.0369569809780879</v>
      </c>
      <c r="Y310" s="160">
        <f t="shared" si="187"/>
        <v>-0.26778190796171653</v>
      </c>
      <c r="Z310" s="98" t="str">
        <f t="shared" si="177"/>
        <v>0.994230053827744-0.0204728262193305i</v>
      </c>
      <c r="AA310" s="160">
        <f t="shared" si="188"/>
        <v>0.99444081601054846</v>
      </c>
      <c r="AB310" s="160">
        <f t="shared" si="189"/>
        <v>-2.0588729215423231E-2</v>
      </c>
      <c r="AC310" s="171" t="str">
        <f t="shared" si="190"/>
        <v>-0.291752625987555-1.77813648801301i</v>
      </c>
      <c r="AD310" s="190">
        <f t="shared" si="191"/>
        <v>5.1146743712907288</v>
      </c>
      <c r="AE310" s="169">
        <f t="shared" si="192"/>
        <v>-99.317936669559387</v>
      </c>
      <c r="AF310" s="98" t="str">
        <f t="shared" si="178"/>
        <v>-0.0000897803247373448</v>
      </c>
      <c r="AG310" s="98" t="str">
        <f t="shared" si="179"/>
        <v>0.104522518112732i</v>
      </c>
      <c r="AH310" s="98">
        <f t="shared" si="193"/>
        <v>0.104522518112732</v>
      </c>
      <c r="AI310" s="98">
        <f t="shared" si="194"/>
        <v>1.5707963267948966</v>
      </c>
      <c r="AJ310" s="98" t="str">
        <f t="shared" si="180"/>
        <v>1+12.281395878246i</v>
      </c>
      <c r="AK310" s="98">
        <f t="shared" si="195"/>
        <v>12.322040606904272</v>
      </c>
      <c r="AL310" s="98">
        <f t="shared" si="196"/>
        <v>1.4895515883925268</v>
      </c>
      <c r="AM310" s="98" t="str">
        <f t="shared" si="181"/>
        <v>1+24.562791756492i</v>
      </c>
      <c r="AN310" s="98">
        <f t="shared" si="197"/>
        <v>24.583139320940912</v>
      </c>
      <c r="AO310" s="98">
        <f t="shared" si="198"/>
        <v>1.5301068127472501</v>
      </c>
      <c r="AP310" s="168" t="str">
        <f t="shared" si="199"/>
        <v>-0.0000694790332939007+0.00171225628490899i</v>
      </c>
      <c r="AQ310" s="98">
        <f t="shared" si="200"/>
        <v>-55.321479706258046</v>
      </c>
      <c r="AR310" s="169">
        <f t="shared" si="201"/>
        <v>92.323643192731822</v>
      </c>
      <c r="AS310" s="168" t="str">
        <f t="shared" si="202"/>
        <v>0.00306489606744085-0.000376012063234137i</v>
      </c>
      <c r="AT310" s="190">
        <f t="shared" si="203"/>
        <v>-50.206805334967314</v>
      </c>
      <c r="AU310" s="169">
        <f t="shared" si="204"/>
        <v>-6.9942934768275622</v>
      </c>
      <c r="AV310" s="225"/>
      <c r="AX310">
        <f t="shared" si="205"/>
        <v>0</v>
      </c>
      <c r="AY310">
        <f t="shared" si="206"/>
        <v>0</v>
      </c>
    </row>
    <row r="311" spans="14:51" x14ac:dyDescent="0.3">
      <c r="N311" s="170">
        <v>93</v>
      </c>
      <c r="O311" s="199">
        <f t="shared" si="207"/>
        <v>8511.3803820237772</v>
      </c>
      <c r="P311" s="189" t="str">
        <f t="shared" si="173"/>
        <v>20.7142857142857</v>
      </c>
      <c r="Q311" s="160" t="str">
        <f t="shared" si="174"/>
        <v>1+12.2236754651768i</v>
      </c>
      <c r="R311" s="160">
        <f t="shared" si="182"/>
        <v>12.264511481423353</v>
      </c>
      <c r="S311" s="160">
        <f t="shared" si="183"/>
        <v>1.4891696471547677</v>
      </c>
      <c r="T311" s="160" t="str">
        <f t="shared" si="175"/>
        <v>1+0.00106957160320297i</v>
      </c>
      <c r="U311" s="160">
        <f t="shared" si="184"/>
        <v>1.0000005719915437</v>
      </c>
      <c r="V311" s="160">
        <f t="shared" si="185"/>
        <v>1.0695711953458585E-3</v>
      </c>
      <c r="W311" s="98" t="str">
        <f t="shared" si="176"/>
        <v>1-0.280762545840778i</v>
      </c>
      <c r="X311" s="160">
        <f t="shared" si="186"/>
        <v>1.0386662636029895</v>
      </c>
      <c r="Y311" s="160">
        <f t="shared" si="187"/>
        <v>-0.27371567152782739</v>
      </c>
      <c r="Z311" s="98" t="str">
        <f t="shared" si="177"/>
        <v>0.993958124642314-0.0209496996024226i</v>
      </c>
      <c r="AA311" s="160">
        <f t="shared" si="188"/>
        <v>0.99417887900311874</v>
      </c>
      <c r="AB311" s="160">
        <f t="shared" si="189"/>
        <v>-2.1073924208297682E-2</v>
      </c>
      <c r="AC311" s="171" t="str">
        <f t="shared" si="190"/>
        <v>-0.298434194696408-1.73911978088408i</v>
      </c>
      <c r="AD311" s="190">
        <f t="shared" si="191"/>
        <v>4.932628996036966</v>
      </c>
      <c r="AE311" s="169">
        <f t="shared" si="192"/>
        <v>-99.73715969579176</v>
      </c>
      <c r="AF311" s="98" t="str">
        <f t="shared" si="178"/>
        <v>-0.0000897803247373448</v>
      </c>
      <c r="AG311" s="98" t="str">
        <f t="shared" si="179"/>
        <v>0.106957160320297i</v>
      </c>
      <c r="AH311" s="98">
        <f t="shared" si="193"/>
        <v>0.10695716032029701</v>
      </c>
      <c r="AI311" s="98">
        <f t="shared" si="194"/>
        <v>1.5707963267948966</v>
      </c>
      <c r="AJ311" s="98" t="str">
        <f t="shared" si="180"/>
        <v>1+12.5674663376349i</v>
      </c>
      <c r="AK311" s="98">
        <f t="shared" si="195"/>
        <v>12.607188828108603</v>
      </c>
      <c r="AL311" s="98">
        <f t="shared" si="196"/>
        <v>1.491393091116149</v>
      </c>
      <c r="AM311" s="98" t="str">
        <f t="shared" si="181"/>
        <v>1+25.1349326752698i</v>
      </c>
      <c r="AN311" s="98">
        <f t="shared" si="197"/>
        <v>25.154817442993803</v>
      </c>
      <c r="AO311" s="98">
        <f t="shared" si="198"/>
        <v>1.5310320317813182</v>
      </c>
      <c r="AP311" s="168" t="str">
        <f t="shared" si="199"/>
        <v>-0.0000663716360712399+0.00167352783068309i</v>
      </c>
      <c r="AQ311" s="98">
        <f t="shared" si="200"/>
        <v>-55.520515598270698</v>
      </c>
      <c r="AR311" s="169">
        <f t="shared" si="201"/>
        <v>92.271144004483673</v>
      </c>
      <c r="AS311" s="168" t="str">
        <f t="shared" si="202"/>
        <v>0.00293027291996259-0.000384009705270802i</v>
      </c>
      <c r="AT311" s="190">
        <f t="shared" si="203"/>
        <v>-50.587886602233723</v>
      </c>
      <c r="AU311" s="169">
        <f t="shared" si="204"/>
        <v>-7.4660156913080788</v>
      </c>
      <c r="AV311" s="225"/>
      <c r="AX311">
        <f t="shared" si="205"/>
        <v>0</v>
      </c>
      <c r="AY311">
        <f t="shared" si="206"/>
        <v>0</v>
      </c>
    </row>
    <row r="312" spans="14:51" x14ac:dyDescent="0.3">
      <c r="N312" s="170">
        <v>94</v>
      </c>
      <c r="O312" s="199">
        <f t="shared" si="207"/>
        <v>8709.6358995608189</v>
      </c>
      <c r="P312" s="189" t="str">
        <f t="shared" si="173"/>
        <v>20.7142857142857</v>
      </c>
      <c r="Q312" s="160" t="str">
        <f t="shared" si="174"/>
        <v>1+12.5084014434296i</v>
      </c>
      <c r="R312" s="160">
        <f t="shared" si="182"/>
        <v>12.548310909042367</v>
      </c>
      <c r="S312" s="160">
        <f t="shared" si="183"/>
        <v>1.4910197327286716</v>
      </c>
      <c r="T312" s="160" t="str">
        <f t="shared" si="175"/>
        <v>1+0.00109448512630009i</v>
      </c>
      <c r="U312" s="160">
        <f t="shared" si="184"/>
        <v>1.0000005989486664</v>
      </c>
      <c r="V312" s="160">
        <f t="shared" si="185"/>
        <v>1.0944846892733354E-3</v>
      </c>
      <c r="W312" s="98" t="str">
        <f t="shared" si="176"/>
        <v>1-0.287302345653772i</v>
      </c>
      <c r="X312" s="160">
        <f t="shared" si="186"/>
        <v>1.0404530925602362</v>
      </c>
      <c r="Y312" s="160">
        <f t="shared" si="187"/>
        <v>-0.27976724867460784</v>
      </c>
      <c r="Z312" s="98" t="str">
        <f t="shared" si="177"/>
        <v>0.993673379829201-0.0214376807935459i</v>
      </c>
      <c r="AA312" s="160">
        <f t="shared" si="188"/>
        <v>0.99390460303743111</v>
      </c>
      <c r="AB312" s="160">
        <f t="shared" si="189"/>
        <v>-2.1570826125921018E-2</v>
      </c>
      <c r="AC312" s="171" t="str">
        <f t="shared" si="190"/>
        <v>-0.304828214740858-1.70097774032112i</v>
      </c>
      <c r="AD312" s="190">
        <f t="shared" si="191"/>
        <v>4.7512551028970886</v>
      </c>
      <c r="AE312" s="169">
        <f t="shared" si="192"/>
        <v>-100.15999380005609</v>
      </c>
      <c r="AF312" s="98" t="str">
        <f t="shared" si="178"/>
        <v>-0.0000897803247373448</v>
      </c>
      <c r="AG312" s="98" t="str">
        <f t="shared" si="179"/>
        <v>0.109448512630009i</v>
      </c>
      <c r="AH312" s="98">
        <f t="shared" si="193"/>
        <v>0.109448512630009</v>
      </c>
      <c r="AI312" s="98">
        <f t="shared" si="194"/>
        <v>1.5707963267948966</v>
      </c>
      <c r="AJ312" s="98" t="str">
        <f t="shared" si="180"/>
        <v>1+12.860200234026i</v>
      </c>
      <c r="AK312" s="98">
        <f t="shared" si="195"/>
        <v>12.89902128299827</v>
      </c>
      <c r="AL312" s="98">
        <f t="shared" si="196"/>
        <v>1.4931931977440009</v>
      </c>
      <c r="AM312" s="98" t="str">
        <f t="shared" si="181"/>
        <v>1+25.7204004680521i</v>
      </c>
      <c r="AN312" s="98">
        <f t="shared" si="197"/>
        <v>25.739832948894112</v>
      </c>
      <c r="AO312" s="98">
        <f t="shared" si="198"/>
        <v>1.5319362560820398</v>
      </c>
      <c r="AP312" s="168" t="str">
        <f t="shared" si="199"/>
        <v>-0.0000634023740329683+0.00163566457414776i</v>
      </c>
      <c r="AQ312" s="98">
        <f t="shared" si="200"/>
        <v>-55.719594548336815</v>
      </c>
      <c r="AR312" s="169">
        <f t="shared" si="201"/>
        <v>92.219813728198744</v>
      </c>
      <c r="AS312" s="168" t="str">
        <f t="shared" si="202"/>
        <v>0.00280155586374397-0.000390750685138735i</v>
      </c>
      <c r="AT312" s="190">
        <f t="shared" si="203"/>
        <v>-50.96833944543971</v>
      </c>
      <c r="AU312" s="169">
        <f t="shared" si="204"/>
        <v>-7.9401800718573368</v>
      </c>
      <c r="AV312" s="225"/>
      <c r="AX312">
        <f t="shared" si="205"/>
        <v>0</v>
      </c>
      <c r="AY312">
        <f t="shared" si="206"/>
        <v>0</v>
      </c>
    </row>
    <row r="313" spans="14:51" x14ac:dyDescent="0.3">
      <c r="N313" s="170">
        <v>95</v>
      </c>
      <c r="O313" s="199">
        <f t="shared" si="207"/>
        <v>8912.5093813374679</v>
      </c>
      <c r="P313" s="189" t="str">
        <f t="shared" si="173"/>
        <v>20.7142857142857</v>
      </c>
      <c r="Q313" s="160" t="str">
        <f t="shared" si="174"/>
        <v>1+12.799759541696i</v>
      </c>
      <c r="R313" s="160">
        <f t="shared" si="182"/>
        <v>12.838763348751225</v>
      </c>
      <c r="S313" s="160">
        <f t="shared" si="183"/>
        <v>1.4928282341985286</v>
      </c>
      <c r="T313" s="160" t="str">
        <f t="shared" si="175"/>
        <v>1+0.0011199789598984i</v>
      </c>
      <c r="U313" s="160">
        <f t="shared" si="184"/>
        <v>1.0000006271762387</v>
      </c>
      <c r="V313" s="160">
        <f t="shared" si="185"/>
        <v>1.1199784916158112E-3</v>
      </c>
      <c r="W313" s="98" t="str">
        <f t="shared" si="176"/>
        <v>1-0.293994476973328i</v>
      </c>
      <c r="X313" s="160">
        <f t="shared" si="186"/>
        <v>1.0423208491106857</v>
      </c>
      <c r="Y313" s="160">
        <f t="shared" si="187"/>
        <v>-0.28593807438785923</v>
      </c>
      <c r="Z313" s="98" t="str">
        <f t="shared" si="177"/>
        <v>0.993375215406482-0.0219370285267872i</v>
      </c>
      <c r="AA313" s="160">
        <f t="shared" si="188"/>
        <v>0.99361740715652713</v>
      </c>
      <c r="AB313" s="160">
        <f t="shared" si="189"/>
        <v>-2.2079737037406295E-2</v>
      </c>
      <c r="AC313" s="171" t="str">
        <f t="shared" si="190"/>
        <v>-0.310947737706484-1.66369337032598i</v>
      </c>
      <c r="AD313" s="190">
        <f t="shared" si="191"/>
        <v>4.5705854879842462</v>
      </c>
      <c r="AE313" s="169">
        <f t="shared" si="192"/>
        <v>-100.58655643634793</v>
      </c>
      <c r="AF313" s="98" t="str">
        <f t="shared" si="178"/>
        <v>-0.0000897803247373448</v>
      </c>
      <c r="AG313" s="98" t="str">
        <f t="shared" si="179"/>
        <v>0.11199789598984i</v>
      </c>
      <c r="AH313" s="98">
        <f t="shared" si="193"/>
        <v>0.11199789598984</v>
      </c>
      <c r="AI313" s="98">
        <f t="shared" si="194"/>
        <v>1.5707963267948966</v>
      </c>
      <c r="AJ313" s="98" t="str">
        <f t="shared" si="180"/>
        <v>1+13.1597527788062i</v>
      </c>
      <c r="AK313" s="98">
        <f t="shared" si="195"/>
        <v>13.197692722566982</v>
      </c>
      <c r="AL313" s="98">
        <f t="shared" si="196"/>
        <v>1.4949528160261012</v>
      </c>
      <c r="AM313" s="98" t="str">
        <f t="shared" si="181"/>
        <v>1+26.3195055576124i</v>
      </c>
      <c r="AN313" s="98">
        <f t="shared" si="197"/>
        <v>26.338496023827741</v>
      </c>
      <c r="AO313" s="98">
        <f t="shared" si="198"/>
        <v>1.5328199591632283</v>
      </c>
      <c r="AP313" s="168" t="str">
        <f t="shared" si="199"/>
        <v>-0.0000605651801423012+0.00159864789914711i</v>
      </c>
      <c r="AQ313" s="98">
        <f t="shared" si="200"/>
        <v>-55.918714647727654</v>
      </c>
      <c r="AR313" s="169">
        <f t="shared" si="201"/>
        <v>92.169627483975162</v>
      </c>
      <c r="AS313" s="168" t="str">
        <f t="shared" si="202"/>
        <v>0.00267849251704564-0.000396334058953672i</v>
      </c>
      <c r="AT313" s="190">
        <f t="shared" si="203"/>
        <v>-51.348129159743401</v>
      </c>
      <c r="AU313" s="169">
        <f t="shared" si="204"/>
        <v>-8.4169289523727571</v>
      </c>
      <c r="AV313" s="225"/>
      <c r="AX313">
        <f t="shared" si="205"/>
        <v>0</v>
      </c>
      <c r="AY313">
        <f t="shared" si="206"/>
        <v>0</v>
      </c>
    </row>
    <row r="314" spans="14:51" x14ac:dyDescent="0.3">
      <c r="N314" s="170">
        <v>96</v>
      </c>
      <c r="O314" s="199">
        <f t="shared" si="207"/>
        <v>9120.1083935591087</v>
      </c>
      <c r="P314" s="189" t="str">
        <f t="shared" si="173"/>
        <v>20.7142857142857</v>
      </c>
      <c r="Q314" s="160" t="str">
        <f t="shared" si="174"/>
        <v>1+13.0979042418962i</v>
      </c>
      <c r="R314" s="160">
        <f t="shared" si="182"/>
        <v>13.136022820088373</v>
      </c>
      <c r="S314" s="160">
        <f t="shared" si="183"/>
        <v>1.4945960631091428</v>
      </c>
      <c r="T314" s="160" t="str">
        <f t="shared" si="175"/>
        <v>1+0.00114606662116592i</v>
      </c>
      <c r="U314" s="160">
        <f t="shared" si="184"/>
        <v>1.0000006567341344</v>
      </c>
      <c r="V314" s="160">
        <f t="shared" si="185"/>
        <v>1.1460661193921037E-3</v>
      </c>
      <c r="W314" s="98" t="str">
        <f t="shared" si="176"/>
        <v>1-0.300842488056052i</v>
      </c>
      <c r="X314" s="160">
        <f t="shared" si="186"/>
        <v>1.0442730498388608</v>
      </c>
      <c r="Y314" s="160">
        <f t="shared" si="187"/>
        <v>-0.29222953996383599</v>
      </c>
      <c r="Z314" s="98" t="str">
        <f t="shared" si="177"/>
        <v>0.99306299892744-0.0224480075629244i</v>
      </c>
      <c r="AA314" s="160">
        <f t="shared" si="188"/>
        <v>0.9933166830786172</v>
      </c>
      <c r="AB314" s="160">
        <f t="shared" si="189"/>
        <v>-2.2600968197806458E-2</v>
      </c>
      <c r="AC314" s="171" t="str">
        <f t="shared" si="190"/>
        <v>-0.316805278482423-1.6272499260008i</v>
      </c>
      <c r="AD314" s="190">
        <f t="shared" si="191"/>
        <v>4.390653872114644</v>
      </c>
      <c r="AE314" s="169">
        <f t="shared" si="192"/>
        <v>-101.01696093967192</v>
      </c>
      <c r="AF314" s="98" t="str">
        <f t="shared" si="178"/>
        <v>-0.0000897803247373448</v>
      </c>
      <c r="AG314" s="98" t="str">
        <f t="shared" si="179"/>
        <v>0.114606662116592i</v>
      </c>
      <c r="AH314" s="98">
        <f t="shared" si="193"/>
        <v>0.114606662116592</v>
      </c>
      <c r="AI314" s="98">
        <f t="shared" si="194"/>
        <v>1.5707963267948966</v>
      </c>
      <c r="AJ314" s="98" t="str">
        <f t="shared" si="180"/>
        <v>1+13.4662827986995i</v>
      </c>
      <c r="AK314" s="98">
        <f t="shared" si="195"/>
        <v>13.503361522767213</v>
      </c>
      <c r="AL314" s="98">
        <f t="shared" si="196"/>
        <v>1.4966728353251517</v>
      </c>
      <c r="AM314" s="98" t="str">
        <f t="shared" si="181"/>
        <v>1+26.9325655973991i</v>
      </c>
      <c r="AN314" s="98">
        <f t="shared" si="197"/>
        <v>26.95112408895417</v>
      </c>
      <c r="AO314" s="98">
        <f t="shared" si="198"/>
        <v>1.5336836040519142</v>
      </c>
      <c r="AP314" s="168" t="str">
        <f t="shared" si="199"/>
        <v>-0.0000578542473904549+0.0015624595428753i</v>
      </c>
      <c r="AQ314" s="98">
        <f t="shared" si="200"/>
        <v>-56.117874071075235</v>
      </c>
      <c r="AR314" s="169">
        <f t="shared" si="201"/>
        <v>92.120560844578264</v>
      </c>
      <c r="AS314" s="168" t="str">
        <f t="shared" si="202"/>
        <v>0.002560840706479-0.000400852110813179i</v>
      </c>
      <c r="AT314" s="190">
        <f t="shared" si="203"/>
        <v>-51.727220198960595</v>
      </c>
      <c r="AU314" s="169">
        <f t="shared" si="204"/>
        <v>-8.8964000950936555</v>
      </c>
      <c r="AV314" s="225"/>
      <c r="AX314">
        <f t="shared" si="205"/>
        <v>0</v>
      </c>
      <c r="AY314">
        <f t="shared" si="206"/>
        <v>0</v>
      </c>
    </row>
    <row r="315" spans="14:51" x14ac:dyDescent="0.3">
      <c r="N315" s="170">
        <v>97</v>
      </c>
      <c r="O315" s="199">
        <f t="shared" si="207"/>
        <v>9332.5430079699217</v>
      </c>
      <c r="P315" s="189" t="str">
        <f t="shared" si="173"/>
        <v>20.7142857142857</v>
      </c>
      <c r="Q315" s="160" t="str">
        <f t="shared" si="174"/>
        <v>1+13.4029936242967i</v>
      </c>
      <c r="R315" s="160">
        <f t="shared" si="182"/>
        <v>13.440246950593504</v>
      </c>
      <c r="S315" s="160">
        <f t="shared" si="183"/>
        <v>1.4963241125632818</v>
      </c>
      <c r="T315" s="160" t="str">
        <f t="shared" si="175"/>
        <v>1+0.00117276194212596i</v>
      </c>
      <c r="U315" s="160">
        <f t="shared" si="184"/>
        <v>1.00000068768505</v>
      </c>
      <c r="V315" s="160">
        <f t="shared" si="185"/>
        <v>1.1727614044656489E-3</v>
      </c>
      <c r="W315" s="98" t="str">
        <f t="shared" si="176"/>
        <v>1-0.307850009808065i</v>
      </c>
      <c r="X315" s="160">
        <f t="shared" si="186"/>
        <v>1.0463133510277052</v>
      </c>
      <c r="Y315" s="160">
        <f t="shared" si="187"/>
        <v>-0.29864298821342689</v>
      </c>
      <c r="Z315" s="98" t="str">
        <f t="shared" si="177"/>
        <v>0.992736068139062-0.0229708888298059i</v>
      </c>
      <c r="AA315" s="160">
        <f t="shared" si="188"/>
        <v>0.99300179391471177</v>
      </c>
      <c r="AB315" s="160">
        <f t="shared" si="189"/>
        <v>-2.3134840421859603E-2</v>
      </c>
      <c r="AC315" s="171" t="str">
        <f t="shared" si="190"/>
        <v>-0.322412837981043-1.59163091834477i</v>
      </c>
      <c r="AD315" s="190">
        <f t="shared" si="191"/>
        <v>4.2114949256776777</v>
      </c>
      <c r="AE315" s="169">
        <f t="shared" si="192"/>
        <v>-101.45131624460602</v>
      </c>
      <c r="AF315" s="98" t="str">
        <f t="shared" si="178"/>
        <v>-0.0000897803247373448</v>
      </c>
      <c r="AG315" s="98" t="str">
        <f t="shared" si="179"/>
        <v>0.117276194212596i</v>
      </c>
      <c r="AH315" s="98">
        <f t="shared" si="193"/>
        <v>0.117276194212596</v>
      </c>
      <c r="AI315" s="98">
        <f t="shared" si="194"/>
        <v>1.5707963267948966</v>
      </c>
      <c r="AJ315" s="98" t="str">
        <f t="shared" si="180"/>
        <v>1+13.7799528199801i</v>
      </c>
      <c r="AK315" s="98">
        <f t="shared" si="195"/>
        <v>13.816189768560561</v>
      </c>
      <c r="AL315" s="98">
        <f t="shared" si="196"/>
        <v>1.498354126886414</v>
      </c>
      <c r="AM315" s="98" t="str">
        <f t="shared" si="181"/>
        <v>1+27.5599056399602i</v>
      </c>
      <c r="AN315" s="98">
        <f t="shared" si="197"/>
        <v>27.578041969717688</v>
      </c>
      <c r="AO315" s="98">
        <f t="shared" si="198"/>
        <v>1.5345276435076869</v>
      </c>
      <c r="AP315" s="168" t="str">
        <f t="shared" si="199"/>
        <v>-0.0000552640182184308+0.00152708159236557i</v>
      </c>
      <c r="AQ315" s="98">
        <f t="shared" si="200"/>
        <v>-56.317071072841323</v>
      </c>
      <c r="AR315" s="169">
        <f t="shared" si="201"/>
        <v>92.072589832545276</v>
      </c>
      <c r="AS315" s="168" t="str">
        <f t="shared" si="202"/>
        <v>0.00244836810619625-0.000404390789954771i</v>
      </c>
      <c r="AT315" s="190">
        <f t="shared" si="203"/>
        <v>-52.105576147163639</v>
      </c>
      <c r="AU315" s="169">
        <f t="shared" si="204"/>
        <v>-9.3787264120607485</v>
      </c>
      <c r="AV315" s="225"/>
      <c r="AX315">
        <f t="shared" si="205"/>
        <v>0</v>
      </c>
      <c r="AY315">
        <f t="shared" si="206"/>
        <v>0</v>
      </c>
    </row>
    <row r="316" spans="14:51" x14ac:dyDescent="0.3">
      <c r="N316" s="170">
        <v>98</v>
      </c>
      <c r="O316" s="199">
        <f t="shared" si="207"/>
        <v>9549.9258602143691</v>
      </c>
      <c r="P316" s="189" t="str">
        <f t="shared" si="173"/>
        <v>20.7142857142857</v>
      </c>
      <c r="Q316" s="160" t="str">
        <f t="shared" si="174"/>
        <v>1+13.7151894513265i</v>
      </c>
      <c r="R316" s="160">
        <f t="shared" si="182"/>
        <v>13.751597059461048</v>
      </c>
      <c r="S316" s="160">
        <f t="shared" si="183"/>
        <v>1.498013257490753</v>
      </c>
      <c r="T316" s="160" t="str">
        <f t="shared" si="175"/>
        <v>1+0.00120007907699107i</v>
      </c>
      <c r="U316" s="160">
        <f t="shared" si="184"/>
        <v>1.0000007200946361</v>
      </c>
      <c r="V316" s="160">
        <f t="shared" si="185"/>
        <v>1.2000785008776894E-3</v>
      </c>
      <c r="W316" s="98" t="str">
        <f t="shared" si="176"/>
        <v>1-0.315020757710154i</v>
      </c>
      <c r="X316" s="160">
        <f t="shared" si="186"/>
        <v>1.0484455530871784</v>
      </c>
      <c r="Y316" s="160">
        <f t="shared" si="187"/>
        <v>-0.30517970845372416</v>
      </c>
      <c r="Z316" s="98" t="str">
        <f t="shared" si="177"/>
        <v>0.992393729577316-0.0235059495660006i</v>
      </c>
      <c r="AA316" s="160">
        <f t="shared" si="188"/>
        <v>0.99267207282635606</v>
      </c>
      <c r="AB316" s="160">
        <f t="shared" si="189"/>
        <v>-2.3681684478618306E-2</v>
      </c>
      <c r="AC316" s="171" t="str">
        <f t="shared" si="190"/>
        <v>-0.327781925105888-1.55682011836523i</v>
      </c>
      <c r="AD316" s="190">
        <f t="shared" si="191"/>
        <v>4.0331442922525031</v>
      </c>
      <c r="AE316" s="169">
        <f t="shared" si="192"/>
        <v>-101.88972659072577</v>
      </c>
      <c r="AF316" s="98" t="str">
        <f t="shared" si="178"/>
        <v>-0.0000897803247373448</v>
      </c>
      <c r="AG316" s="98" t="str">
        <f t="shared" si="179"/>
        <v>0.120007907699107i</v>
      </c>
      <c r="AH316" s="98">
        <f t="shared" si="193"/>
        <v>0.12000790769910701</v>
      </c>
      <c r="AI316" s="98">
        <f t="shared" si="194"/>
        <v>1.5707963267948966</v>
      </c>
      <c r="AJ316" s="98" t="str">
        <f t="shared" si="180"/>
        <v>1+14.100929154645i</v>
      </c>
      <c r="AK316" s="98">
        <f t="shared" si="195"/>
        <v>14.136343339927668</v>
      </c>
      <c r="AL316" s="98">
        <f t="shared" si="196"/>
        <v>1.499997544111012</v>
      </c>
      <c r="AM316" s="98" t="str">
        <f t="shared" si="181"/>
        <v>1+28.2018583092901i</v>
      </c>
      <c r="AN316" s="98">
        <f t="shared" si="197"/>
        <v>28.21958206808306</v>
      </c>
      <c r="AO316" s="98">
        <f t="shared" si="198"/>
        <v>1.5353525202383245</v>
      </c>
      <c r="AP316" s="168" t="str">
        <f t="shared" si="199"/>
        <v>-0.0000527891743187015+0.00149249648077444i</v>
      </c>
      <c r="AQ316" s="98">
        <f t="shared" si="200"/>
        <v>-56.516303983926747</v>
      </c>
      <c r="AR316" s="169">
        <f t="shared" si="201"/>
        <v>92.025690916880791</v>
      </c>
      <c r="AS316" s="168" t="str">
        <f t="shared" si="202"/>
        <v>0.00234085188504189-0.000407030121070765i</v>
      </c>
      <c r="AT316" s="190">
        <f t="shared" si="203"/>
        <v>-52.483159691674224</v>
      </c>
      <c r="AU316" s="169">
        <f t="shared" si="204"/>
        <v>-9.8640356738449615</v>
      </c>
      <c r="AV316" s="225"/>
      <c r="AX316">
        <f t="shared" si="205"/>
        <v>0</v>
      </c>
      <c r="AY316">
        <f t="shared" si="206"/>
        <v>0</v>
      </c>
    </row>
    <row r="317" spans="14:51" x14ac:dyDescent="0.3">
      <c r="N317" s="170">
        <v>99</v>
      </c>
      <c r="O317" s="199">
        <f t="shared" si="207"/>
        <v>9772.3722095581161</v>
      </c>
      <c r="P317" s="189" t="str">
        <f t="shared" si="173"/>
        <v>20.7142857142857</v>
      </c>
      <c r="Q317" s="160" t="str">
        <f t="shared" si="174"/>
        <v>1+14.0346572533453i</v>
      </c>
      <c r="R317" s="160">
        <f t="shared" si="182"/>
        <v>14.070238243145631</v>
      </c>
      <c r="S317" s="160">
        <f t="shared" si="183"/>
        <v>1.4996643549210653</v>
      </c>
      <c r="T317" s="160" t="str">
        <f t="shared" si="175"/>
        <v>1+0.00122803250966771i</v>
      </c>
      <c r="U317" s="160">
        <f t="shared" si="184"/>
        <v>1.000000754031638</v>
      </c>
      <c r="V317" s="160">
        <f t="shared" si="185"/>
        <v>1.2280318923511258E-3</v>
      </c>
      <c r="W317" s="98" t="str">
        <f t="shared" si="176"/>
        <v>1-0.322358533787774i</v>
      </c>
      <c r="X317" s="160">
        <f t="shared" si="186"/>
        <v>1.050673605029556</v>
      </c>
      <c r="Y317" s="160">
        <f t="shared" si="187"/>
        <v>-0.31184093128927215</v>
      </c>
      <c r="Z317" s="98" t="str">
        <f t="shared" si="177"/>
        <v>0.992035257096212-0.0240534734677933i</v>
      </c>
      <c r="AA317" s="160">
        <f t="shared" si="188"/>
        <v>0.99232682162068631</v>
      </c>
      <c r="AB317" s="160">
        <f t="shared" si="189"/>
        <v>-2.4241841508413811E-2</v>
      </c>
      <c r="AC317" s="171" t="str">
        <f t="shared" si="190"/>
        <v>-0.332923577987028-1.52280156055845i</v>
      </c>
      <c r="AD317" s="190">
        <f t="shared" si="191"/>
        <v>3.8556386108401042</v>
      </c>
      <c r="AE317" s="169">
        <f t="shared" si="192"/>
        <v>-102.33229121489417</v>
      </c>
      <c r="AF317" s="98" t="str">
        <f t="shared" si="178"/>
        <v>-0.0000897803247373448</v>
      </c>
      <c r="AG317" s="98" t="str">
        <f t="shared" si="179"/>
        <v>0.122803250966771i</v>
      </c>
      <c r="AH317" s="98">
        <f t="shared" si="193"/>
        <v>0.122803250966771</v>
      </c>
      <c r="AI317" s="98">
        <f t="shared" si="194"/>
        <v>1.5707963267948966</v>
      </c>
      <c r="AJ317" s="98" t="str">
        <f t="shared" si="180"/>
        <v>1+14.4293819885956i</v>
      </c>
      <c r="AK317" s="98">
        <f t="shared" si="195"/>
        <v>14.463991999887412</v>
      </c>
      <c r="AL317" s="98">
        <f t="shared" si="196"/>
        <v>1.5016039228319971</v>
      </c>
      <c r="AM317" s="98" t="str">
        <f t="shared" si="181"/>
        <v>1+28.8587639771914i</v>
      </c>
      <c r="AN317" s="98">
        <f t="shared" si="197"/>
        <v>28.876084538788152</v>
      </c>
      <c r="AO317" s="98">
        <f t="shared" si="198"/>
        <v>1.536158667111712</v>
      </c>
      <c r="AP317" s="168" t="str">
        <f t="shared" si="199"/>
        <v>-0.0000504246268077955+0.00145868698348299i</v>
      </c>
      <c r="AQ317" s="98">
        <f t="shared" si="200"/>
        <v>-56.715571208415511</v>
      </c>
      <c r="AR317" s="169">
        <f t="shared" si="201"/>
        <v>91.979841009381502</v>
      </c>
      <c r="AS317" s="168" t="str">
        <f t="shared" si="202"/>
        <v>0.00223807836198971-0.000408844589310773i</v>
      </c>
      <c r="AT317" s="190">
        <f t="shared" si="203"/>
        <v>-52.859932597575394</v>
      </c>
      <c r="AU317" s="169">
        <f t="shared" si="204"/>
        <v>-10.35245020551265</v>
      </c>
      <c r="AV317" s="225"/>
      <c r="AX317">
        <f t="shared" si="205"/>
        <v>0</v>
      </c>
      <c r="AY317">
        <f t="shared" si="206"/>
        <v>0</v>
      </c>
    </row>
    <row r="318" spans="14:51" x14ac:dyDescent="0.3">
      <c r="N318" s="170">
        <v>100</v>
      </c>
      <c r="O318" s="199">
        <f t="shared" si="207"/>
        <v>10000</v>
      </c>
      <c r="P318" s="189" t="str">
        <f t="shared" si="173"/>
        <v>20.7142857142857</v>
      </c>
      <c r="Q318" s="160" t="str">
        <f t="shared" si="174"/>
        <v>1+14.3615664164105i</v>
      </c>
      <c r="R318" s="160">
        <f t="shared" si="182"/>
        <v>14.396339462966617</v>
      </c>
      <c r="S318" s="160">
        <f t="shared" si="183"/>
        <v>1.5012782442589818</v>
      </c>
      <c r="T318" s="160" t="str">
        <f t="shared" si="175"/>
        <v>1+0.00125663706143592i</v>
      </c>
      <c r="U318" s="160">
        <f t="shared" si="184"/>
        <v>1.0000007895680403</v>
      </c>
      <c r="V318" s="160">
        <f t="shared" si="185"/>
        <v>1.2566363999693109E-3</v>
      </c>
      <c r="W318" s="98" t="str">
        <f t="shared" si="176"/>
        <v>1-0.329867228626928i</v>
      </c>
      <c r="X318" s="160">
        <f t="shared" si="186"/>
        <v>1.0530016089835808</v>
      </c>
      <c r="Y318" s="160">
        <f t="shared" si="187"/>
        <v>-0.31862782318674521</v>
      </c>
      <c r="Z318" s="98" t="str">
        <f t="shared" si="177"/>
        <v>0.991659890327558-0.0246137508396039i</v>
      </c>
      <c r="AA318" s="160">
        <f t="shared" si="188"/>
        <v>0.99196530927994564</v>
      </c>
      <c r="AB318" s="160">
        <f t="shared" si="189"/>
        <v>-2.4815663463721462E-2</v>
      </c>
      <c r="AC318" s="171" t="str">
        <f t="shared" si="190"/>
        <v>-0.337848384503531-1.4895595458115i</v>
      </c>
      <c r="AD318" s="190">
        <f t="shared" si="191"/>
        <v>3.6790155365695871</v>
      </c>
      <c r="AE318" s="169">
        <f t="shared" si="192"/>
        <v>-102.77910403050214</v>
      </c>
      <c r="AF318" s="98" t="str">
        <f t="shared" si="178"/>
        <v>-0.0000897803247373448</v>
      </c>
      <c r="AG318" s="98" t="str">
        <f t="shared" si="179"/>
        <v>0.125663706143592i</v>
      </c>
      <c r="AH318" s="98">
        <f t="shared" si="193"/>
        <v>0.12566370614359201</v>
      </c>
      <c r="AI318" s="98">
        <f t="shared" si="194"/>
        <v>1.5707963267948966</v>
      </c>
      <c r="AJ318" s="98" t="str">
        <f t="shared" si="180"/>
        <v>1+14.765485471872i</v>
      </c>
      <c r="AK318" s="98">
        <f t="shared" si="195"/>
        <v>14.799309484569308</v>
      </c>
      <c r="AL318" s="98">
        <f t="shared" si="196"/>
        <v>1.5031740815925334</v>
      </c>
      <c r="AM318" s="98" t="str">
        <f t="shared" si="181"/>
        <v>1+29.5309709437441i</v>
      </c>
      <c r="AN318" s="98">
        <f t="shared" si="197"/>
        <v>29.547897469706005</v>
      </c>
      <c r="AO318" s="98">
        <f t="shared" si="198"/>
        <v>1.5369465073640547</v>
      </c>
      <c r="AP318" s="168" t="str">
        <f t="shared" si="199"/>
        <v>-0.0000481655067605519+0.00142563621403548i</v>
      </c>
      <c r="AQ318" s="98">
        <f t="shared" si="200"/>
        <v>-56.914871220449626</v>
      </c>
      <c r="AR318" s="169">
        <f t="shared" si="201"/>
        <v>91.935017460627009</v>
      </c>
      <c r="AS318" s="168" t="str">
        <f t="shared" si="202"/>
        <v>0.00213984267011896-0.000409903501427589i</v>
      </c>
      <c r="AT318" s="190">
        <f t="shared" si="203"/>
        <v>-53.235855683880054</v>
      </c>
      <c r="AU318" s="169">
        <f t="shared" si="204"/>
        <v>-10.844086569875147</v>
      </c>
      <c r="AV318" s="225"/>
      <c r="AX318">
        <f t="shared" si="205"/>
        <v>0</v>
      </c>
      <c r="AY318">
        <f t="shared" si="206"/>
        <v>0</v>
      </c>
    </row>
    <row r="319" spans="14:51" x14ac:dyDescent="0.3">
      <c r="N319" s="170">
        <v>1</v>
      </c>
      <c r="O319" s="199">
        <f>10^(4+(N319/100))</f>
        <v>10232.929922807549</v>
      </c>
      <c r="P319" s="189" t="str">
        <f t="shared" si="173"/>
        <v>20.7142857142857</v>
      </c>
      <c r="Q319" s="160" t="str">
        <f t="shared" si="174"/>
        <v>1+14.6960902720875i</v>
      </c>
      <c r="R319" s="160">
        <f t="shared" si="182"/>
        <v>14.730073634756375</v>
      </c>
      <c r="S319" s="160">
        <f t="shared" si="183"/>
        <v>1.5028557475623205</v>
      </c>
      <c r="T319" s="160" t="str">
        <f t="shared" si="175"/>
        <v>1+0.00128590789880765i</v>
      </c>
      <c r="U319" s="160">
        <f t="shared" si="184"/>
        <v>1.0000008267792204</v>
      </c>
      <c r="V319" s="160">
        <f t="shared" si="185"/>
        <v>1.2859071900334401E-3</v>
      </c>
      <c r="W319" s="98" t="str">
        <f t="shared" si="176"/>
        <v>1-0.337550823437008i</v>
      </c>
      <c r="X319" s="160">
        <f t="shared" si="186"/>
        <v>1.055433824738909</v>
      </c>
      <c r="Y319" s="160">
        <f t="shared" si="187"/>
        <v>-0.32554148084847251</v>
      </c>
      <c r="Z319" s="98" t="str">
        <f t="shared" si="177"/>
        <v>0.99126683306811-0.0251870787479112i</v>
      </c>
      <c r="AA319" s="160">
        <f t="shared" si="188"/>
        <v>0.99158677042240428</v>
      </c>
      <c r="AB319" s="160">
        <f t="shared" si="189"/>
        <v>-2.5403513575620755E-2</v>
      </c>
      <c r="AC319" s="171" t="str">
        <f t="shared" si="190"/>
        <v>-0.342566502113731-1.45707864377496i</v>
      </c>
      <c r="AD319" s="190">
        <f t="shared" si="191"/>
        <v>3.5033137597398971</v>
      </c>
      <c r="AE319" s="169">
        <f t="shared" si="192"/>
        <v>-103.23025329383485</v>
      </c>
      <c r="AF319" s="98" t="str">
        <f t="shared" si="178"/>
        <v>-0.0000897803247373448</v>
      </c>
      <c r="AG319" s="98" t="str">
        <f t="shared" si="179"/>
        <v>0.128590789880765i</v>
      </c>
      <c r="AH319" s="98">
        <f t="shared" si="193"/>
        <v>0.128590789880765</v>
      </c>
      <c r="AI319" s="98">
        <f t="shared" si="194"/>
        <v>1.5707963267948966</v>
      </c>
      <c r="AJ319" s="98" t="str">
        <f t="shared" si="180"/>
        <v>1+15.1094178109899i</v>
      </c>
      <c r="AK319" s="98">
        <f t="shared" si="195"/>
        <v>15.142473595389188</v>
      </c>
      <c r="AL319" s="98">
        <f t="shared" si="196"/>
        <v>1.5047088219256335</v>
      </c>
      <c r="AM319" s="98" t="str">
        <f t="shared" si="181"/>
        <v>1+30.2188356219799i</v>
      </c>
      <c r="AN319" s="98">
        <f t="shared" si="197"/>
        <v>30.235377066414127</v>
      </c>
      <c r="AO319" s="98">
        <f t="shared" si="198"/>
        <v>1.5377164548043967</v>
      </c>
      <c r="AP319" s="168" t="str">
        <f t="shared" si="199"/>
        <v>-0.0000460071560965756+0.0013933276199343i</v>
      </c>
      <c r="AQ319" s="98">
        <f t="shared" si="200"/>
        <v>-57.114202561229909</v>
      </c>
      <c r="AR319" s="169">
        <f t="shared" si="201"/>
        <v>91.891198055670401</v>
      </c>
      <c r="AS319" s="168" t="str">
        <f t="shared" si="202"/>
        <v>0.00204594842932427-0.000410271324450202i</v>
      </c>
      <c r="AT319" s="190">
        <f t="shared" si="203"/>
        <v>-53.610888801490006</v>
      </c>
      <c r="AU319" s="169">
        <f t="shared" si="204"/>
        <v>-11.339055238164432</v>
      </c>
      <c r="AV319" s="225"/>
      <c r="AX319">
        <f t="shared" si="205"/>
        <v>0</v>
      </c>
      <c r="AY319">
        <f t="shared" si="206"/>
        <v>0</v>
      </c>
    </row>
    <row r="320" spans="14:51" x14ac:dyDescent="0.3">
      <c r="N320" s="170">
        <v>2</v>
      </c>
      <c r="O320" s="199">
        <f t="shared" ref="O320:O383" si="208">10^(4+(N320/100))</f>
        <v>10471.285480509003</v>
      </c>
      <c r="P320" s="189" t="str">
        <f t="shared" si="173"/>
        <v>20.7142857142857</v>
      </c>
      <c r="Q320" s="160" t="str">
        <f t="shared" si="174"/>
        <v>1+15.0384061893525i</v>
      </c>
      <c r="R320" s="160">
        <f t="shared" si="182"/>
        <v>15.071617720601711</v>
      </c>
      <c r="S320" s="160">
        <f t="shared" si="183"/>
        <v>1.5043976698214154</v>
      </c>
      <c r="T320" s="160" t="str">
        <f t="shared" si="175"/>
        <v>1+0.00131586054156834i</v>
      </c>
      <c r="U320" s="160">
        <f t="shared" si="184"/>
        <v>1.0000008657441077</v>
      </c>
      <c r="V320" s="160">
        <f t="shared" si="185"/>
        <v>1.3158597821031266E-3</v>
      </c>
      <c r="W320" s="98" t="str">
        <f t="shared" si="176"/>
        <v>1-0.345413392161689i</v>
      </c>
      <c r="X320" s="160">
        <f t="shared" si="186"/>
        <v>1.0579746743115568</v>
      </c>
      <c r="Y320" s="160">
        <f t="shared" si="187"/>
        <v>-0.33258292539199524</v>
      </c>
      <c r="Z320" s="98" t="str">
        <f t="shared" si="177"/>
        <v>0.990855251590724-0.025773761178761i</v>
      </c>
      <c r="AA320" s="160">
        <f t="shared" si="188"/>
        <v>0.99119040369154943</v>
      </c>
      <c r="AB320" s="160">
        <f t="shared" si="189"/>
        <v>-2.6005766847674854E-2</v>
      </c>
      <c r="AC320" s="171" t="str">
        <f t="shared" si="190"/>
        <v>-0.347087677014359-1.42534369475222i</v>
      </c>
      <c r="AD320" s="190">
        <f t="shared" si="191"/>
        <v>3.328573023047285</v>
      </c>
      <c r="AE320" s="169">
        <f t="shared" si="192"/>
        <v>-103.68582125783979</v>
      </c>
      <c r="AF320" s="98" t="str">
        <f t="shared" si="178"/>
        <v>-0.0000897803247373448</v>
      </c>
      <c r="AG320" s="98" t="str">
        <f t="shared" si="179"/>
        <v>0.131586054156834i</v>
      </c>
      <c r="AH320" s="98">
        <f t="shared" si="193"/>
        <v>0.131586054156834</v>
      </c>
      <c r="AI320" s="98">
        <f t="shared" si="194"/>
        <v>1.5707963267948966</v>
      </c>
      <c r="AJ320" s="98" t="str">
        <f t="shared" si="180"/>
        <v>1+15.461361363428i</v>
      </c>
      <c r="AK320" s="98">
        <f t="shared" si="195"/>
        <v>15.493666293376277</v>
      </c>
      <c r="AL320" s="98">
        <f t="shared" si="196"/>
        <v>1.5062089286349012</v>
      </c>
      <c r="AM320" s="98" t="str">
        <f t="shared" si="181"/>
        <v>1+30.9227227268561i</v>
      </c>
      <c r="AN320" s="98">
        <f t="shared" si="197"/>
        <v>30.938887841065373</v>
      </c>
      <c r="AO320" s="98">
        <f t="shared" si="198"/>
        <v>1.5384689140154593</v>
      </c>
      <c r="AP320" s="168" t="str">
        <f t="shared" si="199"/>
        <v>-0.000043945118809304+0.00136174497830887i</v>
      </c>
      <c r="AQ320" s="98">
        <f t="shared" si="200"/>
        <v>-57.313563836138641</v>
      </c>
      <c r="AR320" s="169">
        <f t="shared" si="201"/>
        <v>91.848361009459708</v>
      </c>
      <c r="AS320" s="168" t="str">
        <f t="shared" si="202"/>
        <v>0.00195620742789669-0.000410008003197216i</v>
      </c>
      <c r="AT320" s="190">
        <f t="shared" si="203"/>
        <v>-53.984990813091343</v>
      </c>
      <c r="AU320" s="169">
        <f t="shared" si="204"/>
        <v>-11.837460248380086</v>
      </c>
      <c r="AV320" s="225"/>
      <c r="AX320">
        <f t="shared" si="205"/>
        <v>0</v>
      </c>
      <c r="AY320">
        <f t="shared" si="206"/>
        <v>0</v>
      </c>
    </row>
    <row r="321" spans="14:51" x14ac:dyDescent="0.3">
      <c r="N321" s="170">
        <v>3</v>
      </c>
      <c r="O321" s="199">
        <f t="shared" si="208"/>
        <v>10715.193052376071</v>
      </c>
      <c r="P321" s="189" t="str">
        <f t="shared" si="173"/>
        <v>20.7142857142857</v>
      </c>
      <c r="Q321" s="160" t="str">
        <f t="shared" si="174"/>
        <v>1+15.3886956686359i</v>
      </c>
      <c r="R321" s="160">
        <f t="shared" si="182"/>
        <v>15.421152822726754</v>
      </c>
      <c r="S321" s="160">
        <f t="shared" si="183"/>
        <v>1.5059047992396981</v>
      </c>
      <c r="T321" s="160" t="str">
        <f t="shared" si="175"/>
        <v>1+0.00134651087100564i</v>
      </c>
      <c r="U321" s="160">
        <f t="shared" si="184"/>
        <v>1.0000009065453519</v>
      </c>
      <c r="V321" s="160">
        <f t="shared" si="185"/>
        <v>1.3465100572240421E-3</v>
      </c>
      <c r="W321" s="98" t="str">
        <f t="shared" si="176"/>
        <v>1-0.35345910363898i</v>
      </c>
      <c r="X321" s="160">
        <f t="shared" si="186"/>
        <v>1.0606287465203228</v>
      </c>
      <c r="Y321" s="160">
        <f t="shared" si="187"/>
        <v>-0.33975309634476852</v>
      </c>
      <c r="Z321" s="98" t="str">
        <f t="shared" si="177"/>
        <v>0.990424272875904-0.0263741091989439i</v>
      </c>
      <c r="AA321" s="160">
        <f t="shared" si="188"/>
        <v>0.99077537007022976</v>
      </c>
      <c r="AB321" s="160">
        <f t="shared" si="189"/>
        <v>-2.6622810579207446E-2</v>
      </c>
      <c r="AC321" s="171" t="str">
        <f t="shared" si="190"/>
        <v>-0.351421262650141-1.39433981114979i</v>
      </c>
      <c r="AD321" s="190">
        <f t="shared" si="191"/>
        <v>3.1548341368532284</v>
      </c>
      <c r="AE321" s="169">
        <f t="shared" si="192"/>
        <v>-104.14588381367146</v>
      </c>
      <c r="AF321" s="98" t="str">
        <f t="shared" si="178"/>
        <v>-0.0000897803247373448</v>
      </c>
      <c r="AG321" s="98" t="str">
        <f t="shared" si="179"/>
        <v>0.134651087100564i</v>
      </c>
      <c r="AH321" s="98">
        <f t="shared" si="193"/>
        <v>0.134651087100564</v>
      </c>
      <c r="AI321" s="98">
        <f t="shared" si="194"/>
        <v>1.5707963267948966</v>
      </c>
      <c r="AJ321" s="98" t="str">
        <f t="shared" si="180"/>
        <v>1+15.8215027343163i</v>
      </c>
      <c r="AK321" s="98">
        <f t="shared" si="195"/>
        <v>15.853073795702153</v>
      </c>
      <c r="AL321" s="98">
        <f t="shared" si="196"/>
        <v>1.5076751700757967</v>
      </c>
      <c r="AM321" s="98" t="str">
        <f t="shared" si="181"/>
        <v>1+31.6430054686327i</v>
      </c>
      <c r="AN321" s="98">
        <f t="shared" si="197"/>
        <v>31.658802805664006</v>
      </c>
      <c r="AO321" s="98">
        <f t="shared" si="198"/>
        <v>1.5392042805508195</v>
      </c>
      <c r="AP321" s="168" t="str">
        <f t="shared" si="199"/>
        <v>-0.0000419751325280163+0.00133087239147502i</v>
      </c>
      <c r="AQ321" s="98">
        <f t="shared" si="200"/>
        <v>-57.512953711979513</v>
      </c>
      <c r="AR321" s="169">
        <f t="shared" si="201"/>
        <v>91.806484962020491</v>
      </c>
      <c r="AS321" s="168" t="str">
        <f t="shared" si="202"/>
        <v>0.00187043931306665-0.000409169257876263i</v>
      </c>
      <c r="AT321" s="190">
        <f t="shared" si="203"/>
        <v>-54.358119575126295</v>
      </c>
      <c r="AU321" s="169">
        <f t="shared" si="204"/>
        <v>-12.339398851650971</v>
      </c>
      <c r="AV321" s="225"/>
      <c r="AX321">
        <f t="shared" si="205"/>
        <v>0</v>
      </c>
      <c r="AY321">
        <f t="shared" si="206"/>
        <v>0</v>
      </c>
    </row>
    <row r="322" spans="14:51" x14ac:dyDescent="0.3">
      <c r="N322" s="170">
        <v>4</v>
      </c>
      <c r="O322" s="199">
        <f t="shared" si="208"/>
        <v>10964.781961431856</v>
      </c>
      <c r="P322" s="189" t="str">
        <f t="shared" si="173"/>
        <v>20.7142857142857</v>
      </c>
      <c r="Q322" s="160" t="str">
        <f t="shared" si="174"/>
        <v>1+15.7471444380563i</v>
      </c>
      <c r="R322" s="160">
        <f t="shared" si="182"/>
        <v>15.778864279567381</v>
      </c>
      <c r="S322" s="160">
        <f t="shared" si="183"/>
        <v>1.5073779075148916</v>
      </c>
      <c r="T322" s="160" t="str">
        <f t="shared" si="175"/>
        <v>1+0.00137787513832993i</v>
      </c>
      <c r="U322" s="160">
        <f t="shared" si="184"/>
        <v>1.0000009492694979</v>
      </c>
      <c r="V322" s="160">
        <f t="shared" si="185"/>
        <v>1.3778742663472822E-3</v>
      </c>
      <c r="W322" s="98" t="str">
        <f t="shared" si="176"/>
        <v>1-0.361692223811605i</v>
      </c>
      <c r="X322" s="160">
        <f t="shared" si="186"/>
        <v>1.0634008015634482</v>
      </c>
      <c r="Y322" s="160">
        <f t="shared" si="187"/>
        <v>-0.34705284546524384</v>
      </c>
      <c r="Z322" s="98" t="str">
        <f t="shared" si="177"/>
        <v>0.989972982760014-0.0269884411209267i</v>
      </c>
      <c r="AA322" s="160">
        <f t="shared" si="188"/>
        <v>0.99034079111631901</v>
      </c>
      <c r="AB322" s="160">
        <f t="shared" si="189"/>
        <v>-2.7255044920111538E-2</v>
      </c>
      <c r="AC322" s="171" t="str">
        <f t="shared" si="190"/>
        <v>-0.355576237595832-1.36405237852984i</v>
      </c>
      <c r="AD322" s="190">
        <f t="shared" si="191"/>
        <v>2.9821389923417456</v>
      </c>
      <c r="AE322" s="169">
        <f t="shared" si="192"/>
        <v>-104.61051012050582</v>
      </c>
      <c r="AF322" s="98" t="str">
        <f t="shared" si="178"/>
        <v>-0.0000897803247373448</v>
      </c>
      <c r="AG322" s="98" t="str">
        <f t="shared" si="179"/>
        <v>0.137787513832993i</v>
      </c>
      <c r="AH322" s="98">
        <f t="shared" si="193"/>
        <v>0.13778751383299301</v>
      </c>
      <c r="AI322" s="98">
        <f t="shared" si="194"/>
        <v>1.5707963267948966</v>
      </c>
      <c r="AJ322" s="98" t="str">
        <f t="shared" si="180"/>
        <v>1+16.1900328753767i</v>
      </c>
      <c r="AK322" s="98">
        <f t="shared" si="195"/>
        <v>16.22088667446322</v>
      </c>
      <c r="AL322" s="98">
        <f t="shared" si="196"/>
        <v>1.5091082984369668</v>
      </c>
      <c r="AM322" s="98" t="str">
        <f t="shared" si="181"/>
        <v>1+32.3800657507534i</v>
      </c>
      <c r="AN322" s="98">
        <f t="shared" si="197"/>
        <v>32.395503669847663</v>
      </c>
      <c r="AO322" s="98">
        <f t="shared" si="198"/>
        <v>1.539922941128451</v>
      </c>
      <c r="AP322" s="168" t="str">
        <f t="shared" si="199"/>
        <v>-0.0000400931204030451+0.00130069428240015i</v>
      </c>
      <c r="AQ322" s="98">
        <f t="shared" si="200"/>
        <v>-57.71237091433035</v>
      </c>
      <c r="AR322" s="169">
        <f t="shared" si="201"/>
        <v>91.765548973425695</v>
      </c>
      <c r="AS322" s="168" t="str">
        <f t="shared" si="202"/>
        <v>0.00178847129055448-0.000407806862949799i</v>
      </c>
      <c r="AT322" s="190">
        <f t="shared" si="203"/>
        <v>-54.730231921988597</v>
      </c>
      <c r="AU322" s="169">
        <f t="shared" si="204"/>
        <v>-12.844961147080131</v>
      </c>
      <c r="AV322" s="225"/>
      <c r="AX322">
        <f t="shared" si="205"/>
        <v>0</v>
      </c>
      <c r="AY322">
        <f t="shared" si="206"/>
        <v>0</v>
      </c>
    </row>
    <row r="323" spans="14:51" x14ac:dyDescent="0.3">
      <c r="N323" s="170">
        <v>5</v>
      </c>
      <c r="O323" s="199">
        <f t="shared" si="208"/>
        <v>11220.184543019639</v>
      </c>
      <c r="P323" s="189" t="str">
        <f t="shared" si="173"/>
        <v>20.7142857142857</v>
      </c>
      <c r="Q323" s="160" t="str">
        <f t="shared" si="174"/>
        <v>1+16.1139425518959i</v>
      </c>
      <c r="R323" s="160">
        <f t="shared" si="182"/>
        <v>16.144941764088262</v>
      </c>
      <c r="S323" s="160">
        <f t="shared" si="183"/>
        <v>1.5088177501203628</v>
      </c>
      <c r="T323" s="160" t="str">
        <f t="shared" si="175"/>
        <v>1+0.00140996997329089i</v>
      </c>
      <c r="U323" s="160">
        <f t="shared" si="184"/>
        <v>1.0000009940071688</v>
      </c>
      <c r="V323" s="160">
        <f t="shared" si="185"/>
        <v>1.4099690389446993E-3</v>
      </c>
      <c r="W323" s="98" t="str">
        <f t="shared" si="176"/>
        <v>1-0.370117117988858i</v>
      </c>
      <c r="X323" s="160">
        <f t="shared" si="186"/>
        <v>1.0662957755840441</v>
      </c>
      <c r="Y323" s="160">
        <f t="shared" si="187"/>
        <v>-0.35448293040375128</v>
      </c>
      <c r="Z323" s="98" t="str">
        <f t="shared" si="177"/>
        <v>0.989500423996212-0.027617082671626i</v>
      </c>
      <c r="AA323" s="160">
        <f t="shared" si="188"/>
        <v>0.98988574711628941</v>
      </c>
      <c r="AB323" s="160">
        <f t="shared" si="189"/>
        <v>-2.7902883459504008E-2</v>
      </c>
      <c r="AC323" s="171" t="str">
        <f t="shared" si="190"/>
        <v>-0.35956122283294-1.33446705630447i</v>
      </c>
      <c r="AD323" s="190">
        <f t="shared" si="191"/>
        <v>2.8105305724183003</v>
      </c>
      <c r="AE323" s="169">
        <f t="shared" si="192"/>
        <v>-105.0797622242353</v>
      </c>
      <c r="AF323" s="98" t="str">
        <f t="shared" si="178"/>
        <v>-0.0000897803247373448</v>
      </c>
      <c r="AG323" s="98" t="str">
        <f t="shared" si="179"/>
        <v>0.140996997329089i</v>
      </c>
      <c r="AH323" s="98">
        <f t="shared" si="193"/>
        <v>0.14099699732908899</v>
      </c>
      <c r="AI323" s="98">
        <f t="shared" si="194"/>
        <v>1.5707963267948966</v>
      </c>
      <c r="AJ323" s="98" t="str">
        <f t="shared" si="180"/>
        <v>1+16.567147186168i</v>
      </c>
      <c r="AK323" s="98">
        <f t="shared" si="195"/>
        <v>16.597299957768865</v>
      </c>
      <c r="AL323" s="98">
        <f t="shared" si="196"/>
        <v>1.5105090500212268</v>
      </c>
      <c r="AM323" s="98" t="str">
        <f t="shared" si="181"/>
        <v>1+33.134294372336i</v>
      </c>
      <c r="AN323" s="98">
        <f t="shared" si="197"/>
        <v>33.149381043280691</v>
      </c>
      <c r="AO323" s="98">
        <f t="shared" si="198"/>
        <v>1.5406252738206561</v>
      </c>
      <c r="AP323" s="168" t="str">
        <f t="shared" si="199"/>
        <v>-0.0000382951833044766+0.00127119539008833i</v>
      </c>
      <c r="AQ323" s="98">
        <f t="shared" si="200"/>
        <v>-57.91181422500496</v>
      </c>
      <c r="AR323" s="169">
        <f t="shared" si="201"/>
        <v>91.725532518578746</v>
      </c>
      <c r="AS323" s="168" t="str">
        <f t="shared" si="202"/>
        <v>0.00171013783313656-0.000405968908384791i</v>
      </c>
      <c r="AT323" s="190">
        <f t="shared" si="203"/>
        <v>-55.101283652586631</v>
      </c>
      <c r="AU323" s="169">
        <f t="shared" si="204"/>
        <v>-13.354229705656511</v>
      </c>
      <c r="AV323" s="225"/>
      <c r="AX323">
        <f t="shared" si="205"/>
        <v>0</v>
      </c>
      <c r="AY323">
        <f t="shared" si="206"/>
        <v>0</v>
      </c>
    </row>
    <row r="324" spans="14:51" x14ac:dyDescent="0.3">
      <c r="N324" s="170">
        <v>6</v>
      </c>
      <c r="O324" s="199">
        <f t="shared" si="208"/>
        <v>11481.536214968832</v>
      </c>
      <c r="P324" s="189" t="str">
        <f t="shared" si="173"/>
        <v>20.7142857142857</v>
      </c>
      <c r="Q324" s="160" t="str">
        <f t="shared" si="174"/>
        <v>1+16.4892844913697i</v>
      </c>
      <c r="R324" s="160">
        <f t="shared" si="182"/>
        <v>16.519579384394909</v>
      </c>
      <c r="S324" s="160">
        <f t="shared" si="183"/>
        <v>1.5102250665862078</v>
      </c>
      <c r="T324" s="160" t="str">
        <f t="shared" si="175"/>
        <v>1+0.00144281239299485i</v>
      </c>
      <c r="U324" s="160">
        <f t="shared" si="184"/>
        <v>1.0000010408532589</v>
      </c>
      <c r="V324" s="160">
        <f t="shared" si="185"/>
        <v>1.4428113918249252E-3</v>
      </c>
      <c r="W324" s="98" t="str">
        <f t="shared" si="176"/>
        <v>1-0.378738253161147i</v>
      </c>
      <c r="X324" s="160">
        <f t="shared" si="186"/>
        <v>1.0693187852121355</v>
      </c>
      <c r="Y324" s="160">
        <f t="shared" si="187"/>
        <v>-0.36204400821901334</v>
      </c>
      <c r="Z324" s="98" t="str">
        <f t="shared" si="177"/>
        <v>0.989005594224004-0.0282603671651131i</v>
      </c>
      <c r="AA324" s="160">
        <f t="shared" si="188"/>
        <v>0.98940927515294808</v>
      </c>
      <c r="AB324" s="160">
        <f t="shared" si="189"/>
        <v>-2.8566753850729563E-2</v>
      </c>
      <c r="AC324" s="171" t="str">
        <f t="shared" si="190"/>
        <v>-0.363384498443618-1.30556977810904i</v>
      </c>
      <c r="AD324" s="190">
        <f t="shared" si="191"/>
        <v>2.6400529602039526</v>
      </c>
      <c r="AE324" s="169">
        <f t="shared" si="192"/>
        <v>-105.55369466578175</v>
      </c>
      <c r="AF324" s="98" t="str">
        <f t="shared" si="178"/>
        <v>-0.0000897803247373448</v>
      </c>
      <c r="AG324" s="98" t="str">
        <f t="shared" si="179"/>
        <v>0.144281239299485i</v>
      </c>
      <c r="AH324" s="98">
        <f t="shared" si="193"/>
        <v>0.144281239299485</v>
      </c>
      <c r="AI324" s="98">
        <f t="shared" si="194"/>
        <v>1.5707963267948966</v>
      </c>
      <c r="AJ324" s="98" t="str">
        <f t="shared" si="180"/>
        <v>1+16.9530456176895i</v>
      </c>
      <c r="AK324" s="98">
        <f t="shared" si="195"/>
        <v>16.982513233189639</v>
      </c>
      <c r="AL324" s="98">
        <f t="shared" si="196"/>
        <v>1.5118781455258192</v>
      </c>
      <c r="AM324" s="98" t="str">
        <f t="shared" si="181"/>
        <v>1+33.9060912353791i</v>
      </c>
      <c r="AN324" s="98">
        <f t="shared" si="197"/>
        <v>33.920834642765669</v>
      </c>
      <c r="AO324" s="98">
        <f t="shared" si="198"/>
        <v>1.5413116482404157</v>
      </c>
      <c r="AP324" s="168" t="str">
        <f t="shared" si="199"/>
        <v>-0.0000365775923246341+0.00124236076489847i</v>
      </c>
      <c r="AQ324" s="98">
        <f t="shared" si="200"/>
        <v>-58.111282479620499</v>
      </c>
      <c r="AR324" s="169">
        <f t="shared" si="201"/>
        <v>91.686415481833237</v>
      </c>
      <c r="AS324" s="168" t="str">
        <f t="shared" si="202"/>
        <v>0.00163528039820103-0.000403700044343625i</v>
      </c>
      <c r="AT324" s="190">
        <f t="shared" si="203"/>
        <v>-55.471229519416582</v>
      </c>
      <c r="AU324" s="169">
        <f t="shared" si="204"/>
        <v>-13.867279183948559</v>
      </c>
      <c r="AV324" s="225"/>
      <c r="AX324">
        <f t="shared" si="205"/>
        <v>0</v>
      </c>
      <c r="AY324">
        <f t="shared" si="206"/>
        <v>0</v>
      </c>
    </row>
    <row r="325" spans="14:51" x14ac:dyDescent="0.3">
      <c r="N325" s="170">
        <v>7</v>
      </c>
      <c r="O325" s="199">
        <f t="shared" si="208"/>
        <v>11748.975549395318</v>
      </c>
      <c r="P325" s="189" t="str">
        <f t="shared" si="173"/>
        <v>20.7142857142857</v>
      </c>
      <c r="Q325" s="160" t="str">
        <f t="shared" si="174"/>
        <v>1+16.8733692677424i</v>
      </c>
      <c r="R325" s="160">
        <f t="shared" si="182"/>
        <v>16.902975786694888</v>
      </c>
      <c r="S325" s="160">
        <f t="shared" si="183"/>
        <v>1.511600580779688</v>
      </c>
      <c r="T325" s="160" t="str">
        <f t="shared" si="175"/>
        <v>1+0.00147641981092746i</v>
      </c>
      <c r="U325" s="160">
        <f t="shared" si="184"/>
        <v>1.0000010899071352</v>
      </c>
      <c r="V325" s="160">
        <f t="shared" si="185"/>
        <v>1.4764187381546209E-3</v>
      </c>
      <c r="W325" s="98" t="str">
        <f t="shared" si="176"/>
        <v>1-0.387560200368457i</v>
      </c>
      <c r="X325" s="160">
        <f t="shared" si="186"/>
        <v>1.072475132070501</v>
      </c>
      <c r="Y325" s="160">
        <f t="shared" si="187"/>
        <v>-0.36973662876861701</v>
      </c>
      <c r="Z325" s="98" t="str">
        <f t="shared" si="177"/>
        <v>0.988487443843098-0.0289186356793414i</v>
      </c>
      <c r="AA325" s="160">
        <f t="shared" si="188"/>
        <v>0.98891036708339564</v>
      </c>
      <c r="AB325" s="160">
        <f t="shared" si="189"/>
        <v>-2.9247098475427561E-2</v>
      </c>
      <c r="AC325" s="171" t="str">
        <f t="shared" si="190"/>
        <v>-0.367054019744349-1.27734675188981i</v>
      </c>
      <c r="AD325" s="190">
        <f t="shared" si="191"/>
        <v>2.4707513449814797</v>
      </c>
      <c r="AE325" s="169">
        <f t="shared" si="192"/>
        <v>-106.03235407990142</v>
      </c>
      <c r="AF325" s="98" t="str">
        <f t="shared" si="178"/>
        <v>-0.0000897803247373448</v>
      </c>
      <c r="AG325" s="98" t="str">
        <f t="shared" si="179"/>
        <v>0.147641981092746i</v>
      </c>
      <c r="AH325" s="98">
        <f t="shared" si="193"/>
        <v>0.14764198109274601</v>
      </c>
      <c r="AI325" s="98">
        <f t="shared" si="194"/>
        <v>1.5707963267948966</v>
      </c>
      <c r="AJ325" s="98" t="str">
        <f t="shared" si="180"/>
        <v>1+17.3479327783976i</v>
      </c>
      <c r="AK325" s="98">
        <f t="shared" si="195"/>
        <v>17.376730753619963</v>
      </c>
      <c r="AL325" s="98">
        <f t="shared" si="196"/>
        <v>1.5132162903215929</v>
      </c>
      <c r="AM325" s="98" t="str">
        <f t="shared" si="181"/>
        <v>1+34.6958655567953i</v>
      </c>
      <c r="AN325" s="98">
        <f t="shared" si="197"/>
        <v>34.71027350418337</v>
      </c>
      <c r="AO325" s="98">
        <f t="shared" si="198"/>
        <v>1.5419824257241899</v>
      </c>
      <c r="AP325" s="168" t="str">
        <f t="shared" si="199"/>
        <v>-0.0000349367815747295+0.00121417576380803i</v>
      </c>
      <c r="AQ325" s="98">
        <f t="shared" si="200"/>
        <v>-58.31077456526473</v>
      </c>
      <c r="AR325" s="169">
        <f t="shared" si="201"/>
        <v>91.64817815147066</v>
      </c>
      <c r="AS325" s="168" t="str">
        <f t="shared" si="202"/>
        <v>0.00156374715423745-0.000401041710315938i</v>
      </c>
      <c r="AT325" s="190">
        <f t="shared" si="203"/>
        <v>-55.840023220283257</v>
      </c>
      <c r="AU325" s="169">
        <f t="shared" si="204"/>
        <v>-14.384175928430775</v>
      </c>
      <c r="AV325" s="225"/>
      <c r="AX325">
        <f t="shared" si="205"/>
        <v>0</v>
      </c>
      <c r="AY325">
        <f t="shared" si="206"/>
        <v>0</v>
      </c>
    </row>
    <row r="326" spans="14:51" x14ac:dyDescent="0.3">
      <c r="N326" s="170">
        <v>8</v>
      </c>
      <c r="O326" s="199">
        <f t="shared" si="208"/>
        <v>12022.644346174151</v>
      </c>
      <c r="P326" s="189" t="str">
        <f t="shared" si="173"/>
        <v>20.7142857142857</v>
      </c>
      <c r="Q326" s="160" t="str">
        <f t="shared" si="174"/>
        <v>1+17.2664005278462i</v>
      </c>
      <c r="R326" s="160">
        <f t="shared" si="182"/>
        <v>17.295334260661388</v>
      </c>
      <c r="S326" s="160">
        <f t="shared" si="183"/>
        <v>1.5129450011846557</v>
      </c>
      <c r="T326" s="160" t="str">
        <f t="shared" si="175"/>
        <v>1+0.00151081004618654i</v>
      </c>
      <c r="U326" s="160">
        <f t="shared" si="184"/>
        <v>1.0000011412728467</v>
      </c>
      <c r="V326" s="160">
        <f t="shared" si="185"/>
        <v>1.5108088966898038E-3</v>
      </c>
      <c r="W326" s="98" t="str">
        <f t="shared" si="176"/>
        <v>1-0.396587637123966i</v>
      </c>
      <c r="X326" s="160">
        <f t="shared" si="186"/>
        <v>1.0757703072308562</v>
      </c>
      <c r="Y326" s="160">
        <f t="shared" si="187"/>
        <v>-0.3775612279943773</v>
      </c>
      <c r="Z326" s="98" t="str">
        <f t="shared" si="177"/>
        <v>0.987944873787069-0.0295922372369903i</v>
      </c>
      <c r="AA326" s="160">
        <f t="shared" si="188"/>
        <v>0.98838796742313595</v>
      </c>
      <c r="AB326" s="160">
        <f t="shared" si="189"/>
        <v>-2.9944375149603887E-2</v>
      </c>
      <c r="AC326" s="171" t="str">
        <f t="shared" si="190"/>
        <v>-0.37057743288221-1.24978445973992i</v>
      </c>
      <c r="AD326" s="190">
        <f t="shared" si="191"/>
        <v>2.302672025459656</v>
      </c>
      <c r="AE326" s="169">
        <f t="shared" si="192"/>
        <v>-106.51577878549068</v>
      </c>
      <c r="AF326" s="98" t="str">
        <f t="shared" si="178"/>
        <v>-0.0000897803247373448</v>
      </c>
      <c r="AG326" s="98" t="str">
        <f t="shared" si="179"/>
        <v>0.151081004618654i</v>
      </c>
      <c r="AH326" s="98">
        <f t="shared" si="193"/>
        <v>0.15108100461865401</v>
      </c>
      <c r="AI326" s="98">
        <f t="shared" si="194"/>
        <v>1.5707963267948966</v>
      </c>
      <c r="AJ326" s="98" t="str">
        <f t="shared" si="180"/>
        <v>1+17.7520180426919i</v>
      </c>
      <c r="AK326" s="98">
        <f t="shared" si="195"/>
        <v>17.780161545611975</v>
      </c>
      <c r="AL326" s="98">
        <f t="shared" si="196"/>
        <v>1.5145241747307969</v>
      </c>
      <c r="AM326" s="98" t="str">
        <f t="shared" si="181"/>
        <v>1+35.5040360853838i</v>
      </c>
      <c r="AN326" s="98">
        <f t="shared" si="197"/>
        <v>35.51811619937402</v>
      </c>
      <c r="AO326" s="98">
        <f t="shared" si="198"/>
        <v>1.5426379595112079</v>
      </c>
      <c r="AP326" s="168" t="str">
        <f t="shared" si="199"/>
        <v>-0.0000333693412661398+0.00118662604563327i</v>
      </c>
      <c r="AQ326" s="98">
        <f t="shared" si="200"/>
        <v>-58.51028941826133</v>
      </c>
      <c r="AR326" s="169">
        <f t="shared" si="201"/>
        <v>91.610801214056693</v>
      </c>
      <c r="AS326" s="168" t="str">
        <f t="shared" si="202"/>
        <v>0.00149539271617847-0.000398032349635766i</v>
      </c>
      <c r="AT326" s="190">
        <f t="shared" si="203"/>
        <v>-56.20761739280168</v>
      </c>
      <c r="AU326" s="169">
        <f t="shared" si="204"/>
        <v>-14.904977571434014</v>
      </c>
      <c r="AV326" s="225"/>
      <c r="AX326">
        <f t="shared" si="205"/>
        <v>0</v>
      </c>
      <c r="AY326">
        <f t="shared" si="206"/>
        <v>0</v>
      </c>
    </row>
    <row r="327" spans="14:51" x14ac:dyDescent="0.3">
      <c r="N327" s="170">
        <v>9</v>
      </c>
      <c r="O327" s="199">
        <f t="shared" si="208"/>
        <v>12302.687708123816</v>
      </c>
      <c r="P327" s="189" t="str">
        <f t="shared" si="173"/>
        <v>20.7142857142857</v>
      </c>
      <c r="Q327" s="160" t="str">
        <f t="shared" si="174"/>
        <v>1+17.6685866620577i</v>
      </c>
      <c r="R327" s="160">
        <f t="shared" si="182"/>
        <v>17.69686284725751</v>
      </c>
      <c r="S327" s="160">
        <f t="shared" si="183"/>
        <v>1.5142590211796574</v>
      </c>
      <c r="T327" s="160" t="str">
        <f t="shared" si="175"/>
        <v>1+0.00154600133293005i</v>
      </c>
      <c r="U327" s="160">
        <f t="shared" si="184"/>
        <v>1.0000011950593466</v>
      </c>
      <c r="V327" s="160">
        <f t="shared" si="185"/>
        <v>1.5460001012221852E-3</v>
      </c>
      <c r="W327" s="98" t="str">
        <f t="shared" si="176"/>
        <v>1-0.405825349894137i</v>
      </c>
      <c r="X327" s="160">
        <f t="shared" si="186"/>
        <v>1.079209995606369</v>
      </c>
      <c r="Y327" s="160">
        <f t="shared" si="187"/>
        <v>-0.38551812112631084</v>
      </c>
      <c r="Z327" s="98" t="str">
        <f t="shared" si="177"/>
        <v>0.987376733192084-0.0302815289905217i</v>
      </c>
      <c r="AA327" s="160">
        <f t="shared" si="188"/>
        <v>0.98784097113203184</v>
      </c>
      <c r="AB327" s="160">
        <f t="shared" si="189"/>
        <v>-3.0659057874901821E-2</v>
      </c>
      <c r="AC327" s="171" t="str">
        <f t="shared" si="190"/>
        <v>-0.373962089916547-1.2228696575156i</v>
      </c>
      <c r="AD327" s="190">
        <f t="shared" si="191"/>
        <v>2.1358624102274342</v>
      </c>
      <c r="AE327" s="169">
        <f t="shared" si="192"/>
        <v>-107.00399836855038</v>
      </c>
      <c r="AF327" s="98" t="str">
        <f t="shared" si="178"/>
        <v>-0.0000897803247373448</v>
      </c>
      <c r="AG327" s="98" t="str">
        <f t="shared" si="179"/>
        <v>0.154600133293005i</v>
      </c>
      <c r="AH327" s="98">
        <f t="shared" si="193"/>
        <v>0.15460013329300501</v>
      </c>
      <c r="AI327" s="98">
        <f t="shared" si="194"/>
        <v>1.5707963267948966</v>
      </c>
      <c r="AJ327" s="98" t="str">
        <f t="shared" si="180"/>
        <v>1+18.1655156619281i</v>
      </c>
      <c r="AK327" s="98">
        <f t="shared" si="195"/>
        <v>18.19301952023784</v>
      </c>
      <c r="AL327" s="98">
        <f t="shared" si="196"/>
        <v>1.5158024743031921</v>
      </c>
      <c r="AM327" s="98" t="str">
        <f t="shared" si="181"/>
        <v>1+36.3310313238563i</v>
      </c>
      <c r="AN327" s="98">
        <f t="shared" si="197"/>
        <v>36.344791058073611</v>
      </c>
      <c r="AO327" s="98">
        <f t="shared" si="198"/>
        <v>1.5432785949192791</v>
      </c>
      <c r="AP327" s="168" t="str">
        <f t="shared" si="199"/>
        <v>-0.0000318720110668856+0.0011596975662167i</v>
      </c>
      <c r="AQ327" s="98">
        <f t="shared" si="200"/>
        <v>-58.709826022028352</v>
      </c>
      <c r="AR327" s="169">
        <f t="shared" si="201"/>
        <v>91.574265748694174</v>
      </c>
      <c r="AS327" s="168" t="str">
        <f t="shared" si="202"/>
        <v>0.00143007788948951-0.000394707610275834i</v>
      </c>
      <c r="AT327" s="190">
        <f t="shared" si="203"/>
        <v>-56.573963611800899</v>
      </c>
      <c r="AU327" s="169">
        <f t="shared" si="204"/>
        <v>-15.429732619856164</v>
      </c>
      <c r="AV327" s="225"/>
      <c r="AX327">
        <f t="shared" si="205"/>
        <v>0</v>
      </c>
      <c r="AY327">
        <f t="shared" si="206"/>
        <v>0</v>
      </c>
    </row>
    <row r="328" spans="14:51" x14ac:dyDescent="0.3">
      <c r="N328" s="170">
        <v>10</v>
      </c>
      <c r="O328" s="199">
        <f t="shared" si="208"/>
        <v>12589.254117941671</v>
      </c>
      <c r="P328" s="189" t="str">
        <f t="shared" si="173"/>
        <v>20.7142857142857</v>
      </c>
      <c r="Q328" s="160" t="str">
        <f t="shared" si="174"/>
        <v>1+18.0801409147888i</v>
      </c>
      <c r="R328" s="160">
        <f t="shared" si="182"/>
        <v>18.107774449076285</v>
      </c>
      <c r="S328" s="160">
        <f t="shared" si="183"/>
        <v>1.5155433193144108</v>
      </c>
      <c r="T328" s="160" t="str">
        <f t="shared" si="175"/>
        <v>1+0.00158201233004402i</v>
      </c>
      <c r="U328" s="160">
        <f t="shared" si="184"/>
        <v>1.0000012513807233</v>
      </c>
      <c r="V328" s="160">
        <f t="shared" si="185"/>
        <v>1.5820110102453535E-3</v>
      </c>
      <c r="W328" s="98" t="str">
        <f t="shared" si="176"/>
        <v>1-0.415278236636555i</v>
      </c>
      <c r="X328" s="160">
        <f t="shared" si="186"/>
        <v>1.0828000802659588</v>
      </c>
      <c r="Y328" s="160">
        <f t="shared" si="187"/>
        <v>-0.39360749583168697</v>
      </c>
      <c r="Z328" s="98" t="str">
        <f t="shared" si="177"/>
        <v>0.986781816955767-0.0309868764115473i</v>
      </c>
      <c r="AA328" s="160">
        <f t="shared" si="188"/>
        <v>0.98726822129767222</v>
      </c>
      <c r="AB328" s="160">
        <f t="shared" si="189"/>
        <v>-3.1391637638537834E-2</v>
      </c>
      <c r="AC328" s="171" t="str">
        <f t="shared" si="190"/>
        <v>-0.377215063408938-1.19658937426348i</v>
      </c>
      <c r="AD328" s="190">
        <f t="shared" si="191"/>
        <v>1.9703710152836942</v>
      </c>
      <c r="AE328" s="169">
        <f t="shared" si="192"/>
        <v>-107.49703325910961</v>
      </c>
      <c r="AF328" s="98" t="str">
        <f t="shared" si="178"/>
        <v>-0.0000897803247373448</v>
      </c>
      <c r="AG328" s="98" t="str">
        <f t="shared" si="179"/>
        <v>0.158201233004402i</v>
      </c>
      <c r="AH328" s="98">
        <f t="shared" si="193"/>
        <v>0.158201233004402</v>
      </c>
      <c r="AI328" s="98">
        <f t="shared" si="194"/>
        <v>1.5707963267948966</v>
      </c>
      <c r="AJ328" s="98" t="str">
        <f t="shared" si="180"/>
        <v>1+18.5886448780173i</v>
      </c>
      <c r="AK328" s="98">
        <f t="shared" si="195"/>
        <v>18.615523586540313</v>
      </c>
      <c r="AL328" s="98">
        <f t="shared" si="196"/>
        <v>1.5170518500902277</v>
      </c>
      <c r="AM328" s="98" t="str">
        <f t="shared" si="181"/>
        <v>1+37.1772897560347i</v>
      </c>
      <c r="AN328" s="98">
        <f t="shared" si="197"/>
        <v>37.190736395024004</v>
      </c>
      <c r="AO328" s="98">
        <f t="shared" si="198"/>
        <v>1.5439046695171679</v>
      </c>
      <c r="AP328" s="168" t="str">
        <f t="shared" si="199"/>
        <v>-0.0000304416737240412+0.00113337657359127i</v>
      </c>
      <c r="AQ328" s="98">
        <f t="shared" si="200"/>
        <v>-58.909383405026922</v>
      </c>
      <c r="AR328" s="169">
        <f t="shared" si="201"/>
        <v>91.538553221190568</v>
      </c>
      <c r="AS328" s="168" t="str">
        <f t="shared" si="202"/>
        <v>0.00136766942288255-0.000391100532760452i</v>
      </c>
      <c r="AT328" s="190">
        <f t="shared" si="203"/>
        <v>-56.939012389743255</v>
      </c>
      <c r="AU328" s="169">
        <f t="shared" si="204"/>
        <v>-15.958480037919074</v>
      </c>
      <c r="AV328" s="225"/>
      <c r="AX328">
        <f t="shared" si="205"/>
        <v>0</v>
      </c>
      <c r="AY328">
        <f t="shared" si="206"/>
        <v>0</v>
      </c>
    </row>
    <row r="329" spans="14:51" x14ac:dyDescent="0.3">
      <c r="N329" s="170">
        <v>11</v>
      </c>
      <c r="O329" s="199">
        <f t="shared" si="208"/>
        <v>12882.49551693136</v>
      </c>
      <c r="P329" s="189" t="str">
        <f t="shared" si="173"/>
        <v>20.7142857142857</v>
      </c>
      <c r="Q329" s="160" t="str">
        <f t="shared" si="174"/>
        <v>1+18.501281497552i</v>
      </c>
      <c r="R329" s="160">
        <f t="shared" si="182"/>
        <v>18.528286943256788</v>
      </c>
      <c r="S329" s="160">
        <f t="shared" si="183"/>
        <v>1.5167985595843974</v>
      </c>
      <c r="T329" s="160" t="str">
        <f t="shared" si="175"/>
        <v>1+0.0016188621310358i</v>
      </c>
      <c r="U329" s="160">
        <f t="shared" si="184"/>
        <v>1.0000013103564411</v>
      </c>
      <c r="V329" s="160">
        <f t="shared" si="185"/>
        <v>1.6188607168461501E-3</v>
      </c>
      <c r="W329" s="98" t="str">
        <f t="shared" si="176"/>
        <v>1-0.424951309396896i</v>
      </c>
      <c r="X329" s="160">
        <f t="shared" si="186"/>
        <v>1.0865466466554192</v>
      </c>
      <c r="Y329" s="160">
        <f t="shared" si="187"/>
        <v>-0.40182940533858669</v>
      </c>
      <c r="Z329" s="98" t="str">
        <f t="shared" si="177"/>
        <v>0.986158863181022-0.0317086534846062i</v>
      </c>
      <c r="AA329" s="160">
        <f t="shared" si="188"/>
        <v>0.98666850671149553</v>
      </c>
      <c r="AB329" s="160">
        <f t="shared" si="189"/>
        <v>-3.2142623265668593E-2</v>
      </c>
      <c r="AC329" s="171" t="str">
        <f t="shared" si="190"/>
        <v>-0.380343160544429-1.17093091148839i</v>
      </c>
      <c r="AD329" s="190">
        <f t="shared" si="191"/>
        <v>1.8062474585416637</v>
      </c>
      <c r="AE329" s="169">
        <f t="shared" si="192"/>
        <v>-107.99489430356449</v>
      </c>
      <c r="AF329" s="98" t="str">
        <f t="shared" si="178"/>
        <v>-0.0000897803247373448</v>
      </c>
      <c r="AG329" s="98" t="str">
        <f t="shared" si="179"/>
        <v>0.16188621310358i</v>
      </c>
      <c r="AH329" s="98">
        <f t="shared" si="193"/>
        <v>0.16188621310358001</v>
      </c>
      <c r="AI329" s="98">
        <f t="shared" si="194"/>
        <v>1.5707963267948966</v>
      </c>
      <c r="AJ329" s="98" t="str">
        <f t="shared" si="180"/>
        <v>1+19.0216300396707i</v>
      </c>
      <c r="AK329" s="98">
        <f t="shared" si="195"/>
        <v>19.047897767630495</v>
      </c>
      <c r="AL329" s="98">
        <f t="shared" si="196"/>
        <v>1.5182729489170383</v>
      </c>
      <c r="AM329" s="98" t="str">
        <f t="shared" si="181"/>
        <v>1+38.0432600793414i</v>
      </c>
      <c r="AN329" s="98">
        <f t="shared" si="197"/>
        <v>38.056400742377242</v>
      </c>
      <c r="AO329" s="98">
        <f t="shared" si="198"/>
        <v>1.5445165132935725</v>
      </c>
      <c r="AP329" s="168" t="str">
        <f t="shared" si="199"/>
        <v>-0.0000290753489429411+0.00110764960313032i</v>
      </c>
      <c r="AQ329" s="98">
        <f t="shared" si="200"/>
        <v>-59.108960638795708</v>
      </c>
      <c r="AR329" s="169">
        <f t="shared" si="201"/>
        <v>91.503645478155278</v>
      </c>
      <c r="AS329" s="168" t="str">
        <f t="shared" si="202"/>
        <v>0.00130803976951403-0.000387241725990767i</v>
      </c>
      <c r="AT329" s="190">
        <f t="shared" si="203"/>
        <v>-57.302713180254031</v>
      </c>
      <c r="AU329" s="169">
        <f t="shared" si="204"/>
        <v>-16.49124882540919</v>
      </c>
      <c r="AV329" s="225"/>
      <c r="AX329">
        <f t="shared" si="205"/>
        <v>0</v>
      </c>
      <c r="AY329">
        <f t="shared" si="206"/>
        <v>0</v>
      </c>
    </row>
    <row r="330" spans="14:51" x14ac:dyDescent="0.3">
      <c r="N330" s="170">
        <v>12</v>
      </c>
      <c r="O330" s="199">
        <f t="shared" si="208"/>
        <v>13182.567385564091</v>
      </c>
      <c r="P330" s="189" t="str">
        <f t="shared" si="173"/>
        <v>20.7142857142857</v>
      </c>
      <c r="Q330" s="160" t="str">
        <f t="shared" si="174"/>
        <v>1+18.9322317046585i</v>
      </c>
      <c r="R330" s="160">
        <f t="shared" si="182"/>
        <v>18.958623297034951</v>
      </c>
      <c r="S330" s="160">
        <f t="shared" si="183"/>
        <v>1.518025391703322</v>
      </c>
      <c r="T330" s="160" t="str">
        <f t="shared" si="175"/>
        <v>1+0.00165657027415762i</v>
      </c>
      <c r="U330" s="160">
        <f t="shared" si="184"/>
        <v>1.0000013721115952</v>
      </c>
      <c r="V330" s="160">
        <f t="shared" si="185"/>
        <v>1.656568758826221E-3</v>
      </c>
      <c r="W330" s="98" t="str">
        <f t="shared" si="176"/>
        <v>1-0.434849696966375i</v>
      </c>
      <c r="X330" s="160">
        <f t="shared" si="186"/>
        <v>1.0904559867100314</v>
      </c>
      <c r="Y330" s="160">
        <f t="shared" si="187"/>
        <v>-0.41018376156626246</v>
      </c>
      <c r="Z330" s="98" t="str">
        <f t="shared" si="177"/>
        <v>0.985506550499369-0.0324472429054563i</v>
      </c>
      <c r="AA330" s="160">
        <f t="shared" si="188"/>
        <v>0.98604055933279477</v>
      </c>
      <c r="AB330" s="160">
        <f t="shared" si="189"/>
        <v>-3.2912542328286575E-2</v>
      </c>
      <c r="AC330" s="171" t="str">
        <f t="shared" si="190"/>
        <v>-0.383352936806945-1.1458818422901i</v>
      </c>
      <c r="AD330" s="190">
        <f t="shared" si="191"/>
        <v>1.643542451225855</v>
      </c>
      <c r="AE330" s="169">
        <f t="shared" si="192"/>
        <v>-108.49758233403082</v>
      </c>
      <c r="AF330" s="98" t="str">
        <f t="shared" si="178"/>
        <v>-0.0000897803247373448</v>
      </c>
      <c r="AG330" s="98" t="str">
        <f t="shared" si="179"/>
        <v>0.165657027415762i</v>
      </c>
      <c r="AH330" s="98">
        <f t="shared" si="193"/>
        <v>0.16565702741576199</v>
      </c>
      <c r="AI330" s="98">
        <f t="shared" si="194"/>
        <v>1.5707963267948966</v>
      </c>
      <c r="AJ330" s="98" t="str">
        <f t="shared" si="180"/>
        <v>1+19.4647007213521i</v>
      </c>
      <c r="AK330" s="98">
        <f t="shared" si="195"/>
        <v>19.490371319495299</v>
      </c>
      <c r="AL330" s="98">
        <f t="shared" si="196"/>
        <v>1.5194664036520544</v>
      </c>
      <c r="AM330" s="98" t="str">
        <f t="shared" si="181"/>
        <v>1+38.9294014427042i</v>
      </c>
      <c r="AN330" s="98">
        <f t="shared" si="197"/>
        <v>38.94224308751641</v>
      </c>
      <c r="AO330" s="98">
        <f t="shared" si="198"/>
        <v>1.5451144488227491</v>
      </c>
      <c r="AP330" s="168" t="str">
        <f t="shared" si="199"/>
        <v>-0.0000277701875142266+0.00108250347269137i</v>
      </c>
      <c r="AQ330" s="98">
        <f t="shared" si="200"/>
        <v>-59.308556836068661</v>
      </c>
      <c r="AR330" s="169">
        <f t="shared" si="201"/>
        <v>91.469524741041695</v>
      </c>
      <c r="AS330" s="168" t="str">
        <f t="shared" si="202"/>
        <v>0.00125106685651228-0.00038315953173041i</v>
      </c>
      <c r="AT330" s="190">
        <f t="shared" si="203"/>
        <v>-57.665014384842777</v>
      </c>
      <c r="AU330" s="169">
        <f t="shared" si="204"/>
        <v>-17.028057592989096</v>
      </c>
      <c r="AV330" s="225"/>
      <c r="AX330">
        <f t="shared" si="205"/>
        <v>0</v>
      </c>
      <c r="AY330">
        <f t="shared" si="206"/>
        <v>0</v>
      </c>
    </row>
    <row r="331" spans="14:51" x14ac:dyDescent="0.3">
      <c r="N331" s="170">
        <v>13</v>
      </c>
      <c r="O331" s="199">
        <f t="shared" si="208"/>
        <v>13489.628825916556</v>
      </c>
      <c r="P331" s="189" t="str">
        <f t="shared" si="173"/>
        <v>20.7142857142857</v>
      </c>
      <c r="Q331" s="160" t="str">
        <f t="shared" si="174"/>
        <v>1+19.3732200316126i</v>
      </c>
      <c r="R331" s="160">
        <f t="shared" si="182"/>
        <v>19.399011685992559</v>
      </c>
      <c r="S331" s="160">
        <f t="shared" si="183"/>
        <v>1.5192244513732314</v>
      </c>
      <c r="T331" s="160" t="str">
        <f t="shared" si="175"/>
        <v>1+0.0016951567527661i</v>
      </c>
      <c r="U331" s="160">
        <f t="shared" si="184"/>
        <v>1.0000014367771761</v>
      </c>
      <c r="V331" s="160">
        <f t="shared" si="185"/>
        <v>1.6951551290593783E-3</v>
      </c>
      <c r="W331" s="98" t="str">
        <f t="shared" si="176"/>
        <v>1-0.444978647601101i</v>
      </c>
      <c r="X331" s="160">
        <f t="shared" si="186"/>
        <v>1.0945346028431011</v>
      </c>
      <c r="Y331" s="160">
        <f t="shared" si="187"/>
        <v>-0.41867032829756828</v>
      </c>
      <c r="Z331" s="98" t="str">
        <f t="shared" si="177"/>
        <v>0.984823495268155-0.0332030362839848i</v>
      </c>
      <c r="AA331" s="160">
        <f t="shared" si="188"/>
        <v>0.9853830516355867</v>
      </c>
      <c r="AB331" s="160">
        <f t="shared" si="189"/>
        <v>-3.370194211510049E-2</v>
      </c>
      <c r="AC331" s="171" t="str">
        <f t="shared" si="190"/>
        <v>-0.386250709231887-1.12143001039612i</v>
      </c>
      <c r="AD331" s="190">
        <f t="shared" si="191"/>
        <v>1.4823077860981446</v>
      </c>
      <c r="AE331" s="169">
        <f t="shared" si="192"/>
        <v>-109.00508773646681</v>
      </c>
      <c r="AF331" s="98" t="str">
        <f t="shared" si="178"/>
        <v>-0.0000897803247373448</v>
      </c>
      <c r="AG331" s="98" t="str">
        <f t="shared" si="179"/>
        <v>0.16951567527661i</v>
      </c>
      <c r="AH331" s="98">
        <f t="shared" si="193"/>
        <v>0.16951567527660999</v>
      </c>
      <c r="AI331" s="98">
        <f t="shared" si="194"/>
        <v>1.5707963267948966</v>
      </c>
      <c r="AJ331" s="98" t="str">
        <f t="shared" si="180"/>
        <v>1+19.9180918450017i</v>
      </c>
      <c r="AK331" s="98">
        <f t="shared" si="195"/>
        <v>19.943178852578221</v>
      </c>
      <c r="AL331" s="98">
        <f t="shared" si="196"/>
        <v>1.5206328334740304</v>
      </c>
      <c r="AM331" s="98" t="str">
        <f t="shared" si="181"/>
        <v>1+39.8361836900035i</v>
      </c>
      <c r="AN331" s="98">
        <f t="shared" si="197"/>
        <v>39.848733116420412</v>
      </c>
      <c r="AO331" s="98">
        <f t="shared" si="198"/>
        <v>1.5456987914268263</v>
      </c>
      <c r="AP331" s="168" t="str">
        <f t="shared" si="199"/>
        <v>-0.0000265234656799581+0.00105792527776118i</v>
      </c>
      <c r="AQ331" s="98">
        <f t="shared" si="200"/>
        <v>-59.508171148973489</v>
      </c>
      <c r="AR331" s="169">
        <f t="shared" si="201"/>
        <v>91.436173600147583</v>
      </c>
      <c r="AS331" s="168" t="str">
        <f t="shared" si="202"/>
        <v>0.00119663386266821-0.00037888017845638i</v>
      </c>
      <c r="AT331" s="190">
        <f t="shared" si="203"/>
        <v>-58.025863362875342</v>
      </c>
      <c r="AU331" s="169">
        <f t="shared" si="204"/>
        <v>-17.568914136319201</v>
      </c>
      <c r="AV331" s="225"/>
      <c r="AX331">
        <f t="shared" si="205"/>
        <v>0</v>
      </c>
      <c r="AY331">
        <f t="shared" si="206"/>
        <v>0</v>
      </c>
    </row>
    <row r="332" spans="14:51" x14ac:dyDescent="0.3">
      <c r="N332" s="170">
        <v>14</v>
      </c>
      <c r="O332" s="199">
        <f t="shared" si="208"/>
        <v>13803.842646028841</v>
      </c>
      <c r="P332" s="189" t="str">
        <f t="shared" si="173"/>
        <v>20.7142857142857</v>
      </c>
      <c r="Q332" s="160" t="str">
        <f t="shared" si="174"/>
        <v>1+19.8244802962623i</v>
      </c>
      <c r="R332" s="160">
        <f t="shared" si="182"/>
        <v>19.849685615064338</v>
      </c>
      <c r="S332" s="160">
        <f t="shared" si="183"/>
        <v>1.5203963605520814</v>
      </c>
      <c r="T332" s="160" t="str">
        <f t="shared" si="175"/>
        <v>1+0.00173464202592295i</v>
      </c>
      <c r="U332" s="160">
        <f t="shared" si="184"/>
        <v>1.0000015044903474</v>
      </c>
      <c r="V332" s="160">
        <f t="shared" si="185"/>
        <v>1.734640286089993E-3</v>
      </c>
      <c r="W332" s="98" t="str">
        <f t="shared" si="176"/>
        <v>1-0.455343531804773i</v>
      </c>
      <c r="X332" s="160">
        <f t="shared" si="186"/>
        <v>1.0987892117947118</v>
      </c>
      <c r="Y332" s="160">
        <f t="shared" si="187"/>
        <v>-0.42728871443161065</v>
      </c>
      <c r="Z332" s="98" t="str">
        <f t="shared" si="177"/>
        <v>0.984108248635656-0.0339764343518452i</v>
      </c>
      <c r="AA332" s="160">
        <f t="shared" si="188"/>
        <v>0.98469459383303393</v>
      </c>
      <c r="AB332" s="160">
        <f t="shared" si="189"/>
        <v>-3.4511390667255712E-2</v>
      </c>
      <c r="AC332" s="171" t="str">
        <f t="shared" si="190"/>
        <v>-0.389042569258986-1.09756352911745i</v>
      </c>
      <c r="AD332" s="190">
        <f t="shared" si="191"/>
        <v>1.322596322478498</v>
      </c>
      <c r="AE332" s="169">
        <f t="shared" si="192"/>
        <v>-109.5173900194596</v>
      </c>
      <c r="AF332" s="98" t="str">
        <f t="shared" si="178"/>
        <v>-0.0000897803247373448</v>
      </c>
      <c r="AG332" s="98" t="str">
        <f t="shared" si="179"/>
        <v>0.173464202592295i</v>
      </c>
      <c r="AH332" s="98">
        <f t="shared" si="193"/>
        <v>0.173464202592295</v>
      </c>
      <c r="AI332" s="98">
        <f t="shared" si="194"/>
        <v>1.5707963267948966</v>
      </c>
      <c r="AJ332" s="98" t="str">
        <f t="shared" si="180"/>
        <v>1+20.3820438045946i</v>
      </c>
      <c r="AK332" s="98">
        <f t="shared" si="195"/>
        <v>20.406560456196754</v>
      </c>
      <c r="AL332" s="98">
        <f t="shared" si="196"/>
        <v>1.5217728441363221</v>
      </c>
      <c r="AM332" s="98" t="str">
        <f t="shared" si="181"/>
        <v>1+40.7640876091894i</v>
      </c>
      <c r="AN332" s="98">
        <f t="shared" si="197"/>
        <v>40.776351462700397</v>
      </c>
      <c r="AO332" s="98">
        <f t="shared" si="198"/>
        <v>1.5462698493348537</v>
      </c>
      <c r="AP332" s="168" t="str">
        <f t="shared" si="199"/>
        <v>-0.000025332579730209+0.00103390238660931i</v>
      </c>
      <c r="AQ332" s="98">
        <f t="shared" si="200"/>
        <v>-59.707802767305139</v>
      </c>
      <c r="AR332" s="169">
        <f t="shared" si="201"/>
        <v>91.403575008585889</v>
      </c>
      <c r="AS332" s="168" t="str">
        <f t="shared" si="202"/>
        <v>0.00114462900411407-0.000374427925239146i</v>
      </c>
      <c r="AT332" s="190">
        <f t="shared" si="203"/>
        <v>-58.385206444826622</v>
      </c>
      <c r="AU332" s="169">
        <f t="shared" si="204"/>
        <v>-18.113815010873655</v>
      </c>
      <c r="AV332" s="225"/>
      <c r="AX332">
        <f t="shared" si="205"/>
        <v>0</v>
      </c>
      <c r="AY332">
        <f t="shared" si="206"/>
        <v>0</v>
      </c>
    </row>
    <row r="333" spans="14:51" x14ac:dyDescent="0.3">
      <c r="N333" s="170">
        <v>15</v>
      </c>
      <c r="O333" s="199">
        <f t="shared" si="208"/>
        <v>14125.375446227561</v>
      </c>
      <c r="P333" s="189" t="str">
        <f t="shared" si="173"/>
        <v>20.7142857142857</v>
      </c>
      <c r="Q333" s="160" t="str">
        <f t="shared" si="174"/>
        <v>1+20.2862517627731i</v>
      </c>
      <c r="R333" s="160">
        <f t="shared" si="182"/>
        <v>20.310884042370354</v>
      </c>
      <c r="S333" s="160">
        <f t="shared" si="183"/>
        <v>1.5215417277185925</v>
      </c>
      <c r="T333" s="160" t="str">
        <f t="shared" si="175"/>
        <v>1+0.00177504702924265i</v>
      </c>
      <c r="U333" s="160">
        <f t="shared" si="184"/>
        <v>1.0000015753947371</v>
      </c>
      <c r="V333" s="160">
        <f t="shared" si="185"/>
        <v>1.7750451649782074E-3</v>
      </c>
      <c r="W333" s="98" t="str">
        <f t="shared" si="176"/>
        <v>1-0.465949845176193i</v>
      </c>
      <c r="X333" s="160">
        <f t="shared" si="186"/>
        <v>1.1032267483249842</v>
      </c>
      <c r="Y333" s="160">
        <f t="shared" si="187"/>
        <v>-0.43603836735761908</v>
      </c>
      <c r="Z333" s="98" t="str">
        <f t="shared" si="177"/>
        <v>0.983359293467869-0.0347678471749304i</v>
      </c>
      <c r="AA333" s="160">
        <f t="shared" si="188"/>
        <v>0.98397373097395546</v>
      </c>
      <c r="AB333" s="160">
        <f t="shared" si="189"/>
        <v>-3.5341477885183444E-2</v>
      </c>
      <c r="AC333" s="171" t="str">
        <f t="shared" si="190"/>
        <v>-0.391734395208367-1.07427078025281i</v>
      </c>
      <c r="AD333" s="190">
        <f t="shared" si="191"/>
        <v>1.1644619680492705</v>
      </c>
      <c r="AE333" s="169">
        <f t="shared" si="192"/>
        <v>-110.03445738571102</v>
      </c>
      <c r="AF333" s="98" t="str">
        <f t="shared" si="178"/>
        <v>-0.0000897803247373448</v>
      </c>
      <c r="AG333" s="98" t="str">
        <f t="shared" si="179"/>
        <v>0.177504702924265i</v>
      </c>
      <c r="AH333" s="98">
        <f t="shared" si="193"/>
        <v>0.17750470292426501</v>
      </c>
      <c r="AI333" s="98">
        <f t="shared" si="194"/>
        <v>1.5707963267948966</v>
      </c>
      <c r="AJ333" s="98" t="str">
        <f t="shared" si="180"/>
        <v>1+20.8568025936011i</v>
      </c>
      <c r="AK333" s="98">
        <f t="shared" si="195"/>
        <v>20.880761825863672</v>
      </c>
      <c r="AL333" s="98">
        <f t="shared" si="196"/>
        <v>1.5228870282282556</v>
      </c>
      <c r="AM333" s="98" t="str">
        <f t="shared" si="181"/>
        <v>1+41.7136051872023i</v>
      </c>
      <c r="AN333" s="98">
        <f t="shared" si="197"/>
        <v>41.725589962441404</v>
      </c>
      <c r="AO333" s="98">
        <f t="shared" si="198"/>
        <v>1.5468279238386304</v>
      </c>
      <c r="AP333" s="168" t="str">
        <f t="shared" si="199"/>
        <v>-0.0000241950408217618+0.00101042243545614i</v>
      </c>
      <c r="AQ333" s="98">
        <f t="shared" si="200"/>
        <v>-59.907450916873948</v>
      </c>
      <c r="AR333" s="169">
        <f t="shared" si="201"/>
        <v>91.371712276237758</v>
      </c>
      <c r="AS333" s="168" t="str">
        <f t="shared" si="202"/>
        <v>0.00109494532780577-0.000369825196276534i</v>
      </c>
      <c r="AT333" s="190">
        <f t="shared" si="203"/>
        <v>-58.742988948824653</v>
      </c>
      <c r="AU333" s="169">
        <f t="shared" si="204"/>
        <v>-18.662745109473232</v>
      </c>
      <c r="AV333" s="225"/>
      <c r="AX333">
        <f t="shared" si="205"/>
        <v>0</v>
      </c>
      <c r="AY333">
        <f t="shared" si="206"/>
        <v>0</v>
      </c>
    </row>
    <row r="334" spans="14:51" x14ac:dyDescent="0.3">
      <c r="N334" s="170">
        <v>16</v>
      </c>
      <c r="O334" s="199">
        <f t="shared" si="208"/>
        <v>14454.397707459291</v>
      </c>
      <c r="P334" s="189" t="str">
        <f t="shared" si="173"/>
        <v>20.7142857142857</v>
      </c>
      <c r="Q334" s="160" t="str">
        <f t="shared" si="174"/>
        <v>1+20.7587792684888i</v>
      </c>
      <c r="R334" s="160">
        <f t="shared" si="182"/>
        <v>20.782851505937302</v>
      </c>
      <c r="S334" s="160">
        <f t="shared" si="183"/>
        <v>1.5226611481342252</v>
      </c>
      <c r="T334" s="160" t="str">
        <f t="shared" si="175"/>
        <v>1+0.00181639318599277i</v>
      </c>
      <c r="U334" s="160">
        <f t="shared" si="184"/>
        <v>1.0000016496407425</v>
      </c>
      <c r="V334" s="160">
        <f t="shared" si="185"/>
        <v>1.8163911883976075E-3</v>
      </c>
      <c r="W334" s="98" t="str">
        <f t="shared" si="176"/>
        <v>1-0.476803211323101i</v>
      </c>
      <c r="X334" s="160">
        <f t="shared" si="186"/>
        <v>1.1078543687362621</v>
      </c>
      <c r="Y334" s="160">
        <f t="shared" si="187"/>
        <v>-0.44491856649375799</v>
      </c>
      <c r="Z334" s="98" t="str">
        <f t="shared" si="177"/>
        <v>0.982575041130468-0.0355776943707944i</v>
      </c>
      <c r="AA334" s="160">
        <f t="shared" si="188"/>
        <v>0.98321893990569686</v>
      </c>
      <c r="AB334" s="160">
        <f t="shared" si="189"/>
        <v>-3.6192816712349397E-2</v>
      </c>
      <c r="AC334" s="171" t="str">
        <f t="shared" si="190"/>
        <v>-0.394331864403063-1.05154041296688i</v>
      </c>
      <c r="AD334" s="190">
        <f t="shared" si="191"/>
        <v>1.0079596574683838</v>
      </c>
      <c r="AE334" s="169">
        <f t="shared" si="192"/>
        <v>-110.55624630839017</v>
      </c>
      <c r="AF334" s="98" t="str">
        <f t="shared" si="178"/>
        <v>-0.0000897803247373448</v>
      </c>
      <c r="AG334" s="98" t="str">
        <f t="shared" si="179"/>
        <v>0.181639318599277i</v>
      </c>
      <c r="AH334" s="98">
        <f t="shared" si="193"/>
        <v>0.18163931859927701</v>
      </c>
      <c r="AI334" s="98">
        <f t="shared" si="194"/>
        <v>1.5707963267948966</v>
      </c>
      <c r="AJ334" s="98" t="str">
        <f t="shared" si="180"/>
        <v>1+21.3426199354151i</v>
      </c>
      <c r="AK334" s="98">
        <f t="shared" si="195"/>
        <v>21.36603439357847</v>
      </c>
      <c r="AL334" s="98">
        <f t="shared" si="196"/>
        <v>1.5239759654334559</v>
      </c>
      <c r="AM334" s="98" t="str">
        <f t="shared" si="181"/>
        <v>1+42.6852398708302i</v>
      </c>
      <c r="AN334" s="98">
        <f t="shared" si="197"/>
        <v>42.696951914982321</v>
      </c>
      <c r="AO334" s="98">
        <f t="shared" si="198"/>
        <v>1.5473733094453637</v>
      </c>
      <c r="AP334" s="168" t="str">
        <f t="shared" si="199"/>
        <v>-0.0000231084700107277+0.000987473323661355i</v>
      </c>
      <c r="AQ334" s="98">
        <f t="shared" si="200"/>
        <v>-60.107114857923918</v>
      </c>
      <c r="AR334" s="169">
        <f t="shared" si="201"/>
        <v>91.340569063697998</v>
      </c>
      <c r="AS334" s="168" t="str">
        <f t="shared" si="202"/>
        <v>0.00104748051261947-0.000365092706669558i</v>
      </c>
      <c r="AT334" s="190">
        <f t="shared" si="203"/>
        <v>-59.099155200455549</v>
      </c>
      <c r="AU334" s="169">
        <f t="shared" si="204"/>
        <v>-19.215677244692184</v>
      </c>
      <c r="AV334" s="225"/>
      <c r="AX334">
        <f t="shared" si="205"/>
        <v>0</v>
      </c>
      <c r="AY334">
        <f t="shared" si="206"/>
        <v>0</v>
      </c>
    </row>
    <row r="335" spans="14:51" x14ac:dyDescent="0.3">
      <c r="N335" s="170">
        <v>17</v>
      </c>
      <c r="O335" s="199">
        <f t="shared" si="208"/>
        <v>14791.083881682089</v>
      </c>
      <c r="P335" s="189" t="str">
        <f t="shared" si="173"/>
        <v>20.7142857142857</v>
      </c>
      <c r="Q335" s="160" t="str">
        <f t="shared" si="174"/>
        <v>1+21.2423133537476i</v>
      </c>
      <c r="R335" s="160">
        <f t="shared" si="182"/>
        <v>21.265838253377261</v>
      </c>
      <c r="S335" s="160">
        <f t="shared" si="183"/>
        <v>1.5237552041021396</v>
      </c>
      <c r="T335" s="160" t="str">
        <f t="shared" si="175"/>
        <v>1+0.00185870241845291i</v>
      </c>
      <c r="U335" s="160">
        <f t="shared" si="184"/>
        <v>1.0000017273858481</v>
      </c>
      <c r="V335" s="160">
        <f t="shared" si="185"/>
        <v>1.858700277991329E-3</v>
      </c>
      <c r="W335" s="98" t="str">
        <f t="shared" si="176"/>
        <v>1-0.487909384843889i</v>
      </c>
      <c r="X335" s="160">
        <f t="shared" si="186"/>
        <v>1.1126794542089569</v>
      </c>
      <c r="Y335" s="160">
        <f t="shared" si="187"/>
        <v>-0.45392841703718734</v>
      </c>
      <c r="Z335" s="98" t="str">
        <f t="shared" si="177"/>
        <v>0.981753828119101-0.0364064053311404i</v>
      </c>
      <c r="AA335" s="160">
        <f t="shared" si="188"/>
        <v>0.98242862609740988</v>
      </c>
      <c r="AB335" s="160">
        <f t="shared" si="189"/>
        <v>-3.7066044402203589E-2</v>
      </c>
      <c r="AC335" s="171" t="str">
        <f t="shared" si="190"/>
        <v>-0.396840464961147-1.0293613426675i</v>
      </c>
      <c r="AD335" s="190">
        <f t="shared" si="191"/>
        <v>0.85314532785135</v>
      </c>
      <c r="AE335" s="169">
        <f t="shared" si="192"/>
        <v>-111.08270111463364</v>
      </c>
      <c r="AF335" s="98" t="str">
        <f t="shared" si="178"/>
        <v>-0.0000897803247373448</v>
      </c>
      <c r="AG335" s="98" t="str">
        <f t="shared" si="179"/>
        <v>0.185870241845291i</v>
      </c>
      <c r="AH335" s="98">
        <f t="shared" si="193"/>
        <v>0.185870241845291</v>
      </c>
      <c r="AI335" s="98">
        <f t="shared" si="194"/>
        <v>1.5707963267948966</v>
      </c>
      <c r="AJ335" s="98" t="str">
        <f t="shared" si="180"/>
        <v>1+21.8397534168217i</v>
      </c>
      <c r="AK335" s="98">
        <f t="shared" si="195"/>
        <v>21.862635461160103</v>
      </c>
      <c r="AL335" s="98">
        <f t="shared" si="196"/>
        <v>1.5250402227850124</v>
      </c>
      <c r="AM335" s="98" t="str">
        <f t="shared" si="181"/>
        <v>1+43.6795068336436i</v>
      </c>
      <c r="AN335" s="98">
        <f t="shared" si="197"/>
        <v>43.690952349775095</v>
      </c>
      <c r="AO335" s="98">
        <f t="shared" si="198"/>
        <v>1.5479062940271973</v>
      </c>
      <c r="AP335" s="168" t="str">
        <f t="shared" si="199"/>
        <v>-0.0000220705934911266+0.000965043208938036i</v>
      </c>
      <c r="AQ335" s="98">
        <f t="shared" si="200"/>
        <v>-60.306793883618951</v>
      </c>
      <c r="AR335" s="169">
        <f t="shared" si="201"/>
        <v>91.310129376222648</v>
      </c>
      <c r="AS335" s="168" t="str">
        <f t="shared" si="202"/>
        <v>0.0010021366778676-0.000360249579993073i</v>
      </c>
      <c r="AT335" s="190">
        <f t="shared" si="203"/>
        <v>-59.453648555767572</v>
      </c>
      <c r="AU335" s="169">
        <f t="shared" si="204"/>
        <v>-19.772571738410935</v>
      </c>
      <c r="AV335" s="225"/>
      <c r="AX335">
        <f t="shared" si="205"/>
        <v>0</v>
      </c>
      <c r="AY335">
        <f t="shared" si="206"/>
        <v>0</v>
      </c>
    </row>
    <row r="336" spans="14:51" x14ac:dyDescent="0.3">
      <c r="N336" s="170">
        <v>18</v>
      </c>
      <c r="O336" s="199">
        <f t="shared" si="208"/>
        <v>15135.612484362096</v>
      </c>
      <c r="P336" s="189" t="str">
        <f t="shared" si="173"/>
        <v>20.7142857142857</v>
      </c>
      <c r="Q336" s="160" t="str">
        <f t="shared" si="174"/>
        <v>1+21.7371103947218i</v>
      </c>
      <c r="R336" s="160">
        <f t="shared" si="182"/>
        <v>21.760100374592085</v>
      </c>
      <c r="S336" s="160">
        <f t="shared" si="183"/>
        <v>1.5248244652230192</v>
      </c>
      <c r="T336" s="160" t="str">
        <f t="shared" si="175"/>
        <v>1+0.00190199715953816i</v>
      </c>
      <c r="U336" s="160">
        <f t="shared" si="184"/>
        <v>1.0000018087949616</v>
      </c>
      <c r="V336" s="160">
        <f t="shared" si="185"/>
        <v>1.9019948659924778E-3</v>
      </c>
      <c r="W336" s="98" t="str">
        <f t="shared" si="176"/>
        <v>1-0.499274254378765i</v>
      </c>
      <c r="X336" s="160">
        <f t="shared" si="186"/>
        <v>1.1177096139362279</v>
      </c>
      <c r="Y336" s="160">
        <f t="shared" si="187"/>
        <v>-0.46306684397402414</v>
      </c>
      <c r="Z336" s="98" t="str">
        <f t="shared" si="177"/>
        <v>0.980893912530867-0.0372544194494886i</v>
      </c>
      <c r="AA336" s="160">
        <f t="shared" si="188"/>
        <v>0.98160112031753022</v>
      </c>
      <c r="AB336" s="160">
        <f t="shared" si="189"/>
        <v>-3.7961823875209827E-2</v>
      </c>
      <c r="AC336" s="171" t="str">
        <f t="shared" si="190"/>
        <v>-0.399265507280884-1.00772274990666i</v>
      </c>
      <c r="AD336" s="190">
        <f t="shared" si="191"/>
        <v>0.70007589122344016</v>
      </c>
      <c r="AE336" s="169">
        <f t="shared" si="192"/>
        <v>-111.61375357858107</v>
      </c>
      <c r="AF336" s="98" t="str">
        <f t="shared" si="178"/>
        <v>-0.0000897803247373448</v>
      </c>
      <c r="AG336" s="98" t="str">
        <f t="shared" si="179"/>
        <v>0.190199715953816i</v>
      </c>
      <c r="AH336" s="98">
        <f t="shared" si="193"/>
        <v>0.19019971595381599</v>
      </c>
      <c r="AI336" s="98">
        <f t="shared" si="194"/>
        <v>1.5707963267948966</v>
      </c>
      <c r="AJ336" s="98" t="str">
        <f t="shared" si="180"/>
        <v>1+22.3484666245733i</v>
      </c>
      <c r="AK336" s="98">
        <f t="shared" si="195"/>
        <v>22.370828336690327</v>
      </c>
      <c r="AL336" s="98">
        <f t="shared" si="196"/>
        <v>1.5260803549173803</v>
      </c>
      <c r="AM336" s="98" t="str">
        <f t="shared" si="181"/>
        <v>1+44.6969332491468i</v>
      </c>
      <c r="AN336" s="98">
        <f t="shared" si="197"/>
        <v>44.708118299461951</v>
      </c>
      <c r="AO336" s="98">
        <f t="shared" si="198"/>
        <v>1.548427158967667</v>
      </c>
      <c r="AP336" s="168" t="str">
        <f t="shared" si="199"/>
        <v>-0.0000210792380316819+0.000943120502597198i</v>
      </c>
      <c r="AQ336" s="98">
        <f t="shared" si="200"/>
        <v>-60.506487318594168</v>
      </c>
      <c r="AR336" s="169">
        <f t="shared" si="201"/>
        <v>91.280377557687274</v>
      </c>
      <c r="AS336" s="168" t="str">
        <f t="shared" si="202"/>
        <v>0.000958820199036414-0.000355313458181249i</v>
      </c>
      <c r="AT336" s="190">
        <f t="shared" si="203"/>
        <v>-59.806411427370733</v>
      </c>
      <c r="AU336" s="169">
        <f t="shared" si="204"/>
        <v>-20.333376020893791</v>
      </c>
      <c r="AV336" s="225"/>
      <c r="AX336">
        <f t="shared" si="205"/>
        <v>0</v>
      </c>
      <c r="AY336">
        <f t="shared" si="206"/>
        <v>0</v>
      </c>
    </row>
    <row r="337" spans="14:51" x14ac:dyDescent="0.3">
      <c r="N337" s="170">
        <v>19</v>
      </c>
      <c r="O337" s="199">
        <f t="shared" si="208"/>
        <v>15488.166189124853</v>
      </c>
      <c r="P337" s="189" t="str">
        <f t="shared" si="173"/>
        <v>20.7142857142857</v>
      </c>
      <c r="Q337" s="160" t="str">
        <f t="shared" si="174"/>
        <v>1+22.243432739352i</v>
      </c>
      <c r="R337" s="160">
        <f t="shared" si="182"/>
        <v>22.265899937574414</v>
      </c>
      <c r="S337" s="160">
        <f t="shared" si="183"/>
        <v>1.525869488647646</v>
      </c>
      <c r="T337" s="160" t="str">
        <f t="shared" si="175"/>
        <v>1+0.0019463003646933i</v>
      </c>
      <c r="U337" s="160">
        <f t="shared" si="184"/>
        <v>1.0000018940407611</v>
      </c>
      <c r="V337" s="160">
        <f t="shared" si="185"/>
        <v>1.9462979071150756E-3</v>
      </c>
      <c r="W337" s="98" t="str">
        <f t="shared" si="176"/>
        <v>1-0.510903845731989i</v>
      </c>
      <c r="X337" s="160">
        <f t="shared" si="186"/>
        <v>1.122952688043328</v>
      </c>
      <c r="Y337" s="160">
        <f t="shared" si="187"/>
        <v>-0.47233258639996856</v>
      </c>
      <c r="Z337" s="98" t="str">
        <f t="shared" si="177"/>
        <v>0.979993470369513-0.0381221863541496i</v>
      </c>
      <c r="AA337" s="160">
        <f t="shared" si="188"/>
        <v>0.98073467515903723</v>
      </c>
      <c r="AB337" s="160">
        <f t="shared" si="189"/>
        <v>-3.8880845173485917E-2</v>
      </c>
      <c r="AC337" s="171" t="str">
        <f t="shared" si="190"/>
        <v>-0.401612135242379-0.98661407932987i</v>
      </c>
      <c r="AD337" s="190">
        <f t="shared" si="191"/>
        <v>0.54880920408620071</v>
      </c>
      <c r="AE337" s="169">
        <f t="shared" si="192"/>
        <v>-112.14932252641651</v>
      </c>
      <c r="AF337" s="98" t="str">
        <f t="shared" si="178"/>
        <v>-0.0000897803247373448</v>
      </c>
      <c r="AG337" s="98" t="str">
        <f t="shared" si="179"/>
        <v>0.19463003646933i</v>
      </c>
      <c r="AH337" s="98">
        <f t="shared" si="193"/>
        <v>0.19463003646933</v>
      </c>
      <c r="AI337" s="98">
        <f t="shared" si="194"/>
        <v>1.5707963267948966</v>
      </c>
      <c r="AJ337" s="98" t="str">
        <f t="shared" si="180"/>
        <v>1+22.8690292851463i</v>
      </c>
      <c r="AK337" s="98">
        <f t="shared" si="195"/>
        <v>22.890882474139765</v>
      </c>
      <c r="AL337" s="98">
        <f t="shared" si="196"/>
        <v>1.5270969043149183</v>
      </c>
      <c r="AM337" s="98" t="str">
        <f t="shared" si="181"/>
        <v>1+45.7380585702926i</v>
      </c>
      <c r="AN337" s="98">
        <f t="shared" si="197"/>
        <v>45.748989079317553</v>
      </c>
      <c r="AO337" s="98">
        <f t="shared" si="198"/>
        <v>1.5489361793051244</v>
      </c>
      <c r="AP337" s="168" t="str">
        <f t="shared" si="199"/>
        <v>-0.0000201323266033036+0.000921693864827189i</v>
      </c>
      <c r="AQ337" s="98">
        <f t="shared" si="200"/>
        <v>-60.706194517568917</v>
      </c>
      <c r="AR337" s="169">
        <f t="shared" si="201"/>
        <v>91.251298284564427</v>
      </c>
      <c r="AS337" s="168" t="str">
        <f t="shared" si="202"/>
        <v>0.000917441530545017-0.000350300604216561i</v>
      </c>
      <c r="AT337" s="190">
        <f t="shared" si="203"/>
        <v>-60.15738531348272</v>
      </c>
      <c r="AU337" s="169">
        <f t="shared" si="204"/>
        <v>-20.898024241852063</v>
      </c>
      <c r="AV337" s="225"/>
      <c r="AX337">
        <f t="shared" si="205"/>
        <v>0</v>
      </c>
      <c r="AY337">
        <f t="shared" si="206"/>
        <v>0</v>
      </c>
    </row>
    <row r="338" spans="14:51" x14ac:dyDescent="0.3">
      <c r="N338" s="170">
        <v>20</v>
      </c>
      <c r="O338" s="199">
        <f t="shared" si="208"/>
        <v>15848.931924611146</v>
      </c>
      <c r="P338" s="189" t="str">
        <f t="shared" si="173"/>
        <v>20.7142857142857</v>
      </c>
      <c r="Q338" s="160" t="str">
        <f t="shared" si="174"/>
        <v>1+22.7615488464471i</v>
      </c>
      <c r="R338" s="160">
        <f t="shared" si="182"/>
        <v>22.783505127376632</v>
      </c>
      <c r="S338" s="160">
        <f t="shared" si="183"/>
        <v>1.5268908193261332</v>
      </c>
      <c r="T338" s="160" t="str">
        <f t="shared" si="175"/>
        <v>1+0.00199163552406412i</v>
      </c>
      <c r="U338" s="160">
        <f t="shared" si="184"/>
        <v>1.0000019833040636</v>
      </c>
      <c r="V338" s="160">
        <f t="shared" si="185"/>
        <v>1.9916328907218905E-3</v>
      </c>
      <c r="W338" s="98" t="str">
        <f t="shared" si="176"/>
        <v>1-0.522804325066831i</v>
      </c>
      <c r="X338" s="160">
        <f t="shared" si="186"/>
        <v>1.1284167502782758</v>
      </c>
      <c r="Y338" s="160">
        <f t="shared" si="187"/>
        <v>-0.48172419220413287</v>
      </c>
      <c r="Z338" s="98" t="str">
        <f t="shared" si="177"/>
        <v>0.979050591676491-0.0390101661466222i</v>
      </c>
      <c r="AA338" s="160">
        <f t="shared" si="188"/>
        <v>0.97982746140576926</v>
      </c>
      <c r="AB338" s="160">
        <f t="shared" si="189"/>
        <v>-3.9823827021289039E-2</v>
      </c>
      <c r="AC338" s="171" t="str">
        <f t="shared" si="190"/>
        <v>-0.403885337149608-0.966025038699107i</v>
      </c>
      <c r="AD338" s="190">
        <f t="shared" si="191"/>
        <v>0.39940403429533894</v>
      </c>
      <c r="AE338" s="169">
        <f t="shared" si="192"/>
        <v>-112.68931345594889</v>
      </c>
      <c r="AF338" s="98" t="str">
        <f t="shared" si="178"/>
        <v>-0.0000897803247373448</v>
      </c>
      <c r="AG338" s="98" t="str">
        <f t="shared" si="179"/>
        <v>0.199163552406413i</v>
      </c>
      <c r="AH338" s="98">
        <f t="shared" si="193"/>
        <v>0.19916355240641301</v>
      </c>
      <c r="AI338" s="98">
        <f t="shared" si="194"/>
        <v>1.5707963267948966</v>
      </c>
      <c r="AJ338" s="98" t="str">
        <f t="shared" si="180"/>
        <v>1+23.4017174077535i</v>
      </c>
      <c r="AK338" s="98">
        <f t="shared" si="195"/>
        <v>23.423073616251845</v>
      </c>
      <c r="AL338" s="98">
        <f t="shared" si="196"/>
        <v>1.5280904015569925</v>
      </c>
      <c r="AM338" s="98" t="str">
        <f t="shared" si="181"/>
        <v>1+46.803434815507i</v>
      </c>
      <c r="AN338" s="98">
        <f t="shared" si="197"/>
        <v>46.814116573202718</v>
      </c>
      <c r="AO338" s="98">
        <f t="shared" si="198"/>
        <v>1.549433623873181</v>
      </c>
      <c r="AP338" s="168" t="str">
        <f t="shared" si="199"/>
        <v>-0.0000192278741899436+0.000900752200011702i</v>
      </c>
      <c r="AQ338" s="98">
        <f t="shared" si="200"/>
        <v>-60.905914864020488</v>
      </c>
      <c r="AR338" s="169">
        <f t="shared" si="201"/>
        <v>91.222876559927045</v>
      </c>
      <c r="AS338" s="168" t="str">
        <f t="shared" si="202"/>
        <v>0.000877915035324486-0.000345225998081536i</v>
      </c>
      <c r="AT338" s="190">
        <f t="shared" si="203"/>
        <v>-60.506510829725144</v>
      </c>
      <c r="AU338" s="169">
        <f t="shared" si="204"/>
        <v>-21.466436896021875</v>
      </c>
      <c r="AV338" s="225"/>
      <c r="AX338">
        <f t="shared" si="205"/>
        <v>0</v>
      </c>
      <c r="AY338">
        <f t="shared" si="206"/>
        <v>0</v>
      </c>
    </row>
    <row r="339" spans="14:51" x14ac:dyDescent="0.3">
      <c r="N339" s="170">
        <v>21</v>
      </c>
      <c r="O339" s="199">
        <f t="shared" si="208"/>
        <v>16218.100973589309</v>
      </c>
      <c r="P339" s="189" t="str">
        <f t="shared" ref="P339:P402" si="209">COMPLEX(Adc,0)</f>
        <v>20.7142857142857</v>
      </c>
      <c r="Q339" s="160" t="str">
        <f t="shared" ref="Q339:Q402" si="210">IMSUM(COMPLEX(1,0),IMDIV(COMPLEX(0,2*PI()*O339),COMPLEX(wp_lf,0)))</f>
        <v>1+23.2917334280254i</v>
      </c>
      <c r="R339" s="160">
        <f t="shared" si="182"/>
        <v>23.313190388322997</v>
      </c>
      <c r="S339" s="160">
        <f t="shared" si="183"/>
        <v>1.5278889902537405</v>
      </c>
      <c r="T339" s="160" t="str">
        <f t="shared" ref="T339:T402" si="211">IMSUM(COMPLEX(1,0),IMDIV(COMPLEX(0,2*PI()*O339),COMPLEX(wz_esr,0)))</f>
        <v>1+0.00203802667495222i</v>
      </c>
      <c r="U339" s="160">
        <f t="shared" si="184"/>
        <v>1.0000020767742075</v>
      </c>
      <c r="V339" s="160">
        <f t="shared" si="185"/>
        <v>2.0380238532755005E-3</v>
      </c>
      <c r="W339" s="98" t="str">
        <f t="shared" ref="W339:W402" si="212">IMSUB(COMPLEX(1,0),IMDIV(COMPLEX(0,2*PI()*O339),COMPLEX(wz_rhp,0)))</f>
        <v>1-0.534982002174956i</v>
      </c>
      <c r="X339" s="160">
        <f t="shared" si="186"/>
        <v>1.1341101104615567</v>
      </c>
      <c r="Y339" s="160">
        <f t="shared" si="187"/>
        <v>-0.49124001317002908</v>
      </c>
      <c r="Z339" s="98" t="str">
        <f t="shared" ref="Z339:Z402" si="213">IF(Dc_Mode_Loop="CCM",IMSUM(COMPLEX(1,0),IMDIV(COMPLEX(0,2*PI()*O339),COMPLEX(Q*(wsl/2),0)),IMDIV(IMPOWER(COMPLEX(0,2*PI()*O339),2),IMPOWER(COMPLEX(wsl/2,0),2))),COMPLEX(1,0))</f>
        <v>0.978063276479678-0.0399188296455463i</v>
      </c>
      <c r="AA339" s="160">
        <f t="shared" si="188"/>
        <v>0.97887756423284777</v>
      </c>
      <c r="AB339" s="160">
        <f t="shared" si="189"/>
        <v>-4.0791518500375969E-2</v>
      </c>
      <c r="AC339" s="171" t="str">
        <f t="shared" si="190"/>
        <v>-0.406089956436745-0.945945598014386i</v>
      </c>
      <c r="AD339" s="190">
        <f t="shared" si="191"/>
        <v>0.25192002549548731</v>
      </c>
      <c r="AE339" s="169">
        <f t="shared" si="192"/>
        <v>-113.23361817329702</v>
      </c>
      <c r="AF339" s="98" t="str">
        <f t="shared" ref="AF339:AF402" si="214">COMPLEX(Adc_ea,0)</f>
        <v>-0.0000897803247373448</v>
      </c>
      <c r="AG339" s="98" t="str">
        <f t="shared" ref="AG339:AG402" si="215">COMPLEX(0,2*PI()*O339*wp0_ea)</f>
        <v>0.203802667495223i</v>
      </c>
      <c r="AH339" s="98">
        <f t="shared" si="193"/>
        <v>0.20380266749522299</v>
      </c>
      <c r="AI339" s="98">
        <f t="shared" si="194"/>
        <v>1.5707963267948966</v>
      </c>
      <c r="AJ339" s="98" t="str">
        <f t="shared" ref="AJ339:AJ402" si="216">IMSUM(COMPLEX(1,0),IMDIV(COMPLEX(0,2*PI()*O339),COMPLEX(wp1_ea,0)))</f>
        <v>1+23.9468134306886i</v>
      </c>
      <c r="AK339" s="98">
        <f t="shared" si="195"/>
        <v>23.967683940760903</v>
      </c>
      <c r="AL339" s="98">
        <f t="shared" si="196"/>
        <v>1.5290613655595766</v>
      </c>
      <c r="AM339" s="98" t="str">
        <f t="shared" ref="AM339:AM402" si="217">IMSUM(COMPLEX(1,0),IMDIV(COMPLEX(0,2*PI()*O339),COMPLEX(wz_ea,0)))</f>
        <v>1+47.8936268613773i</v>
      </c>
      <c r="AN339" s="98">
        <f t="shared" si="197"/>
        <v>47.904065526183075</v>
      </c>
      <c r="AO339" s="98">
        <f t="shared" si="198"/>
        <v>1.5499197554382211</v>
      </c>
      <c r="AP339" s="168" t="str">
        <f t="shared" si="199"/>
        <v>-0.0000183639837757367+0.0008802846520901i</v>
      </c>
      <c r="AQ339" s="98">
        <f t="shared" si="200"/>
        <v>-61.105647768914828</v>
      </c>
      <c r="AR339" s="169">
        <f t="shared" si="201"/>
        <v>91.195097707484706</v>
      </c>
      <c r="AS339" s="168" t="str">
        <f t="shared" si="202"/>
        <v>0.000840158821015749-0.000340103426404538i</v>
      </c>
      <c r="AT339" s="190">
        <f t="shared" si="203"/>
        <v>-60.853727743419341</v>
      </c>
      <c r="AU339" s="169">
        <f t="shared" si="204"/>
        <v>-22.038520465812301</v>
      </c>
      <c r="AV339" s="225"/>
      <c r="AX339">
        <f t="shared" si="205"/>
        <v>0</v>
      </c>
      <c r="AY339">
        <f t="shared" si="206"/>
        <v>0</v>
      </c>
    </row>
    <row r="340" spans="14:51" x14ac:dyDescent="0.3">
      <c r="N340" s="170">
        <v>22</v>
      </c>
      <c r="O340" s="199">
        <f t="shared" si="208"/>
        <v>16595.869074375616</v>
      </c>
      <c r="P340" s="189" t="str">
        <f t="shared" si="209"/>
        <v>20.7142857142857</v>
      </c>
      <c r="Q340" s="160" t="str">
        <f t="shared" si="210"/>
        <v>1+23.8342675949698i</v>
      </c>
      <c r="R340" s="160">
        <f t="shared" ref="R340:R403" si="218">IMABS(Q340)</f>
        <v>23.855236569538093</v>
      </c>
      <c r="S340" s="160">
        <f t="shared" ref="S340:S403" si="219">IMARGUMENT(Q340)</f>
        <v>1.5288645227131918</v>
      </c>
      <c r="T340" s="160" t="str">
        <f t="shared" si="211"/>
        <v>1+0.00208549841455986i</v>
      </c>
      <c r="U340" s="160">
        <f t="shared" ref="U340:U403" si="220">IMABS(T340)</f>
        <v>1.0000021746494541</v>
      </c>
      <c r="V340" s="160">
        <f t="shared" ref="V340:V403" si="221">IMARGUMENT(T340)</f>
        <v>2.0854953910791367E-3</v>
      </c>
      <c r="W340" s="98" t="str">
        <f t="shared" si="212"/>
        <v>1-0.547443333821962i</v>
      </c>
      <c r="X340" s="160">
        <f t="shared" ref="X340:X403" si="222">IMABS(W340)</f>
        <v>1.1400413166837877</v>
      </c>
      <c r="Y340" s="160">
        <f t="shared" ref="Y340:Y403" si="223">IMARGUMENT(W340)</f>
        <v>-0.50087820054862997</v>
      </c>
      <c r="Z340" s="98" t="str">
        <f t="shared" si="213"/>
        <v>0.977029430551172-0.0408486586363369i</v>
      </c>
      <c r="AA340" s="160">
        <f t="shared" ref="AA340:AA403" si="224">IMABS(Z340)</f>
        <v>0.97788297923398548</v>
      </c>
      <c r="AB340" s="160">
        <f t="shared" ref="AB340:AB403" si="225">IMARGUMENT(Z340)</f>
        <v>-4.178470085013259E-2</v>
      </c>
      <c r="AC340" s="171" t="str">
        <f t="shared" ref="AC340:AC403" si="226">(IMDIV(IMPRODUCT(P340,T340,W340),IMPRODUCT(Q340,Z340)))</f>
        <v>-0.408230702163362-0.92636598875986i</v>
      </c>
      <c r="AD340" s="190">
        <f t="shared" ref="AD340:AD403" si="227">20*LOG(IMABS(AC340))</f>
        <v>0.10641765941766404</v>
      </c>
      <c r="AE340" s="169">
        <f t="shared" ref="AE340:AE403" si="228">(180/PI())*IMARGUMENT(AC340)</f>
        <v>-113.78211444926046</v>
      </c>
      <c r="AF340" s="98" t="str">
        <f t="shared" si="214"/>
        <v>-0.0000897803247373448</v>
      </c>
      <c r="AG340" s="98" t="str">
        <f t="shared" si="215"/>
        <v>0.208549841455986i</v>
      </c>
      <c r="AH340" s="98">
        <f t="shared" ref="AH340:AH403" si="229">IMABS(AG340)</f>
        <v>0.20854984145598601</v>
      </c>
      <c r="AI340" s="98">
        <f t="shared" ref="AI340:AI403" si="230">IMARGUMENT(AG340)</f>
        <v>1.5707963267948966</v>
      </c>
      <c r="AJ340" s="98" t="str">
        <f t="shared" si="216"/>
        <v>1+24.5046063710784i</v>
      </c>
      <c r="AK340" s="98">
        <f t="shared" ref="AK340:AK403" si="231">IMABS(AJ340)</f>
        <v>24.525002210020205</v>
      </c>
      <c r="AL340" s="98">
        <f t="shared" ref="AL340:AL403" si="232">IMARGUMENT(AJ340)</f>
        <v>1.5300103038132906</v>
      </c>
      <c r="AM340" s="98" t="str">
        <f t="shared" si="217"/>
        <v>1+49.0092127421568i</v>
      </c>
      <c r="AN340" s="98">
        <f t="shared" ref="AN340:AN403" si="233">IMABS(AM340)</f>
        <v>49.019413843965786</v>
      </c>
      <c r="AO340" s="98">
        <f t="shared" ref="AO340:AO403" si="234">IMARGUMENT(AM340)</f>
        <v>1.5503948308340323</v>
      </c>
      <c r="AP340" s="168" t="str">
        <f t="shared" ref="AP340:AP403" si="235">IMPRODUCT(AF340,IMDIV(AM340,IMPRODUCT(AG340,AJ340)))</f>
        <v>-0.0000175388425015582+0.000860280599963247i</v>
      </c>
      <c r="AQ340" s="98">
        <f t="shared" ref="AQ340:AQ403" si="236">20*LOG(IMABS(AP340))</f>
        <v>-61.305392669491681</v>
      </c>
      <c r="AR340" s="169">
        <f t="shared" ref="AR340:AR403" si="237">(180/PI())*IMARGUMENT(AP340)</f>
        <v>91.167947365658875</v>
      </c>
      <c r="AS340" s="168" t="str">
        <f t="shared" ref="AS340:AS403" si="238">IMPRODUCT(AC340,AP340)</f>
        <v>0.000804094582585423-0.000334945566204855i</v>
      </c>
      <c r="AT340" s="190">
        <f t="shared" ref="AT340:AT403" si="239">20*LOG(IMABS(AS340))</f>
        <v>-61.198975010074015</v>
      </c>
      <c r="AU340" s="169">
        <f t="shared" ref="AU340:AU403" si="240">(180/PI())*IMARGUMENT(AS340)</f>
        <v>-22.614167083601551</v>
      </c>
      <c r="AV340" s="225"/>
      <c r="AX340">
        <f t="shared" ref="AX340:AX403" si="241">SUM((AT341&lt;0)*(AT340&gt;0))*O340</f>
        <v>0</v>
      </c>
      <c r="AY340">
        <f t="shared" ref="AY340:AY403" si="242">IF(AX340&gt;0,AU340,0)</f>
        <v>0</v>
      </c>
    </row>
    <row r="341" spans="14:51" x14ac:dyDescent="0.3">
      <c r="N341" s="170">
        <v>23</v>
      </c>
      <c r="O341" s="199">
        <f t="shared" si="208"/>
        <v>16982.436524617482</v>
      </c>
      <c r="P341" s="189" t="str">
        <f t="shared" si="209"/>
        <v>20.7142857142857</v>
      </c>
      <c r="Q341" s="160" t="str">
        <f t="shared" si="210"/>
        <v>1+24.389439006077i</v>
      </c>
      <c r="R341" s="160">
        <f t="shared" si="218"/>
        <v>24.409931073871356</v>
      </c>
      <c r="S341" s="160">
        <f t="shared" si="219"/>
        <v>1.5298179265134493</v>
      </c>
      <c r="T341" s="160" t="str">
        <f t="shared" si="211"/>
        <v>1+0.00213407591303174i</v>
      </c>
      <c r="U341" s="160">
        <f t="shared" si="220"/>
        <v>1.0000022771374086</v>
      </c>
      <c r="V341" s="160">
        <f t="shared" si="221"/>
        <v>2.1340726733141747E-3</v>
      </c>
      <c r="W341" s="98" t="str">
        <f t="shared" si="212"/>
        <v>1-0.56019492717083i</v>
      </c>
      <c r="X341" s="160">
        <f t="shared" si="222"/>
        <v>1.1462191572417255</v>
      </c>
      <c r="Y341" s="160">
        <f t="shared" si="223"/>
        <v>-0.51063670115888737</v>
      </c>
      <c r="Z341" s="98" t="str">
        <f t="shared" si="213"/>
        <v>0.975946860965146-0.0418001461266325i</v>
      </c>
      <c r="AA341" s="160">
        <f t="shared" si="224"/>
        <v>0.97684160826816235</v>
      </c>
      <c r="AB341" s="160">
        <f t="shared" si="225"/>
        <v>-4.2804189403339223E-2</v>
      </c>
      <c r="AC341" s="171" t="str">
        <f t="shared" si="226"/>
        <v>-0.410312159323259-0.907276703301065i</v>
      </c>
      <c r="AD341" s="190">
        <f t="shared" si="227"/>
        <v>-3.704178359535798E-2</v>
      </c>
      <c r="AE341" s="169">
        <f t="shared" si="228"/>
        <v>-114.33466569791763</v>
      </c>
      <c r="AF341" s="98" t="str">
        <f t="shared" si="214"/>
        <v>-0.0000897803247373448</v>
      </c>
      <c r="AG341" s="98" t="str">
        <f t="shared" si="215"/>
        <v>0.213407591303173i</v>
      </c>
      <c r="AH341" s="98">
        <f t="shared" si="229"/>
        <v>0.21340759130317299</v>
      </c>
      <c r="AI341" s="98">
        <f t="shared" si="230"/>
        <v>1.5707963267948966</v>
      </c>
      <c r="AJ341" s="98" t="str">
        <f t="shared" si="216"/>
        <v>1+25.0753919781229i</v>
      </c>
      <c r="AK341" s="98">
        <f t="shared" si="231"/>
        <v>25.095323924120017</v>
      </c>
      <c r="AL341" s="98">
        <f t="shared" si="232"/>
        <v>1.5309377126178321</v>
      </c>
      <c r="AM341" s="98" t="str">
        <f t="shared" si="217"/>
        <v>1+50.150783956246i</v>
      </c>
      <c r="AN341" s="98">
        <f t="shared" si="233"/>
        <v>50.16075289931424</v>
      </c>
      <c r="AO341" s="98">
        <f t="shared" si="234"/>
        <v>1.5508591010936024</v>
      </c>
      <c r="AP341" s="168" t="str">
        <f t="shared" si="235"/>
        <v>-0.0000167507179843412+0.000840729652947581i</v>
      </c>
      <c r="AQ341" s="98">
        <f t="shared" si="236"/>
        <v>-61.505149028103091</v>
      </c>
      <c r="AR341" s="169">
        <f t="shared" si="237"/>
        <v>91.141411481702193</v>
      </c>
      <c r="AS341" s="168" t="str">
        <f t="shared" si="238"/>
        <v>0.0007696474511601-0.000329764063117257i</v>
      </c>
      <c r="AT341" s="190">
        <f t="shared" si="239"/>
        <v>-61.542190811698454</v>
      </c>
      <c r="AU341" s="169">
        <f t="shared" si="240"/>
        <v>-23.193254216215422</v>
      </c>
      <c r="AV341" s="225"/>
      <c r="AX341">
        <f t="shared" si="241"/>
        <v>0</v>
      </c>
      <c r="AY341">
        <f t="shared" si="242"/>
        <v>0</v>
      </c>
    </row>
    <row r="342" spans="14:51" x14ac:dyDescent="0.3">
      <c r="N342" s="170">
        <v>24</v>
      </c>
      <c r="O342" s="199">
        <f t="shared" si="208"/>
        <v>17378.008287493791</v>
      </c>
      <c r="P342" s="189" t="str">
        <f t="shared" si="209"/>
        <v>20.7142857142857</v>
      </c>
      <c r="Q342" s="160" t="str">
        <f t="shared" si="210"/>
        <v>1+24.9575420205774i</v>
      </c>
      <c r="R342" s="160">
        <f t="shared" si="218"/>
        <v>24.97756801029449</v>
      </c>
      <c r="S342" s="160">
        <f t="shared" si="219"/>
        <v>1.5307497002248844</v>
      </c>
      <c r="T342" s="160" t="str">
        <f t="shared" si="211"/>
        <v>1+0.00218378492680052i</v>
      </c>
      <c r="U342" s="160">
        <f t="shared" si="220"/>
        <v>1.0000023844554604</v>
      </c>
      <c r="V342" s="160">
        <f t="shared" si="221"/>
        <v>2.183781455381052E-3</v>
      </c>
      <c r="W342" s="98" t="str">
        <f t="shared" si="212"/>
        <v>1-0.573243543285135i</v>
      </c>
      <c r="X342" s="160">
        <f t="shared" si="222"/>
        <v>1.1526526623046929</v>
      </c>
      <c r="Y342" s="160">
        <f t="shared" si="223"/>
        <v>-0.52051325407106597</v>
      </c>
      <c r="Z342" s="98" t="str">
        <f t="shared" si="213"/>
        <v>0.974813271446367-0.0427737966076943i</v>
      </c>
      <c r="AA342" s="160">
        <f t="shared" si="224"/>
        <v>0.97575125511792438</v>
      </c>
      <c r="AB342" s="160">
        <f t="shared" si="225"/>
        <v>-4.3850835669510417E-2</v>
      </c>
      <c r="AC342" s="171" t="str">
        <f t="shared" si="226"/>
        <v>-0.412338798992343-0.888668494460802i</v>
      </c>
      <c r="AD342" s="190">
        <f t="shared" si="227"/>
        <v>-0.17839626540684422</v>
      </c>
      <c r="AE342" s="169">
        <f t="shared" si="228"/>
        <v>-114.89112067993764</v>
      </c>
      <c r="AF342" s="98" t="str">
        <f t="shared" si="214"/>
        <v>-0.0000897803247373448</v>
      </c>
      <c r="AG342" s="98" t="str">
        <f t="shared" si="215"/>
        <v>0.218378492680052i</v>
      </c>
      <c r="AH342" s="98">
        <f t="shared" si="229"/>
        <v>0.21837849268005199</v>
      </c>
      <c r="AI342" s="98">
        <f t="shared" si="230"/>
        <v>1.5707963267948966</v>
      </c>
      <c r="AJ342" s="98" t="str">
        <f t="shared" si="216"/>
        <v>1+25.6594728899061i</v>
      </c>
      <c r="AK342" s="98">
        <f t="shared" si="231"/>
        <v>25.678951477578405</v>
      </c>
      <c r="AL342" s="98">
        <f t="shared" si="232"/>
        <v>1.5318440773127675</v>
      </c>
      <c r="AM342" s="98" t="str">
        <f t="shared" si="217"/>
        <v>1+51.3189457798123i</v>
      </c>
      <c r="AN342" s="98">
        <f t="shared" si="233"/>
        <v>51.328687845602623</v>
      </c>
      <c r="AO342" s="98">
        <f t="shared" si="234"/>
        <v>1.5513128115781334</v>
      </c>
      <c r="AP342" s="168" t="str">
        <f t="shared" si="235"/>
        <v>-0.0000159979547927165+0.000821621646280065i</v>
      </c>
      <c r="AQ342" s="98">
        <f t="shared" si="236"/>
        <v>-61.704916331102098</v>
      </c>
      <c r="AR342" s="169">
        <f t="shared" si="237"/>
        <v>91.115476305867176</v>
      </c>
      <c r="AS342" s="168" t="str">
        <f t="shared" si="238"/>
        <v>0.000736745848881674-0.000324569604453138i</v>
      </c>
      <c r="AT342" s="190">
        <f t="shared" si="239"/>
        <v>-61.883312596508937</v>
      </c>
      <c r="AU342" s="169">
        <f t="shared" si="240"/>
        <v>-23.775644374070403</v>
      </c>
      <c r="AV342" s="225"/>
      <c r="AX342">
        <f t="shared" si="241"/>
        <v>0</v>
      </c>
      <c r="AY342">
        <f t="shared" si="242"/>
        <v>0</v>
      </c>
    </row>
    <row r="343" spans="14:51" x14ac:dyDescent="0.3">
      <c r="N343" s="170">
        <v>25</v>
      </c>
      <c r="O343" s="199">
        <f t="shared" si="208"/>
        <v>17782.794100389234</v>
      </c>
      <c r="P343" s="189" t="str">
        <f t="shared" si="209"/>
        <v>20.7142857142857</v>
      </c>
      <c r="Q343" s="160" t="str">
        <f t="shared" si="210"/>
        <v>1+25.5388778542091i</v>
      </c>
      <c r="R343" s="160">
        <f t="shared" si="218"/>
        <v>25.558448349855123</v>
      </c>
      <c r="S343" s="160">
        <f t="shared" si="219"/>
        <v>1.5316603314108186</v>
      </c>
      <c r="T343" s="160" t="str">
        <f t="shared" si="211"/>
        <v>1+0.0022346518122433i</v>
      </c>
      <c r="U343" s="160">
        <f t="shared" si="220"/>
        <v>1.0000024968312438</v>
      </c>
      <c r="V343" s="160">
        <f t="shared" si="221"/>
        <v>2.2346480925508252E-3</v>
      </c>
      <c r="W343" s="98" t="str">
        <f t="shared" si="212"/>
        <v>1-0.586596100713865i</v>
      </c>
      <c r="X343" s="160">
        <f t="shared" si="222"/>
        <v>1.1593511053053389</v>
      </c>
      <c r="Y343" s="160">
        <f t="shared" si="223"/>
        <v>-0.53050538792754476</v>
      </c>
      <c r="Z343" s="98" t="str">
        <f t="shared" si="213"/>
        <v>0.973626257499482-0.0437701263218956i</v>
      </c>
      <c r="AA343" s="160">
        <f t="shared" si="224"/>
        <v>0.97460962095122072</v>
      </c>
      <c r="AB343" s="160">
        <f t="shared" si="225"/>
        <v>-4.4925529578943392E-2</v>
      </c>
      <c r="AC343" s="171" t="str">
        <f t="shared" si="226"/>
        <v>-0.414314988341621-0.870532375302533i</v>
      </c>
      <c r="AD343" s="190">
        <f t="shared" si="227"/>
        <v>-0.31758303174975466</v>
      </c>
      <c r="AE343" s="169">
        <f t="shared" si="228"/>
        <v>-115.45131323298399</v>
      </c>
      <c r="AF343" s="98" t="str">
        <f t="shared" si="214"/>
        <v>-0.0000897803247373448</v>
      </c>
      <c r="AG343" s="98" t="str">
        <f t="shared" si="215"/>
        <v>0.223465181224331i</v>
      </c>
      <c r="AH343" s="98">
        <f t="shared" si="229"/>
        <v>0.22346518122433101</v>
      </c>
      <c r="AI343" s="98">
        <f t="shared" si="230"/>
        <v>1.5707963267948966</v>
      </c>
      <c r="AJ343" s="98" t="str">
        <f t="shared" si="216"/>
        <v>1+26.2571587938588i</v>
      </c>
      <c r="AK343" s="98">
        <f t="shared" si="231"/>
        <v>26.276194319686333</v>
      </c>
      <c r="AL343" s="98">
        <f t="shared" si="232"/>
        <v>1.5327298725046512</v>
      </c>
      <c r="AM343" s="98" t="str">
        <f t="shared" si="217"/>
        <v>1+52.5143175877177i</v>
      </c>
      <c r="AN343" s="98">
        <f t="shared" si="233"/>
        <v>52.523837937680042</v>
      </c>
      <c r="AO343" s="98">
        <f t="shared" si="234"/>
        <v>1.5517562021033191</v>
      </c>
      <c r="AP343" s="168" t="str">
        <f t="shared" si="235"/>
        <v>-0.0000152789710727526+0.000802946636676254i</v>
      </c>
      <c r="AQ343" s="98">
        <f t="shared" si="236"/>
        <v>-61.904694087779674</v>
      </c>
      <c r="AR343" s="169">
        <f t="shared" si="237"/>
        <v>91.090128385628503</v>
      </c>
      <c r="AS343" s="168" t="str">
        <f t="shared" si="238"/>
        <v>0.000705321349588839-0.000319371987433324i</v>
      </c>
      <c r="AT343" s="190">
        <f t="shared" si="239"/>
        <v>-62.22227711952943</v>
      </c>
      <c r="AU343" s="169">
        <f t="shared" si="240"/>
        <v>-24.361184847355489</v>
      </c>
      <c r="AV343" s="225"/>
      <c r="AX343">
        <f t="shared" si="241"/>
        <v>0</v>
      </c>
      <c r="AY343">
        <f t="shared" si="242"/>
        <v>0</v>
      </c>
    </row>
    <row r="344" spans="14:51" x14ac:dyDescent="0.3">
      <c r="N344" s="170">
        <v>26</v>
      </c>
      <c r="O344" s="199">
        <f t="shared" si="208"/>
        <v>18197.008586099837</v>
      </c>
      <c r="P344" s="189" t="str">
        <f t="shared" si="209"/>
        <v>20.7142857142857</v>
      </c>
      <c r="Q344" s="160" t="str">
        <f t="shared" si="210"/>
        <v>1+26.1337547389264i</v>
      </c>
      <c r="R344" s="160">
        <f t="shared" si="218"/>
        <v>26.152880085267054</v>
      </c>
      <c r="S344" s="160">
        <f t="shared" si="219"/>
        <v>1.5325502968553943</v>
      </c>
      <c r="T344" s="160" t="str">
        <f t="shared" si="211"/>
        <v>1+0.00228670353965606i</v>
      </c>
      <c r="U344" s="160">
        <f t="shared" si="220"/>
        <v>1.0000026145031213</v>
      </c>
      <c r="V344" s="160">
        <f t="shared" si="221"/>
        <v>2.2866995539343265E-3</v>
      </c>
      <c r="W344" s="98" t="str">
        <f t="shared" si="212"/>
        <v>1-0.600259679159714i</v>
      </c>
      <c r="X344" s="160">
        <f t="shared" si="222"/>
        <v>1.1663240040507281</v>
      </c>
      <c r="Y344" s="160">
        <f t="shared" si="223"/>
        <v>-0.54061041895440543</v>
      </c>
      <c r="Z344" s="98" t="str">
        <f t="shared" si="213"/>
        <v>0.972383301308764-0.0447896635364393i</v>
      </c>
      <c r="AA344" s="160">
        <f t="shared" si="224"/>
        <v>0.97341429957846726</v>
      </c>
      <c r="AB344" s="160">
        <f t="shared" si="225"/>
        <v>-4.6029201901930702E-2</v>
      </c>
      <c r="AC344" s="171" t="str">
        <f t="shared" si="226"/>
        <v>-0.416245000541992-0.85285961915173i</v>
      </c>
      <c r="AD344" s="190">
        <f t="shared" si="227"/>
        <v>-0.45453865416908829</v>
      </c>
      <c r="AE344" s="169">
        <f t="shared" si="228"/>
        <v>-116.01506203143119</v>
      </c>
      <c r="AF344" s="98" t="str">
        <f t="shared" si="214"/>
        <v>-0.0000897803247373448</v>
      </c>
      <c r="AG344" s="98" t="str">
        <f t="shared" si="215"/>
        <v>0.228670353965607i</v>
      </c>
      <c r="AH344" s="98">
        <f t="shared" si="229"/>
        <v>0.228670353965607</v>
      </c>
      <c r="AI344" s="98">
        <f t="shared" si="230"/>
        <v>1.5707963267948966</v>
      </c>
      <c r="AJ344" s="98" t="str">
        <f t="shared" si="216"/>
        <v>1+26.8687665909587i</v>
      </c>
      <c r="AK344" s="98">
        <f t="shared" si="231"/>
        <v>26.887369118592069</v>
      </c>
      <c r="AL344" s="98">
        <f t="shared" si="232"/>
        <v>1.5335955622904522</v>
      </c>
      <c r="AM344" s="98" t="str">
        <f t="shared" si="217"/>
        <v>1+53.7375331819175i</v>
      </c>
      <c r="AN344" s="98">
        <f t="shared" si="233"/>
        <v>53.746836860206805</v>
      </c>
      <c r="AO344" s="98">
        <f t="shared" si="234"/>
        <v>1.5521895070629379</v>
      </c>
      <c r="AP344" s="168" t="str">
        <f t="shared" si="235"/>
        <v>-0.0000145922553177785+0.000784694897943431i</v>
      </c>
      <c r="AQ344" s="98">
        <f t="shared" si="236"/>
        <v>-62.104481829348302</v>
      </c>
      <c r="AR344" s="169">
        <f t="shared" si="237"/>
        <v>91.065354559962771</v>
      </c>
      <c r="AS344" s="168" t="str">
        <f t="shared" si="238"/>
        <v>0.000675308545132998-0.000314180182906876i</v>
      </c>
      <c r="AT344" s="190">
        <f t="shared" si="239"/>
        <v>-62.559020483517394</v>
      </c>
      <c r="AU344" s="169">
        <f t="shared" si="240"/>
        <v>-24.949707471468408</v>
      </c>
      <c r="AV344" s="225"/>
      <c r="AX344">
        <f t="shared" si="241"/>
        <v>0</v>
      </c>
      <c r="AY344">
        <f t="shared" si="242"/>
        <v>0</v>
      </c>
    </row>
    <row r="345" spans="14:51" x14ac:dyDescent="0.3">
      <c r="N345" s="170">
        <v>27</v>
      </c>
      <c r="O345" s="199">
        <f t="shared" si="208"/>
        <v>18620.871366628675</v>
      </c>
      <c r="P345" s="189" t="str">
        <f t="shared" si="209"/>
        <v>20.7142857142857</v>
      </c>
      <c r="Q345" s="160" t="str">
        <f t="shared" si="210"/>
        <v>1+26.7424880863273i</v>
      </c>
      <c r="R345" s="160">
        <f t="shared" si="218"/>
        <v>26.761178394221687</v>
      </c>
      <c r="S345" s="160">
        <f t="shared" si="219"/>
        <v>1.533420062787757</v>
      </c>
      <c r="T345" s="160" t="str">
        <f t="shared" si="211"/>
        <v>1+0.00233996770755364i</v>
      </c>
      <c r="U345" s="160">
        <f t="shared" si="220"/>
        <v>1.0000027377206886</v>
      </c>
      <c r="V345" s="160">
        <f t="shared" si="221"/>
        <v>2.3399634367764887E-3</v>
      </c>
      <c r="W345" s="98" t="str">
        <f t="shared" si="212"/>
        <v>1-0.614241523232829i</v>
      </c>
      <c r="X345" s="160">
        <f t="shared" si="222"/>
        <v>1.1735811215520577</v>
      </c>
      <c r="Y345" s="160">
        <f t="shared" si="223"/>
        <v>-0.55082544971517644</v>
      </c>
      <c r="Z345" s="98" t="str">
        <f t="shared" si="213"/>
        <v>0.971081766397487-0.0458329488234511i</v>
      </c>
      <c r="AA345" s="160">
        <f t="shared" si="224"/>
        <v>0.97216277249620942</v>
      </c>
      <c r="AB345" s="160">
        <f t="shared" si="225"/>
        <v>-4.7162826859080825E-2</v>
      </c>
      <c r="AC345" s="171" t="str">
        <f t="shared" si="226"/>
        <v>-0.418133024588541-0.835641759887349i</v>
      </c>
      <c r="AD345" s="190">
        <f t="shared" si="227"/>
        <v>-0.58919907160359142</v>
      </c>
      <c r="AE345" s="169">
        <f t="shared" si="228"/>
        <v>-116.58217037742557</v>
      </c>
      <c r="AF345" s="98" t="str">
        <f t="shared" si="214"/>
        <v>-0.0000897803247373448</v>
      </c>
      <c r="AG345" s="98" t="str">
        <f t="shared" si="215"/>
        <v>0.233996770755365i</v>
      </c>
      <c r="AH345" s="98">
        <f t="shared" si="229"/>
        <v>0.23399677075536501</v>
      </c>
      <c r="AI345" s="98">
        <f t="shared" si="230"/>
        <v>1.5707963267948966</v>
      </c>
      <c r="AJ345" s="98" t="str">
        <f t="shared" si="216"/>
        <v>1+27.4946205637553i</v>
      </c>
      <c r="AK345" s="98">
        <f t="shared" si="231"/>
        <v>27.512799929212509</v>
      </c>
      <c r="AL345" s="98">
        <f t="shared" si="232"/>
        <v>1.5344416004772778</v>
      </c>
      <c r="AM345" s="98" t="str">
        <f t="shared" si="217"/>
        <v>1+54.9892411275107i</v>
      </c>
      <c r="AN345" s="98">
        <f t="shared" si="233"/>
        <v>54.998333063643983</v>
      </c>
      <c r="AO345" s="98">
        <f t="shared" si="234"/>
        <v>1.5526129555498063</v>
      </c>
      <c r="AP345" s="168" t="str">
        <f t="shared" si="235"/>
        <v>-0.0000139363632764846+0.000766856916650599i</v>
      </c>
      <c r="AQ345" s="98">
        <f t="shared" si="236"/>
        <v>-62.304279107969556</v>
      </c>
      <c r="AR345" s="169">
        <f t="shared" si="237"/>
        <v>91.041141953689504</v>
      </c>
      <c r="AS345" s="168" t="str">
        <f t="shared" si="238"/>
        <v>0.000646644917140254-0.000309002394850967i</v>
      </c>
      <c r="AT345" s="190">
        <f t="shared" si="239"/>
        <v>-62.893478179573144</v>
      </c>
      <c r="AU345" s="169">
        <f t="shared" si="240"/>
        <v>-25.541028423736083</v>
      </c>
      <c r="AV345" s="225"/>
      <c r="AX345">
        <f t="shared" si="241"/>
        <v>0</v>
      </c>
      <c r="AY345">
        <f t="shared" si="242"/>
        <v>0</v>
      </c>
    </row>
    <row r="346" spans="14:51" x14ac:dyDescent="0.3">
      <c r="N346" s="170">
        <v>28</v>
      </c>
      <c r="O346" s="199">
        <f t="shared" si="208"/>
        <v>19054.607179632505</v>
      </c>
      <c r="P346" s="189" t="str">
        <f t="shared" si="209"/>
        <v>20.7142857142857</v>
      </c>
      <c r="Q346" s="160" t="str">
        <f t="shared" si="210"/>
        <v>1+27.3654006548905i</v>
      </c>
      <c r="R346" s="160">
        <f t="shared" si="218"/>
        <v>27.383665806511029</v>
      </c>
      <c r="S346" s="160">
        <f t="shared" si="219"/>
        <v>1.5342700851025401</v>
      </c>
      <c r="T346" s="160" t="str">
        <f t="shared" si="211"/>
        <v>1+0.00239447255730292i</v>
      </c>
      <c r="U346" s="160">
        <f t="shared" si="220"/>
        <v>1.0000028667453047</v>
      </c>
      <c r="V346" s="160">
        <f t="shared" si="221"/>
        <v>2.3944679810834622E-3</v>
      </c>
      <c r="W346" s="98" t="str">
        <f t="shared" si="212"/>
        <v>1-0.628549046292015i</v>
      </c>
      <c r="X346" s="160">
        <f t="shared" si="222"/>
        <v>1.1811324665737546</v>
      </c>
      <c r="Y346" s="160">
        <f t="shared" si="223"/>
        <v>-0.56114736865536152</v>
      </c>
      <c r="Z346" s="98" t="str">
        <f t="shared" si="213"/>
        <v>0.969718892035603-0.0469005353466003i</v>
      </c>
      <c r="AA346" s="160">
        <f t="shared" si="224"/>
        <v>0.97085240370849124</v>
      </c>
      <c r="AB346" s="160">
        <f t="shared" si="225"/>
        <v>-4.8327424940342589E-2</v>
      </c>
      <c r="AC346" s="171" t="str">
        <f t="shared" si="226"/>
        <v>-0.419983175072852-0.818870592537735i</v>
      </c>
      <c r="AD346" s="190">
        <f t="shared" si="227"/>
        <v>-0.72149963089465308</v>
      </c>
      <c r="AE346" s="169">
        <f t="shared" si="228"/>
        <v>-117.1524260250649</v>
      </c>
      <c r="AF346" s="98" t="str">
        <f t="shared" si="214"/>
        <v>-0.0000897803247373448</v>
      </c>
      <c r="AG346" s="98" t="str">
        <f t="shared" si="215"/>
        <v>0.239447255730291i</v>
      </c>
      <c r="AH346" s="98">
        <f t="shared" si="229"/>
        <v>0.23944725573029099</v>
      </c>
      <c r="AI346" s="98">
        <f t="shared" si="230"/>
        <v>1.5707963267948966</v>
      </c>
      <c r="AJ346" s="98" t="str">
        <f t="shared" si="216"/>
        <v>1+28.1350525483093i</v>
      </c>
      <c r="AK346" s="98">
        <f t="shared" si="231"/>
        <v>28.152818365061172</v>
      </c>
      <c r="AL346" s="98">
        <f t="shared" si="232"/>
        <v>1.5352684307983859</v>
      </c>
      <c r="AM346" s="98" t="str">
        <f t="shared" si="217"/>
        <v>1+56.2701050966188i</v>
      </c>
      <c r="AN346" s="98">
        <f t="shared" si="233"/>
        <v>56.278990108072527</v>
      </c>
      <c r="AO346" s="98">
        <f t="shared" si="234"/>
        <v>1.5530267714741448</v>
      </c>
      <c r="AP346" s="168" t="str">
        <f t="shared" si="235"/>
        <v>-0.0000133099149936929+0.00074942338785678i</v>
      </c>
      <c r="AQ346" s="98">
        <f t="shared" si="236"/>
        <v>-62.504085495824519</v>
      </c>
      <c r="AR346" s="169">
        <f t="shared" si="237"/>
        <v>91.017477971876474</v>
      </c>
      <c r="AS346" s="168" t="str">
        <f t="shared" si="238"/>
        <v>0.000619270714034919-0.000303846115928432i</v>
      </c>
      <c r="AT346" s="190">
        <f t="shared" si="239"/>
        <v>-63.225585126719174</v>
      </c>
      <c r="AU346" s="169">
        <f t="shared" si="240"/>
        <v>-26.134948053188452</v>
      </c>
      <c r="AV346" s="225"/>
      <c r="AX346">
        <f t="shared" si="241"/>
        <v>0</v>
      </c>
      <c r="AY346">
        <f t="shared" si="242"/>
        <v>0</v>
      </c>
    </row>
    <row r="347" spans="14:51" x14ac:dyDescent="0.3">
      <c r="N347" s="170">
        <v>29</v>
      </c>
      <c r="O347" s="199">
        <f t="shared" si="208"/>
        <v>19498.445997580486</v>
      </c>
      <c r="P347" s="189" t="str">
        <f t="shared" si="209"/>
        <v>20.7142857142857</v>
      </c>
      <c r="Q347" s="160" t="str">
        <f t="shared" si="210"/>
        <v>1+28.0028227211045i</v>
      </c>
      <c r="R347" s="160">
        <f t="shared" si="218"/>
        <v>28.020672375044935</v>
      </c>
      <c r="S347" s="160">
        <f t="shared" si="219"/>
        <v>1.5351008095766336</v>
      </c>
      <c r="T347" s="160" t="str">
        <f t="shared" si="211"/>
        <v>1+0.00245024698809664i</v>
      </c>
      <c r="U347" s="160">
        <f t="shared" si="220"/>
        <v>1.0000030018506458</v>
      </c>
      <c r="V347" s="160">
        <f t="shared" si="221"/>
        <v>2.4502420845899414E-3</v>
      </c>
      <c r="W347" s="98" t="str">
        <f t="shared" si="212"/>
        <v>1-0.643189834375366i</v>
      </c>
      <c r="X347" s="160">
        <f t="shared" si="222"/>
        <v>1.1889882939052894</v>
      </c>
      <c r="Y347" s="160">
        <f t="shared" si="223"/>
        <v>-0.57157285048284867</v>
      </c>
      <c r="Z347" s="98" t="str">
        <f t="shared" si="213"/>
        <v>0.968291787383869-0.0479929891543916i</v>
      </c>
      <c r="AA347" s="160">
        <f t="shared" si="224"/>
        <v>0.96948043431676412</v>
      </c>
      <c r="AB347" s="160">
        <f t="shared" si="225"/>
        <v>-4.9524065952162279E-2</v>
      </c>
      <c r="AC347" s="171" t="str">
        <f t="shared" si="226"/>
        <v>-0.421799501933193-0.802538174218158i</v>
      </c>
      <c r="AD347" s="190">
        <f t="shared" si="227"/>
        <v>-0.85137512543128202</v>
      </c>
      <c r="AE347" s="169">
        <f t="shared" si="228"/>
        <v>-117.7256010391674</v>
      </c>
      <c r="AF347" s="98" t="str">
        <f t="shared" si="214"/>
        <v>-0.0000897803247373448</v>
      </c>
      <c r="AG347" s="98" t="str">
        <f t="shared" si="215"/>
        <v>0.245024698809665i</v>
      </c>
      <c r="AH347" s="98">
        <f t="shared" si="229"/>
        <v>0.24502469880966499</v>
      </c>
      <c r="AI347" s="98">
        <f t="shared" si="230"/>
        <v>1.5707963267948966</v>
      </c>
      <c r="AJ347" s="98" t="str">
        <f t="shared" si="216"/>
        <v>1+28.7904021101355i</v>
      </c>
      <c r="AK347" s="98">
        <f t="shared" si="231"/>
        <v>28.807763774081714</v>
      </c>
      <c r="AL347" s="98">
        <f t="shared" si="232"/>
        <v>1.5360764871254842</v>
      </c>
      <c r="AM347" s="98" t="str">
        <f t="shared" si="217"/>
        <v>1+57.5808042202712i</v>
      </c>
      <c r="AN347" s="98">
        <f t="shared" si="233"/>
        <v>57.589487015020389</v>
      </c>
      <c r="AO347" s="98">
        <f t="shared" si="234"/>
        <v>1.553431173679402</v>
      </c>
      <c r="AP347" s="168" t="str">
        <f t="shared" si="235"/>
        <v>-0.0000127115919783943+0.000732385210898966i</v>
      </c>
      <c r="AQ347" s="98">
        <f t="shared" si="236"/>
        <v>-62.70390058422467</v>
      </c>
      <c r="AR347" s="169">
        <f t="shared" si="237"/>
        <v>90.994350294311914</v>
      </c>
      <c r="AS347" s="168" t="str">
        <f t="shared" si="238"/>
        <v>0.000593128833144502-0.000298718179362674i</v>
      </c>
      <c r="AT347" s="190">
        <f t="shared" si="239"/>
        <v>-63.555275709655945</v>
      </c>
      <c r="AU347" s="169">
        <f t="shared" si="240"/>
        <v>-26.73125074485549</v>
      </c>
      <c r="AV347" s="225"/>
      <c r="AX347">
        <f t="shared" si="241"/>
        <v>0</v>
      </c>
      <c r="AY347">
        <f t="shared" si="242"/>
        <v>0</v>
      </c>
    </row>
    <row r="348" spans="14:51" x14ac:dyDescent="0.3">
      <c r="N348" s="170">
        <v>30</v>
      </c>
      <c r="O348" s="199">
        <f t="shared" si="208"/>
        <v>19952.623149688792</v>
      </c>
      <c r="P348" s="189" t="str">
        <f t="shared" si="209"/>
        <v>20.7142857142857</v>
      </c>
      <c r="Q348" s="160" t="str">
        <f t="shared" si="210"/>
        <v>1+28.6550922545865i</v>
      </c>
      <c r="R348" s="160">
        <f t="shared" si="218"/>
        <v>28.672535850860196</v>
      </c>
      <c r="S348" s="160">
        <f t="shared" si="219"/>
        <v>1.5359126720822467</v>
      </c>
      <c r="T348" s="160" t="str">
        <f t="shared" si="211"/>
        <v>1+0.00250732057227632i</v>
      </c>
      <c r="U348" s="160">
        <f t="shared" si="220"/>
        <v>1.0000031433232859</v>
      </c>
      <c r="V348" s="160">
        <f t="shared" si="221"/>
        <v>2.5073153180751209E-3</v>
      </c>
      <c r="W348" s="98" t="str">
        <f t="shared" si="212"/>
        <v>1-0.658171650222532i</v>
      </c>
      <c r="X348" s="160">
        <f t="shared" si="222"/>
        <v>1.197159104361927</v>
      </c>
      <c r="Y348" s="160">
        <f t="shared" si="223"/>
        <v>-0.58209835742521299</v>
      </c>
      <c r="Z348" s="98" t="str">
        <f t="shared" si="213"/>
        <v>0.966797425361982-0.0491108894802953i</v>
      </c>
      <c r="AA348" s="160">
        <f t="shared" si="224"/>
        <v>0.96804397686887278</v>
      </c>
      <c r="AB348" s="160">
        <f t="shared" si="225"/>
        <v>-5.0753872314289523E-2</v>
      </c>
      <c r="AC348" s="171" t="str">
        <f t="shared" si="226"/>
        <v>-0.423586000213615-0.786636825449692i</v>
      </c>
      <c r="AD348" s="190">
        <f t="shared" si="227"/>
        <v>-0.97875983106856812</v>
      </c>
      <c r="AE348" s="169">
        <f t="shared" si="228"/>
        <v>-118.30145168974705</v>
      </c>
      <c r="AF348" s="98" t="str">
        <f t="shared" si="214"/>
        <v>-0.0000897803247373448</v>
      </c>
      <c r="AG348" s="98" t="str">
        <f t="shared" si="215"/>
        <v>0.250732057227632i</v>
      </c>
      <c r="AH348" s="98">
        <f t="shared" si="229"/>
        <v>0.25073205722763198</v>
      </c>
      <c r="AI348" s="98">
        <f t="shared" si="230"/>
        <v>1.5707963267948966</v>
      </c>
      <c r="AJ348" s="98" t="str">
        <f t="shared" si="216"/>
        <v>1+29.4610167242468i</v>
      </c>
      <c r="AK348" s="98">
        <f t="shared" si="231"/>
        <v>29.477983418584614</v>
      </c>
      <c r="AL348" s="98">
        <f t="shared" si="232"/>
        <v>1.5368661936773274</v>
      </c>
      <c r="AM348" s="98" t="str">
        <f t="shared" si="217"/>
        <v>1+58.9220334484937i</v>
      </c>
      <c r="AN348" s="98">
        <f t="shared" si="233"/>
        <v>58.930518627493932</v>
      </c>
      <c r="AO348" s="98">
        <f t="shared" si="234"/>
        <v>1.5538263760555855</v>
      </c>
      <c r="AP348" s="168" t="str">
        <f t="shared" si="235"/>
        <v>-0.0000121401344938369+0.000715733485240787i</v>
      </c>
      <c r="AQ348" s="98">
        <f t="shared" si="236"/>
        <v>-62.903723982761768</v>
      </c>
      <c r="AR348" s="169">
        <f t="shared" si="237"/>
        <v>90.971746870046346</v>
      </c>
      <c r="AS348" s="168" t="str">
        <f t="shared" si="238"/>
        <v>0.000568164707710156-0.000293624807373331i</v>
      </c>
      <c r="AT348" s="190">
        <f t="shared" si="239"/>
        <v>-63.882483813830333</v>
      </c>
      <c r="AU348" s="169">
        <f t="shared" si="240"/>
        <v>-27.329704819700709</v>
      </c>
      <c r="AV348" s="225"/>
      <c r="AX348">
        <f t="shared" si="241"/>
        <v>0</v>
      </c>
      <c r="AY348">
        <f t="shared" si="242"/>
        <v>0</v>
      </c>
    </row>
    <row r="349" spans="14:51" x14ac:dyDescent="0.3">
      <c r="N349" s="170">
        <v>31</v>
      </c>
      <c r="O349" s="199">
        <f t="shared" si="208"/>
        <v>20417.379446695286</v>
      </c>
      <c r="P349" s="189" t="str">
        <f t="shared" si="209"/>
        <v>20.7142857142857</v>
      </c>
      <c r="Q349" s="160" t="str">
        <f t="shared" si="210"/>
        <v>1+29.3225550972768i</v>
      </c>
      <c r="R349" s="160">
        <f t="shared" si="218"/>
        <v>29.339601862207225</v>
      </c>
      <c r="S349" s="160">
        <f t="shared" si="219"/>
        <v>1.5367060987962571</v>
      </c>
      <c r="T349" s="160" t="str">
        <f t="shared" si="211"/>
        <v>1+0.00256572357101172i</v>
      </c>
      <c r="U349" s="160">
        <f t="shared" si="220"/>
        <v>1.0000032914633046</v>
      </c>
      <c r="V349" s="160">
        <f t="shared" si="221"/>
        <v>2.5657179410347023E-3</v>
      </c>
      <c r="W349" s="98" t="str">
        <f t="shared" si="212"/>
        <v>1-0.673502437390575i</v>
      </c>
      <c r="X349" s="160">
        <f t="shared" si="222"/>
        <v>1.2056556445233628</v>
      </c>
      <c r="Y349" s="160">
        <f t="shared" si="223"/>
        <v>-0.59272014139972773</v>
      </c>
      <c r="Z349" s="98" t="str">
        <f t="shared" si="213"/>
        <v>0.965232636227741-0.0502548290498606i</v>
      </c>
      <c r="AA349" s="160">
        <f t="shared" si="224"/>
        <v>0.96654000945743856</v>
      </c>
      <c r="AB349" s="160">
        <f t="shared" si="225"/>
        <v>-5.2018022630032835E-2</v>
      </c>
      <c r="AC349" s="171" t="str">
        <f t="shared" si="226"/>
        <v>-0.425346619864523-0.771159131903101i</v>
      </c>
      <c r="AD349" s="190">
        <f t="shared" si="227"/>
        <v>-1.103587538376908</v>
      </c>
      <c r="AE349" s="169">
        <f t="shared" si="228"/>
        <v>-118.87971838288183</v>
      </c>
      <c r="AF349" s="98" t="str">
        <f t="shared" si="214"/>
        <v>-0.0000897803247373448</v>
      </c>
      <c r="AG349" s="98" t="str">
        <f t="shared" si="215"/>
        <v>0.256572357101173i</v>
      </c>
      <c r="AH349" s="98">
        <f t="shared" si="229"/>
        <v>0.25657235710117299</v>
      </c>
      <c r="AI349" s="98">
        <f t="shared" si="230"/>
        <v>1.5707963267948966</v>
      </c>
      <c r="AJ349" s="98" t="str">
        <f t="shared" si="216"/>
        <v>1+30.1472519593877i</v>
      </c>
      <c r="AK349" s="98">
        <f t="shared" si="231"/>
        <v>30.163832659375455</v>
      </c>
      <c r="AL349" s="98">
        <f t="shared" si="232"/>
        <v>1.5376379652246117</v>
      </c>
      <c r="AM349" s="98" t="str">
        <f t="shared" si="217"/>
        <v>1+60.2945039187756i</v>
      </c>
      <c r="AN349" s="98">
        <f t="shared" si="233"/>
        <v>60.302795978389305</v>
      </c>
      <c r="AO349" s="98">
        <f t="shared" si="234"/>
        <v>1.5542125876501456</v>
      </c>
      <c r="AP349" s="168" t="str">
        <f t="shared" si="235"/>
        <v>-0.0000115943389646475+0.000699459506382805i</v>
      </c>
      <c r="AQ349" s="98">
        <f t="shared" si="236"/>
        <v>-63.103555318495168</v>
      </c>
      <c r="AR349" s="169">
        <f t="shared" si="237"/>
        <v>90.949655912005966</v>
      </c>
      <c r="AS349" s="168" t="str">
        <f t="shared" si="238"/>
        <v>0.000544326198631712-0.000288571656401066i</v>
      </c>
      <c r="AT349" s="190">
        <f t="shared" si="239"/>
        <v>-64.207142856872082</v>
      </c>
      <c r="AU349" s="169">
        <f t="shared" si="240"/>
        <v>-27.930062470875857</v>
      </c>
      <c r="AV349" s="225"/>
      <c r="AX349">
        <f t="shared" si="241"/>
        <v>0</v>
      </c>
      <c r="AY349">
        <f t="shared" si="242"/>
        <v>0</v>
      </c>
    </row>
    <row r="350" spans="14:51" x14ac:dyDescent="0.3">
      <c r="N350" s="170">
        <v>32</v>
      </c>
      <c r="O350" s="199">
        <f t="shared" si="208"/>
        <v>20892.961308540423</v>
      </c>
      <c r="P350" s="189" t="str">
        <f t="shared" si="209"/>
        <v>20.7142857142857</v>
      </c>
      <c r="Q350" s="160" t="str">
        <f t="shared" si="210"/>
        <v>1+30.0055651468098i</v>
      </c>
      <c r="R350" s="160">
        <f t="shared" si="218"/>
        <v>30.022224097815393</v>
      </c>
      <c r="S350" s="160">
        <f t="shared" si="219"/>
        <v>1.5374815064058664</v>
      </c>
      <c r="T350" s="160" t="str">
        <f t="shared" si="211"/>
        <v>1+0.00262548695034586i</v>
      </c>
      <c r="U350" s="160">
        <f t="shared" si="220"/>
        <v>1.0000034465849237</v>
      </c>
      <c r="V350" s="160">
        <f t="shared" si="221"/>
        <v>2.6254809177179207E-3</v>
      </c>
      <c r="W350" s="98" t="str">
        <f t="shared" si="212"/>
        <v>1-0.689190324465786i</v>
      </c>
      <c r="X350" s="160">
        <f t="shared" si="222"/>
        <v>1.2144889062223891</v>
      </c>
      <c r="Y350" s="160">
        <f t="shared" si="223"/>
        <v>-0.60343424712643201</v>
      </c>
      <c r="Z350" s="98" t="str">
        <f t="shared" si="213"/>
        <v>0.963594100853596-0.0514254143949899i</v>
      </c>
      <c r="AA350" s="160">
        <f t="shared" si="224"/>
        <v>0.96496536955765755</v>
      </c>
      <c r="AB350" s="160">
        <f t="shared" si="225"/>
        <v>-5.331775555639414E-2</v>
      </c>
      <c r="AC350" s="171" t="str">
        <f t="shared" si="226"/>
        <v>-0.427085275619069-0.756097946614975i</v>
      </c>
      <c r="AD350" s="190">
        <f t="shared" si="227"/>
        <v>-1.2257915802069947</v>
      </c>
      <c r="AE350" s="169">
        <f t="shared" si="228"/>
        <v>-119.46012562820221</v>
      </c>
      <c r="AF350" s="98" t="str">
        <f t="shared" si="214"/>
        <v>-0.0000897803247373448</v>
      </c>
      <c r="AG350" s="98" t="str">
        <f t="shared" si="215"/>
        <v>0.262548695034586i</v>
      </c>
      <c r="AH350" s="98">
        <f t="shared" si="229"/>
        <v>0.262548695034586</v>
      </c>
      <c r="AI350" s="98">
        <f t="shared" si="230"/>
        <v>1.5707963267948966</v>
      </c>
      <c r="AJ350" s="98" t="str">
        <f t="shared" si="216"/>
        <v>1+30.8494716665639i</v>
      </c>
      <c r="AK350" s="98">
        <f t="shared" si="231"/>
        <v>30.86567514418126</v>
      </c>
      <c r="AL350" s="98">
        <f t="shared" si="232"/>
        <v>1.5383922072911962</v>
      </c>
      <c r="AM350" s="98" t="str">
        <f t="shared" si="217"/>
        <v>1+61.6989433331279i</v>
      </c>
      <c r="AN350" s="98">
        <f t="shared" si="233"/>
        <v>61.707046667495987</v>
      </c>
      <c r="AO350" s="98">
        <f t="shared" si="234"/>
        <v>1.5545900127764609</v>
      </c>
      <c r="AP350" s="168" t="str">
        <f t="shared" si="235"/>
        <v>-0.000011073055496145+0.000683554761835203i</v>
      </c>
      <c r="AQ350" s="98">
        <f t="shared" si="236"/>
        <v>-63.303394235174736</v>
      </c>
      <c r="AR350" s="169">
        <f t="shared" si="237"/>
        <v>90.928065891679523</v>
      </c>
      <c r="AS350" s="168" t="str">
        <f t="shared" si="238"/>
        <v>0.000521563490781002-0.000283563859335726i</v>
      </c>
      <c r="AT350" s="190">
        <f t="shared" si="239"/>
        <v>-64.529185815381723</v>
      </c>
      <c r="AU350" s="169">
        <f t="shared" si="240"/>
        <v>-28.532059736522683</v>
      </c>
      <c r="AV350" s="225"/>
      <c r="AX350">
        <f t="shared" si="241"/>
        <v>0</v>
      </c>
      <c r="AY350">
        <f t="shared" si="242"/>
        <v>0</v>
      </c>
    </row>
    <row r="351" spans="14:51" x14ac:dyDescent="0.3">
      <c r="N351" s="170">
        <v>33</v>
      </c>
      <c r="O351" s="199">
        <f t="shared" si="208"/>
        <v>21379.620895022348</v>
      </c>
      <c r="P351" s="189" t="str">
        <f t="shared" si="209"/>
        <v>20.7142857142857</v>
      </c>
      <c r="Q351" s="160" t="str">
        <f t="shared" si="210"/>
        <v>1+30.7044845441541i</v>
      </c>
      <c r="R351" s="160">
        <f t="shared" si="218"/>
        <v>30.72076449442946</v>
      </c>
      <c r="S351" s="160">
        <f t="shared" si="219"/>
        <v>1.5382393023105676</v>
      </c>
      <c r="T351" s="160" t="str">
        <f t="shared" si="211"/>
        <v>1+0.00268664239761348i</v>
      </c>
      <c r="U351" s="160">
        <f t="shared" si="220"/>
        <v>1.0000036090171738</v>
      </c>
      <c r="V351" s="160">
        <f t="shared" si="221"/>
        <v>2.6866359335374415E-3</v>
      </c>
      <c r="W351" s="98" t="str">
        <f t="shared" si="212"/>
        <v>1-0.705243629373537i</v>
      </c>
      <c r="X351" s="160">
        <f t="shared" si="222"/>
        <v>1.2236701257985989</v>
      </c>
      <c r="Y351" s="160">
        <f t="shared" si="223"/>
        <v>-0.61423651620792763</v>
      </c>
      <c r="Z351" s="98" t="str">
        <f t="shared" si="213"/>
        <v>0.961878343686339-0.0526232661755268i</v>
      </c>
      <c r="AA351" s="160">
        <f t="shared" si="224"/>
        <v>0.96331674759434927</v>
      </c>
      <c r="AB351" s="160">
        <f t="shared" si="225"/>
        <v>-5.4654374003397996E-2</v>
      </c>
      <c r="AC351" s="171" t="str">
        <f t="shared" si="226"/>
        <v>-0.428805856981531-0.741446392728367i</v>
      </c>
      <c r="AD351" s="190">
        <f t="shared" si="227"/>
        <v>-1.3453048534783709</v>
      </c>
      <c r="AE351" s="169">
        <f t="shared" si="228"/>
        <v>-120.04238204267304</v>
      </c>
      <c r="AF351" s="98" t="str">
        <f t="shared" si="214"/>
        <v>-0.0000897803247373448</v>
      </c>
      <c r="AG351" s="98" t="str">
        <f t="shared" si="215"/>
        <v>0.268664239761348i</v>
      </c>
      <c r="AH351" s="98">
        <f t="shared" si="229"/>
        <v>0.26866423976134801</v>
      </c>
      <c r="AI351" s="98">
        <f t="shared" si="230"/>
        <v>1.5707963267948966</v>
      </c>
      <c r="AJ351" s="98" t="str">
        <f t="shared" si="216"/>
        <v>1+31.5680481719584i</v>
      </c>
      <c r="AK351" s="98">
        <f t="shared" si="231"/>
        <v>31.583883000465377</v>
      </c>
      <c r="AL351" s="98">
        <f t="shared" si="232"/>
        <v>1.5391293163516524</v>
      </c>
      <c r="AM351" s="98" t="str">
        <f t="shared" si="217"/>
        <v>1+63.1360963439169i</v>
      </c>
      <c r="AN351" s="98">
        <f t="shared" si="233"/>
        <v>63.144015247277054</v>
      </c>
      <c r="AO351" s="98">
        <f t="shared" si="234"/>
        <v>1.5549588511199695</v>
      </c>
      <c r="AP351" s="168" t="str">
        <f t="shared" si="235"/>
        <v>-0.0000105751855011936+0.000668010927153455i</v>
      </c>
      <c r="AQ351" s="98">
        <f t="shared" si="236"/>
        <v>-63.503240392497808</v>
      </c>
      <c r="AR351" s="169">
        <f t="shared" si="237"/>
        <v>90.906965533880168</v>
      </c>
      <c r="AS351" s="168" t="str">
        <f t="shared" si="238"/>
        <v>0.000499828993722639-0.000278606064948771i</v>
      </c>
      <c r="AT351" s="190">
        <f t="shared" si="239"/>
        <v>-64.848545245976183</v>
      </c>
      <c r="AU351" s="169">
        <f t="shared" si="240"/>
        <v>-29.135416508792872</v>
      </c>
      <c r="AV351" s="225"/>
      <c r="AX351">
        <f t="shared" si="241"/>
        <v>0</v>
      </c>
      <c r="AY351">
        <f t="shared" si="242"/>
        <v>0</v>
      </c>
    </row>
    <row r="352" spans="14:51" x14ac:dyDescent="0.3">
      <c r="N352" s="170">
        <v>34</v>
      </c>
      <c r="O352" s="199">
        <f t="shared" si="208"/>
        <v>21877.61623949555</v>
      </c>
      <c r="P352" s="189" t="str">
        <f t="shared" si="209"/>
        <v>20.7142857142857</v>
      </c>
      <c r="Q352" s="160" t="str">
        <f t="shared" si="210"/>
        <v>1+31.4196838656256i</v>
      </c>
      <c r="R352" s="160">
        <f t="shared" si="218"/>
        <v>31.435593428721109</v>
      </c>
      <c r="S352" s="160">
        <f t="shared" si="219"/>
        <v>1.5389798848204475</v>
      </c>
      <c r="T352" s="160" t="str">
        <f t="shared" si="211"/>
        <v>1+0.00274922233824224i</v>
      </c>
      <c r="U352" s="160">
        <f t="shared" si="220"/>
        <v>1.0000037791045917</v>
      </c>
      <c r="V352" s="160">
        <f t="shared" si="221"/>
        <v>2.7492154118613885E-3</v>
      </c>
      <c r="W352" s="98" t="str">
        <f t="shared" si="212"/>
        <v>1-0.721670863788586i</v>
      </c>
      <c r="X352" s="160">
        <f t="shared" si="222"/>
        <v>1.2332107831353745</v>
      </c>
      <c r="Y352" s="160">
        <f t="shared" si="223"/>
        <v>-0.62512259219267374</v>
      </c>
      <c r="Z352" s="98" t="str">
        <f t="shared" si="213"/>
        <v>0.960081725374981-0.0538490195083415i</v>
      </c>
      <c r="AA352" s="160">
        <f t="shared" si="224"/>
        <v>0.96159068022782457</v>
      </c>
      <c r="AB352" s="160">
        <f t="shared" si="225"/>
        <v>-5.6029249695244462E-2</v>
      </c>
      <c r="AC352" s="171" t="str">
        <f t="shared" si="226"/>
        <v>-0.430512238366141-0.727197866815122i</v>
      </c>
      <c r="AD352" s="190">
        <f t="shared" si="227"/>
        <v>-1.4620598340293276</v>
      </c>
      <c r="AE352" s="169">
        <f t="shared" si="228"/>
        <v>-120.62618038976501</v>
      </c>
      <c r="AF352" s="98" t="str">
        <f t="shared" si="214"/>
        <v>-0.0000897803247373448</v>
      </c>
      <c r="AG352" s="98" t="str">
        <f t="shared" si="215"/>
        <v>0.274922233824224i</v>
      </c>
      <c r="AH352" s="98">
        <f t="shared" si="229"/>
        <v>0.27492223382422398</v>
      </c>
      <c r="AI352" s="98">
        <f t="shared" si="230"/>
        <v>1.5707963267948966</v>
      </c>
      <c r="AJ352" s="98" t="str">
        <f t="shared" si="216"/>
        <v>1+32.3033624743463i</v>
      </c>
      <c r="AK352" s="98">
        <f t="shared" si="231"/>
        <v>32.318837032743069</v>
      </c>
      <c r="AL352" s="98">
        <f t="shared" si="232"/>
        <v>1.5398496800251833</v>
      </c>
      <c r="AM352" s="98" t="str">
        <f t="shared" si="217"/>
        <v>1+64.6067249486928i</v>
      </c>
      <c r="AN352" s="98">
        <f t="shared" si="233"/>
        <v>64.614463617645583</v>
      </c>
      <c r="AO352" s="98">
        <f t="shared" si="234"/>
        <v>1.5553192978419936</v>
      </c>
      <c r="AP352" s="168" t="str">
        <f t="shared" si="235"/>
        <v>-0.00001009967943011+0.000652819862037372i</v>
      </c>
      <c r="AQ352" s="98">
        <f t="shared" si="236"/>
        <v>-63.703093465399263</v>
      </c>
      <c r="AR352" s="169">
        <f t="shared" si="237"/>
        <v>90.886343811583615</v>
      </c>
      <c r="AS352" s="168" t="str">
        <f t="shared" si="238"/>
        <v>0.000479077246686356-0.000273702474718492i</v>
      </c>
      <c r="AT352" s="190">
        <f t="shared" si="239"/>
        <v>-65.165153299428596</v>
      </c>
      <c r="AU352" s="169">
        <f t="shared" si="240"/>
        <v>-29.739836578181404</v>
      </c>
      <c r="AV352" s="225"/>
      <c r="AX352">
        <f t="shared" si="241"/>
        <v>0</v>
      </c>
      <c r="AY352">
        <f t="shared" si="242"/>
        <v>0</v>
      </c>
    </row>
    <row r="353" spans="14:51" x14ac:dyDescent="0.3">
      <c r="N353" s="170">
        <v>35</v>
      </c>
      <c r="O353" s="199">
        <f t="shared" si="208"/>
        <v>22387.211385683382</v>
      </c>
      <c r="P353" s="189" t="str">
        <f t="shared" si="209"/>
        <v>20.7142857142857</v>
      </c>
      <c r="Q353" s="160" t="str">
        <f t="shared" si="210"/>
        <v>1+32.1515423193712i</v>
      </c>
      <c r="R353" s="160">
        <f t="shared" si="218"/>
        <v>32.167089913672903</v>
      </c>
      <c r="S353" s="160">
        <f t="shared" si="219"/>
        <v>1.5397036433508438</v>
      </c>
      <c r="T353" s="160" t="str">
        <f t="shared" si="211"/>
        <v>1+0.00281325995294498i</v>
      </c>
      <c r="U353" s="160">
        <f t="shared" si="220"/>
        <v>1.0000039572079515</v>
      </c>
      <c r="V353" s="160">
        <f t="shared" si="221"/>
        <v>2.813252531195768E-3</v>
      </c>
      <c r="W353" s="98" t="str">
        <f t="shared" si="212"/>
        <v>1-0.738480737648055i</v>
      </c>
      <c r="X353" s="160">
        <f t="shared" si="222"/>
        <v>1.2431226005013405</v>
      </c>
      <c r="Y353" s="160">
        <f t="shared" si="223"/>
        <v>-0.63608792663066427</v>
      </c>
      <c r="Z353" s="98" t="str">
        <f t="shared" si="213"/>
        <v>0.958200435051207-0.0551033243040752i</v>
      </c>
      <c r="AA353" s="160">
        <f t="shared" si="224"/>
        <v>0.95978354334802096</v>
      </c>
      <c r="AB353" s="160">
        <f t="shared" si="225"/>
        <v>-5.7443828129586955E-2</v>
      </c>
      <c r="AC353" s="171" t="str">
        <f t="shared" si="226"/>
        <v>-0.43220828942719-0.713346042843538i</v>
      </c>
      <c r="AD353" s="190">
        <f t="shared" si="227"/>
        <v>-1.5759885832925504</v>
      </c>
      <c r="AE353" s="169">
        <f t="shared" si="228"/>
        <v>-121.21119765244143</v>
      </c>
      <c r="AF353" s="98" t="str">
        <f t="shared" si="214"/>
        <v>-0.0000897803247373448</v>
      </c>
      <c r="AG353" s="98" t="str">
        <f t="shared" si="215"/>
        <v>0.281325995294499i</v>
      </c>
      <c r="AH353" s="98">
        <f t="shared" si="229"/>
        <v>0.28132599529449898</v>
      </c>
      <c r="AI353" s="98">
        <f t="shared" si="230"/>
        <v>1.5707963267948966</v>
      </c>
      <c r="AJ353" s="98" t="str">
        <f t="shared" si="216"/>
        <v>1+33.0558044471035i</v>
      </c>
      <c r="AK353" s="98">
        <f t="shared" si="231"/>
        <v>33.070926924492866</v>
      </c>
      <c r="AL353" s="98">
        <f t="shared" si="232"/>
        <v>1.5405536772659219</v>
      </c>
      <c r="AM353" s="98" t="str">
        <f t="shared" si="217"/>
        <v>1+66.1116088942072i</v>
      </c>
      <c r="AN353" s="98">
        <f t="shared" si="233"/>
        <v>66.119171429931086</v>
      </c>
      <c r="AO353" s="98">
        <f t="shared" si="234"/>
        <v>1.5556715436813022</v>
      </c>
      <c r="AP353" s="168" t="str">
        <f t="shared" si="235"/>
        <v>-9.64553459931785E-06+0.000637973606493929i</v>
      </c>
      <c r="AQ353" s="98">
        <f t="shared" si="236"/>
        <v>-63.90295314337245</v>
      </c>
      <c r="AR353" s="169">
        <f t="shared" si="237"/>
        <v>90.866189940843853</v>
      </c>
      <c r="AS353" s="168" t="str">
        <f t="shared" si="238"/>
        <v>0.000459264827640847-0.000268856877224902i</v>
      </c>
      <c r="AT353" s="190">
        <f t="shared" si="239"/>
        <v>-65.478941726665013</v>
      </c>
      <c r="AU353" s="169">
        <f t="shared" si="240"/>
        <v>-30.3450077115975</v>
      </c>
      <c r="AV353" s="225"/>
      <c r="AX353">
        <f t="shared" si="241"/>
        <v>0</v>
      </c>
      <c r="AY353">
        <f t="shared" si="242"/>
        <v>0</v>
      </c>
    </row>
    <row r="354" spans="14:51" x14ac:dyDescent="0.3">
      <c r="N354" s="170">
        <v>36</v>
      </c>
      <c r="O354" s="199">
        <f t="shared" si="208"/>
        <v>22908.676527677751</v>
      </c>
      <c r="P354" s="189" t="str">
        <f t="shared" si="209"/>
        <v>20.7142857142857</v>
      </c>
      <c r="Q354" s="160" t="str">
        <f t="shared" si="210"/>
        <v>1+32.9004479464309i</v>
      </c>
      <c r="R354" s="160">
        <f t="shared" si="218"/>
        <v>32.915641799542797</v>
      </c>
      <c r="S354" s="160">
        <f t="shared" si="219"/>
        <v>1.5404109586133847</v>
      </c>
      <c r="T354" s="160" t="str">
        <f t="shared" si="211"/>
        <v>1+0.0028787891953127i</v>
      </c>
      <c r="U354" s="160">
        <f t="shared" si="220"/>
        <v>1.0000041437050304</v>
      </c>
      <c r="V354" s="160">
        <f t="shared" si="221"/>
        <v>2.8787812427669207E-3</v>
      </c>
      <c r="W354" s="98" t="str">
        <f t="shared" si="212"/>
        <v>1-0.755682163769582i</v>
      </c>
      <c r="X354" s="160">
        <f t="shared" si="222"/>
        <v>1.2534175412205932</v>
      </c>
      <c r="Y354" s="160">
        <f t="shared" si="223"/>
        <v>-0.64712778612228838</v>
      </c>
      <c r="Z354" s="98" t="str">
        <f t="shared" si="213"/>
        <v>0.95623048224601-0.0563868456117343i</v>
      </c>
      <c r="AA354" s="160">
        <f t="shared" si="224"/>
        <v>0.95789154476614868</v>
      </c>
      <c r="AB354" s="160">
        <f t="shared" si="225"/>
        <v>-5.8899633975443663E-2</v>
      </c>
      <c r="AC354" s="171" t="str">
        <f t="shared" si="226"/>
        <v>-0.433897885624121-0.699884876861727i</v>
      </c>
      <c r="AD354" s="190">
        <f t="shared" si="227"/>
        <v>-1.6870227454945486</v>
      </c>
      <c r="AE354" s="169">
        <f t="shared" si="228"/>
        <v>-121.79709513768987</v>
      </c>
      <c r="AF354" s="98" t="str">
        <f t="shared" si="214"/>
        <v>-0.0000897803247373448</v>
      </c>
      <c r="AG354" s="98" t="str">
        <f t="shared" si="215"/>
        <v>0.287878919531269i</v>
      </c>
      <c r="AH354" s="98">
        <f t="shared" si="229"/>
        <v>0.28787891953126898</v>
      </c>
      <c r="AI354" s="98">
        <f t="shared" si="230"/>
        <v>1.5707963267948966</v>
      </c>
      <c r="AJ354" s="98" t="str">
        <f t="shared" si="216"/>
        <v>1+33.8257730449242i</v>
      </c>
      <c r="AK354" s="98">
        <f t="shared" si="231"/>
        <v>33.840551444778797</v>
      </c>
      <c r="AL354" s="98">
        <f t="shared" si="232"/>
        <v>1.5412416785496514</v>
      </c>
      <c r="AM354" s="98" t="str">
        <f t="shared" si="217"/>
        <v>1+67.6515460898486i</v>
      </c>
      <c r="AN354" s="98">
        <f t="shared" si="233"/>
        <v>67.658936500265128</v>
      </c>
      <c r="AO354" s="98">
        <f t="shared" si="234"/>
        <v>1.556015775053456</v>
      </c>
      <c r="AP354" s="168" t="str">
        <f t="shared" si="235"/>
        <v>-9.21179311460185E-06+0.000623464377063989i</v>
      </c>
      <c r="AQ354" s="98">
        <f t="shared" si="236"/>
        <v>-64.102819129820304</v>
      </c>
      <c r="AR354" s="169">
        <f t="shared" si="237"/>
        <v>90.846493375787006</v>
      </c>
      <c r="AS354" s="168" t="str">
        <f t="shared" si="238"/>
        <v>0.000440350266324336-0.000264072680280336i</v>
      </c>
      <c r="AT354" s="190">
        <f t="shared" si="239"/>
        <v>-65.789841875314863</v>
      </c>
      <c r="AU354" s="169">
        <f t="shared" si="240"/>
        <v>-30.950601761902909</v>
      </c>
      <c r="AV354" s="225"/>
      <c r="AX354">
        <f t="shared" si="241"/>
        <v>0</v>
      </c>
      <c r="AY354">
        <f t="shared" si="242"/>
        <v>0</v>
      </c>
    </row>
    <row r="355" spans="14:51" x14ac:dyDescent="0.3">
      <c r="N355" s="170">
        <v>37</v>
      </c>
      <c r="O355" s="199">
        <f t="shared" si="208"/>
        <v>23442.288153199243</v>
      </c>
      <c r="P355" s="189" t="str">
        <f t="shared" si="209"/>
        <v>20.7142857142857</v>
      </c>
      <c r="Q355" s="160" t="str">
        <f t="shared" si="210"/>
        <v>1+33.6667978264805i</v>
      </c>
      <c r="R355" s="160">
        <f t="shared" si="218"/>
        <v>33.681645979511039</v>
      </c>
      <c r="S355" s="160">
        <f t="shared" si="219"/>
        <v>1.5411022028034356</v>
      </c>
      <c r="T355" s="160" t="str">
        <f t="shared" si="211"/>
        <v>1+0.00294584480981704i</v>
      </c>
      <c r="U355" s="160">
        <f t="shared" si="220"/>
        <v>1.0000043389914084</v>
      </c>
      <c r="V355" s="160">
        <f t="shared" si="221"/>
        <v>2.9458362885127079E-3</v>
      </c>
      <c r="W355" s="98" t="str">
        <f t="shared" si="212"/>
        <v>1-0.773284262576971i</v>
      </c>
      <c r="X355" s="160">
        <f t="shared" si="222"/>
        <v>1.2641078081988142</v>
      </c>
      <c r="Y355" s="160">
        <f t="shared" si="223"/>
        <v>-0.65823726035233454</v>
      </c>
      <c r="Z355" s="98" t="str">
        <f t="shared" si="213"/>
        <v>0.954167688425376-0.0577002639713045i</v>
      </c>
      <c r="AA355" s="160">
        <f t="shared" si="224"/>
        <v>0.9559107165930214</v>
      </c>
      <c r="AB355" s="160">
        <f t="shared" si="225"/>
        <v>-6.0398276954950494E-2</v>
      </c>
      <c r="AC355" s="171" t="str">
        <f t="shared" si="226"/>
        <v>-0.435584919068315-0.686808612475328i</v>
      </c>
      <c r="AD355" s="190">
        <f t="shared" si="227"/>
        <v>-1.7950935340094933</v>
      </c>
      <c r="AE355" s="169">
        <f t="shared" si="228"/>
        <v>-122.38351860954464</v>
      </c>
      <c r="AF355" s="98" t="str">
        <f t="shared" si="214"/>
        <v>-0.0000897803247373448</v>
      </c>
      <c r="AG355" s="98" t="str">
        <f t="shared" si="215"/>
        <v>0.294584480981703i</v>
      </c>
      <c r="AH355" s="98">
        <f t="shared" si="229"/>
        <v>0.29458448098170298</v>
      </c>
      <c r="AI355" s="98">
        <f t="shared" si="230"/>
        <v>1.5707963267948966</v>
      </c>
      <c r="AJ355" s="98" t="str">
        <f t="shared" si="216"/>
        <v>1+34.6136765153502i</v>
      </c>
      <c r="AK355" s="98">
        <f t="shared" si="231"/>
        <v>34.62811865968618</v>
      </c>
      <c r="AL355" s="98">
        <f t="shared" si="232"/>
        <v>1.5419140460569678</v>
      </c>
      <c r="AM355" s="98" t="str">
        <f t="shared" si="217"/>
        <v>1+69.2273530307006i</v>
      </c>
      <c r="AN355" s="98">
        <f t="shared" si="233"/>
        <v>69.234575232590629</v>
      </c>
      <c r="AO355" s="98">
        <f t="shared" si="234"/>
        <v>1.5563521741479796</v>
      </c>
      <c r="AP355" s="168" t="str">
        <f t="shared" si="235"/>
        <v>-8.79753988497846E-06+0.000609284563113038i</v>
      </c>
      <c r="AQ355" s="98">
        <f t="shared" si="236"/>
        <v>-64.302691141435076</v>
      </c>
      <c r="AR355" s="169">
        <f t="shared" si="237"/>
        <v>90.82724380368424</v>
      </c>
      <c r="AS355" s="168" t="str">
        <f t="shared" si="238"/>
        <v>0.000422293961093101-0.000259352940951568i</v>
      </c>
      <c r="AT355" s="190">
        <f t="shared" si="239"/>
        <v>-66.097784675444572</v>
      </c>
      <c r="AU355" s="169">
        <f t="shared" si="240"/>
        <v>-31.556274805860372</v>
      </c>
      <c r="AV355" s="225"/>
      <c r="AX355">
        <f t="shared" si="241"/>
        <v>0</v>
      </c>
      <c r="AY355">
        <f t="shared" si="242"/>
        <v>0</v>
      </c>
    </row>
    <row r="356" spans="14:51" x14ac:dyDescent="0.3">
      <c r="N356" s="170">
        <v>38</v>
      </c>
      <c r="O356" s="199">
        <f t="shared" si="208"/>
        <v>23988.329190194923</v>
      </c>
      <c r="P356" s="189" t="str">
        <f t="shared" si="209"/>
        <v>20.7142857142857</v>
      </c>
      <c r="Q356" s="160" t="str">
        <f t="shared" si="210"/>
        <v>1+34.4509982883703i</v>
      </c>
      <c r="R356" s="160">
        <f t="shared" si="218"/>
        <v>34.465508600125048</v>
      </c>
      <c r="S356" s="160">
        <f t="shared" si="219"/>
        <v>1.5417777397839898</v>
      </c>
      <c r="T356" s="160" t="str">
        <f t="shared" si="211"/>
        <v>1+0.0030144623502324i</v>
      </c>
      <c r="U356" s="160">
        <f t="shared" si="220"/>
        <v>1.000004543481309</v>
      </c>
      <c r="V356" s="160">
        <f t="shared" si="221"/>
        <v>3.0144532194925433E-3</v>
      </c>
      <c r="W356" s="98" t="str">
        <f t="shared" si="212"/>
        <v>1-0.791296366936003i</v>
      </c>
      <c r="X356" s="160">
        <f t="shared" si="222"/>
        <v>1.2752058423353141</v>
      </c>
      <c r="Y356" s="160">
        <f t="shared" si="223"/>
        <v>-0.66941127109227194</v>
      </c>
      <c r="Z356" s="98" t="str">
        <f t="shared" si="213"/>
        <v>0.952007678127048-0.0590442757745855i</v>
      </c>
      <c r="AA356" s="160">
        <f t="shared" si="224"/>
        <v>0.95383690729316961</v>
      </c>
      <c r="AB356" s="160">
        <f t="shared" si="225"/>
        <v>-6.1941458259545681E-2</v>
      </c>
      <c r="AC356" s="171" t="str">
        <f t="shared" si="226"/>
        <v>-0.437273309701937-0.674111787207177i</v>
      </c>
      <c r="AD356" s="190">
        <f t="shared" si="227"/>
        <v>-1.9001317054364693</v>
      </c>
      <c r="AE356" s="169">
        <f t="shared" si="228"/>
        <v>-122.97009844674274</v>
      </c>
      <c r="AF356" s="98" t="str">
        <f t="shared" si="214"/>
        <v>-0.0000897803247373448</v>
      </c>
      <c r="AG356" s="98" t="str">
        <f t="shared" si="215"/>
        <v>0.30144623502324i</v>
      </c>
      <c r="AH356" s="98">
        <f t="shared" si="229"/>
        <v>0.30144623502323997</v>
      </c>
      <c r="AI356" s="98">
        <f t="shared" si="230"/>
        <v>1.5707963267948966</v>
      </c>
      <c r="AJ356" s="98" t="str">
        <f t="shared" si="216"/>
        <v>1+35.4199326152307i</v>
      </c>
      <c r="AK356" s="98">
        <f t="shared" si="231"/>
        <v>35.434046148689873</v>
      </c>
      <c r="AL356" s="98">
        <f t="shared" si="232"/>
        <v>1.5425711338529315</v>
      </c>
      <c r="AM356" s="98" t="str">
        <f t="shared" si="217"/>
        <v>1+70.8398652304616i</v>
      </c>
      <c r="AN356" s="98">
        <f t="shared" si="233"/>
        <v>70.846923051533864</v>
      </c>
      <c r="AO356" s="98">
        <f t="shared" si="234"/>
        <v>1.5566809190234032</v>
      </c>
      <c r="AP356" s="168" t="str">
        <f t="shared" si="235"/>
        <v>-8.40190072335244E-06+0.000595426723185912i</v>
      </c>
      <c r="AQ356" s="98">
        <f t="shared" si="236"/>
        <v>-64.502568907605493</v>
      </c>
      <c r="AR356" s="169">
        <f t="shared" si="237"/>
        <v>90.80843114010429</v>
      </c>
      <c r="AS356" s="168" t="str">
        <f t="shared" si="238"/>
        <v>0.000405058099454856-0.000254700393619926i</v>
      </c>
      <c r="AT356" s="190">
        <f t="shared" si="239"/>
        <v>-66.402700613041958</v>
      </c>
      <c r="AU356" s="169">
        <f t="shared" si="240"/>
        <v>-32.161667306638378</v>
      </c>
      <c r="AV356" s="225"/>
      <c r="AX356">
        <f t="shared" si="241"/>
        <v>0</v>
      </c>
      <c r="AY356">
        <f t="shared" si="242"/>
        <v>0</v>
      </c>
    </row>
    <row r="357" spans="14:51" x14ac:dyDescent="0.3">
      <c r="N357" s="170">
        <v>39</v>
      </c>
      <c r="O357" s="199">
        <f t="shared" si="208"/>
        <v>24547.089156850321</v>
      </c>
      <c r="P357" s="189" t="str">
        <f t="shared" si="209"/>
        <v>20.7142857142857</v>
      </c>
      <c r="Q357" s="160" t="str">
        <f t="shared" si="210"/>
        <v>1+35.2534651255655i</v>
      </c>
      <c r="R357" s="160">
        <f t="shared" si="218"/>
        <v>35.267645276647869</v>
      </c>
      <c r="S357" s="160">
        <f t="shared" si="219"/>
        <v>1.5424379252660334</v>
      </c>
      <c r="T357" s="160" t="str">
        <f t="shared" si="211"/>
        <v>1+0.00308467819848698i</v>
      </c>
      <c r="U357" s="160">
        <f t="shared" si="220"/>
        <v>1.0000047576084767</v>
      </c>
      <c r="V357" s="160">
        <f t="shared" si="221"/>
        <v>3.0846684147254663E-3</v>
      </c>
      <c r="W357" s="98" t="str">
        <f t="shared" si="212"/>
        <v>1-0.80972802710283i</v>
      </c>
      <c r="X357" s="160">
        <f t="shared" si="222"/>
        <v>1.2867243208534769</v>
      </c>
      <c r="Y357" s="160">
        <f t="shared" si="223"/>
        <v>-0.68064458214451706</v>
      </c>
      <c r="Z357" s="98" t="str">
        <f t="shared" si="213"/>
        <v>0.949745869679585-0.0604195936344255i</v>
      </c>
      <c r="AA357" s="160">
        <f t="shared" si="224"/>
        <v>0.95166577340386704</v>
      </c>
      <c r="AB357" s="160">
        <f t="shared" si="225"/>
        <v>-6.3530977557223728E-2</v>
      </c>
      <c r="AC357" s="171" t="str">
        <f t="shared" si="226"/>
        <v>-0.438967016862889-0.661789239837472i</v>
      </c>
      <c r="AD357" s="190">
        <f t="shared" si="227"/>
        <v>-2.0020675199065581</v>
      </c>
      <c r="AE357" s="169">
        <f t="shared" si="228"/>
        <v>-123.5564498202547</v>
      </c>
      <c r="AF357" s="98" t="str">
        <f t="shared" si="214"/>
        <v>-0.0000897803247373448</v>
      </c>
      <c r="AG357" s="98" t="str">
        <f t="shared" si="215"/>
        <v>0.308467819848699i</v>
      </c>
      <c r="AH357" s="98">
        <f t="shared" si="229"/>
        <v>0.30846781984869898</v>
      </c>
      <c r="AI357" s="98">
        <f t="shared" si="230"/>
        <v>1.5707963267948966</v>
      </c>
      <c r="AJ357" s="98" t="str">
        <f t="shared" si="216"/>
        <v>1+36.244968832222i</v>
      </c>
      <c r="AK357" s="98">
        <f t="shared" si="231"/>
        <v>36.258761226064301</v>
      </c>
      <c r="AL357" s="98">
        <f t="shared" si="232"/>
        <v>1.5432132880632334</v>
      </c>
      <c r="AM357" s="98" t="str">
        <f t="shared" si="217"/>
        <v>1+72.4899376644442i</v>
      </c>
      <c r="AN357" s="98">
        <f t="shared" si="233"/>
        <v>72.496834845357256</v>
      </c>
      <c r="AO357" s="98">
        <f t="shared" si="234"/>
        <v>1.5570021837002204</v>
      </c>
      <c r="AP357" s="168" t="str">
        <f t="shared" si="235"/>
        <v>-8.02404053028293E-06+0.000581883581425409i</v>
      </c>
      <c r="AQ357" s="98">
        <f t="shared" si="236"/>
        <v>-64.702452169849892</v>
      </c>
      <c r="AR357" s="169">
        <f t="shared" si="237"/>
        <v>90.790045524145711</v>
      </c>
      <c r="AS357" s="168" t="str">
        <f t="shared" si="238"/>
        <v>0.000388606582160192-0.000250117476216845i</v>
      </c>
      <c r="AT357" s="190">
        <f t="shared" si="239"/>
        <v>-66.704519689756438</v>
      </c>
      <c r="AU357" s="169">
        <f t="shared" si="240"/>
        <v>-32.766404296109037</v>
      </c>
      <c r="AV357" s="225"/>
      <c r="AX357">
        <f t="shared" si="241"/>
        <v>0</v>
      </c>
      <c r="AY357">
        <f t="shared" si="242"/>
        <v>0</v>
      </c>
    </row>
    <row r="358" spans="14:51" x14ac:dyDescent="0.3">
      <c r="N358" s="170">
        <v>40</v>
      </c>
      <c r="O358" s="199">
        <f t="shared" si="208"/>
        <v>25118.86431509586</v>
      </c>
      <c r="P358" s="189" t="str">
        <f t="shared" si="209"/>
        <v>20.7142857142857</v>
      </c>
      <c r="Q358" s="160" t="str">
        <f t="shared" si="210"/>
        <v>1+36.0746238166053i</v>
      </c>
      <c r="R358" s="160">
        <f t="shared" si="218"/>
        <v>36.088481313427231</v>
      </c>
      <c r="S358" s="160">
        <f t="shared" si="219"/>
        <v>1.5430831069854227</v>
      </c>
      <c r="T358" s="160" t="str">
        <f t="shared" si="211"/>
        <v>1+0.00315652958395296i</v>
      </c>
      <c r="U358" s="160">
        <f t="shared" si="220"/>
        <v>1.0000049818270977</v>
      </c>
      <c r="V358" s="160">
        <f t="shared" si="221"/>
        <v>3.1565191004664411E-3</v>
      </c>
      <c r="W358" s="98" t="str">
        <f t="shared" si="212"/>
        <v>1-0.82858901578765i</v>
      </c>
      <c r="X358" s="160">
        <f t="shared" si="222"/>
        <v>1.2986761555845809</v>
      </c>
      <c r="Y358" s="160">
        <f t="shared" si="223"/>
        <v>-0.69193181019322514</v>
      </c>
      <c r="Z358" s="98" t="str">
        <f t="shared" si="213"/>
        <v>0.947377465484023-0.0618269467625587i</v>
      </c>
      <c r="AA358" s="160">
        <f t="shared" si="224"/>
        <v>0.94939277090828511</v>
      </c>
      <c r="AB358" s="160">
        <f t="shared" si="225"/>
        <v>-6.5168740654424281E-2</v>
      </c>
      <c r="AC358" s="171" t="str">
        <f t="shared" si="226"/>
        <v>-0.440670051294596-0.64983611883491i</v>
      </c>
      <c r="AD358" s="190">
        <f t="shared" si="227"/>
        <v>-2.1008306860677757</v>
      </c>
      <c r="AE358" s="169">
        <f t="shared" si="228"/>
        <v>-124.14217288502751</v>
      </c>
      <c r="AF358" s="98" t="str">
        <f t="shared" si="214"/>
        <v>-0.0000897803247373448</v>
      </c>
      <c r="AG358" s="98" t="str">
        <f t="shared" si="215"/>
        <v>0.315652958395296i</v>
      </c>
      <c r="AH358" s="98">
        <f t="shared" si="229"/>
        <v>0.315652958395296</v>
      </c>
      <c r="AI358" s="98">
        <f t="shared" si="230"/>
        <v>1.5707963267948966</v>
      </c>
      <c r="AJ358" s="98" t="str">
        <f t="shared" si="216"/>
        <v>1+37.0892226114473i</v>
      </c>
      <c r="AK358" s="98">
        <f t="shared" si="231"/>
        <v>37.102701167455365</v>
      </c>
      <c r="AL358" s="98">
        <f t="shared" si="232"/>
        <v>1.5438408470469234</v>
      </c>
      <c r="AM358" s="98" t="str">
        <f t="shared" si="217"/>
        <v>1+74.1784452228947i</v>
      </c>
      <c r="AN358" s="98">
        <f t="shared" si="233"/>
        <v>74.185185419233065</v>
      </c>
      <c r="AO358" s="98">
        <f t="shared" si="234"/>
        <v>1.5573161382517988</v>
      </c>
      <c r="AP358" s="168" t="str">
        <f t="shared" si="235"/>
        <v>-7.66316155732391E-06+0.00056864802405455i</v>
      </c>
      <c r="AQ358" s="98">
        <f t="shared" si="236"/>
        <v>-64.902340681274978</v>
      </c>
      <c r="AR358" s="169">
        <f t="shared" si="237"/>
        <v>90.772077313749122</v>
      </c>
      <c r="AS358" s="168" t="str">
        <f t="shared" si="238"/>
        <v>0.000372904950731294-0.000245606354764273i</v>
      </c>
      <c r="AT358" s="190">
        <f t="shared" si="239"/>
        <v>-67.003171367342759</v>
      </c>
      <c r="AU358" s="169">
        <f t="shared" si="240"/>
        <v>-33.370095571278391</v>
      </c>
      <c r="AV358" s="225"/>
      <c r="AX358">
        <f t="shared" si="241"/>
        <v>0</v>
      </c>
      <c r="AY358">
        <f t="shared" si="242"/>
        <v>0</v>
      </c>
    </row>
    <row r="359" spans="14:51" x14ac:dyDescent="0.3">
      <c r="N359" s="170">
        <v>41</v>
      </c>
      <c r="O359" s="199">
        <f t="shared" si="208"/>
        <v>25703.95782768865</v>
      </c>
      <c r="P359" s="189" t="str">
        <f t="shared" si="209"/>
        <v>20.7142857142857</v>
      </c>
      <c r="Q359" s="160" t="str">
        <f t="shared" si="210"/>
        <v>1+36.9149097506965i</v>
      </c>
      <c r="R359" s="160">
        <f t="shared" si="218"/>
        <v>36.928451929400822</v>
      </c>
      <c r="S359" s="160">
        <f t="shared" si="219"/>
        <v>1.543713624876311</v>
      </c>
      <c r="T359" s="160" t="str">
        <f t="shared" si="211"/>
        <v>1+0.00323005460318594i</v>
      </c>
      <c r="U359" s="160">
        <f t="shared" si="220"/>
        <v>1.0000052166127633</v>
      </c>
      <c r="V359" s="160">
        <f t="shared" si="221"/>
        <v>3.2300433699309137E-3</v>
      </c>
      <c r="W359" s="98" t="str">
        <f t="shared" si="212"/>
        <v>1-0.847889333336307i</v>
      </c>
      <c r="X359" s="160">
        <f t="shared" si="222"/>
        <v>1.3110744912420069</v>
      </c>
      <c r="Y359" s="160">
        <f t="shared" si="223"/>
        <v>-0.70326743651680479</v>
      </c>
      <c r="Z359" s="98" t="str">
        <f t="shared" si="213"/>
        <v>0.944897441837527-0.0632670813562414i</v>
      </c>
      <c r="AA359" s="160">
        <f t="shared" si="224"/>
        <v>0.94701314625217325</v>
      </c>
      <c r="AB359" s="160">
        <f t="shared" si="225"/>
        <v>-6.6856767883974239E-2</v>
      </c>
      <c r="AC359" s="171" t="str">
        <f t="shared" si="226"/>
        <v>-0.442386487663919-0.638247892003483i</v>
      </c>
      <c r="AD359" s="190">
        <f t="shared" si="227"/>
        <v>-2.1963502891382598</v>
      </c>
      <c r="AE359" s="169">
        <f t="shared" si="228"/>
        <v>-124.72685297927293</v>
      </c>
      <c r="AF359" s="98" t="str">
        <f t="shared" si="214"/>
        <v>-0.0000897803247373448</v>
      </c>
      <c r="AG359" s="98" t="str">
        <f t="shared" si="215"/>
        <v>0.323005460318594i</v>
      </c>
      <c r="AH359" s="98">
        <f t="shared" si="229"/>
        <v>0.32300546031859401</v>
      </c>
      <c r="AI359" s="98">
        <f t="shared" si="230"/>
        <v>1.5707963267948966</v>
      </c>
      <c r="AJ359" s="98" t="str">
        <f t="shared" si="216"/>
        <v>1+37.9531415874348i</v>
      </c>
      <c r="AK359" s="98">
        <f t="shared" si="231"/>
        <v>37.966313441732431</v>
      </c>
      <c r="AL359" s="98">
        <f t="shared" si="232"/>
        <v>1.5444541415657349</v>
      </c>
      <c r="AM359" s="98" t="str">
        <f t="shared" si="217"/>
        <v>1+75.9062831748698i</v>
      </c>
      <c r="AN359" s="98">
        <f t="shared" si="233"/>
        <v>75.912869959075593</v>
      </c>
      <c r="AO359" s="98">
        <f t="shared" si="234"/>
        <v>1.5576229488932893</v>
      </c>
      <c r="AP359" s="168" t="str">
        <f t="shared" si="235"/>
        <v>-7.31850174654916E-06+0.000555713095922265i</v>
      </c>
      <c r="AQ359" s="98">
        <f t="shared" si="236"/>
        <v>-65.102234206058256</v>
      </c>
      <c r="AR359" s="169">
        <f t="shared" si="237"/>
        <v>90.754517081089801</v>
      </c>
      <c r="AS359" s="168" t="str">
        <f t="shared" si="238"/>
        <v>0.000357920318313733-0.000241168946341535i</v>
      </c>
      <c r="AT359" s="190">
        <f t="shared" si="239"/>
        <v>-67.298584495196522</v>
      </c>
      <c r="AU359" s="169">
        <f t="shared" si="240"/>
        <v>-33.972335898183182</v>
      </c>
      <c r="AV359" s="225"/>
      <c r="AX359">
        <f t="shared" si="241"/>
        <v>0</v>
      </c>
      <c r="AY359">
        <f t="shared" si="242"/>
        <v>0</v>
      </c>
    </row>
    <row r="360" spans="14:51" x14ac:dyDescent="0.3">
      <c r="N360" s="170">
        <v>42</v>
      </c>
      <c r="O360" s="199">
        <f t="shared" si="208"/>
        <v>26302.679918953829</v>
      </c>
      <c r="P360" s="189" t="str">
        <f t="shared" si="209"/>
        <v>20.7142857142857</v>
      </c>
      <c r="Q360" s="160" t="str">
        <f t="shared" si="210"/>
        <v>1+37.7747684585641i</v>
      </c>
      <c r="R360" s="160">
        <f t="shared" si="218"/>
        <v>37.788002488860521</v>
      </c>
      <c r="S360" s="160">
        <f t="shared" si="219"/>
        <v>1.5443298112411692</v>
      </c>
      <c r="T360" s="160" t="str">
        <f t="shared" si="211"/>
        <v>1+0.00330529224012436i</v>
      </c>
      <c r="U360" s="160">
        <f t="shared" si="220"/>
        <v>1.0000054624634771</v>
      </c>
      <c r="V360" s="160">
        <f t="shared" si="221"/>
        <v>3.3052802034782896E-3</v>
      </c>
      <c r="W360" s="98" t="str">
        <f t="shared" si="212"/>
        <v>1-0.867639213032642i</v>
      </c>
      <c r="X360" s="160">
        <f t="shared" si="222"/>
        <v>1.3239327037247408</v>
      </c>
      <c r="Y360" s="160">
        <f t="shared" si="223"/>
        <v>-0.7146458195083738</v>
      </c>
      <c r="Z360" s="98" t="str">
        <f t="shared" si="213"/>
        <v>0.942300538277439-0.0647407609938981i</v>
      </c>
      <c r="AA360" s="160">
        <f t="shared" si="224"/>
        <v>0.94452192699376769</v>
      </c>
      <c r="AB360" s="160">
        <f t="shared" si="225"/>
        <v>-6.859720329948861E-2</v>
      </c>
      <c r="AC360" s="171" t="str">
        <f t="shared" si="226"/>
        <v>-0.444120477656233-0.627020357485634i</v>
      </c>
      <c r="AD360" s="190">
        <f t="shared" si="227"/>
        <v>-2.2885547003602502</v>
      </c>
      <c r="AE360" s="169">
        <f t="shared" si="228"/>
        <v>-125.31006082362285</v>
      </c>
      <c r="AF360" s="98" t="str">
        <f t="shared" si="214"/>
        <v>-0.0000897803247373448</v>
      </c>
      <c r="AG360" s="98" t="str">
        <f t="shared" si="215"/>
        <v>0.330529224012437i</v>
      </c>
      <c r="AH360" s="98">
        <f t="shared" si="229"/>
        <v>0.33052922401243701</v>
      </c>
      <c r="AI360" s="98">
        <f t="shared" si="230"/>
        <v>1.5707963267948966</v>
      </c>
      <c r="AJ360" s="98" t="str">
        <f t="shared" si="216"/>
        <v>1+38.8371838214612i</v>
      </c>
      <c r="AK360" s="98">
        <f t="shared" si="231"/>
        <v>38.850055948247586</v>
      </c>
      <c r="AL360" s="98">
        <f t="shared" si="232"/>
        <v>1.5450534949500547</v>
      </c>
      <c r="AM360" s="98" t="str">
        <f t="shared" si="217"/>
        <v>1+77.6743676429226i</v>
      </c>
      <c r="AN360" s="98">
        <f t="shared" si="233"/>
        <v>77.68080450618352</v>
      </c>
      <c r="AO360" s="98">
        <f t="shared" si="234"/>
        <v>1.5579227780685752</v>
      </c>
      <c r="AP360" s="168" t="str">
        <f t="shared" si="235"/>
        <v>-0.0000069893331430063+0.000543071997112161i</v>
      </c>
      <c r="AQ360" s="98">
        <f t="shared" si="236"/>
        <v>-65.302132518952916</v>
      </c>
      <c r="AR360" s="169">
        <f t="shared" si="237"/>
        <v>90.73735560805018</v>
      </c>
      <c r="AS360" s="168" t="str">
        <f t="shared" si="238"/>
        <v>0.000343621303743675-0.000236806940593263i</v>
      </c>
      <c r="AT360" s="190">
        <f t="shared" si="239"/>
        <v>-67.590687219313168</v>
      </c>
      <c r="AU360" s="169">
        <f t="shared" si="240"/>
        <v>-34.572705215572626</v>
      </c>
      <c r="AV360" s="225"/>
      <c r="AX360">
        <f t="shared" si="241"/>
        <v>0</v>
      </c>
      <c r="AY360">
        <f t="shared" si="242"/>
        <v>0</v>
      </c>
    </row>
    <row r="361" spans="14:51" x14ac:dyDescent="0.3">
      <c r="N361" s="170">
        <v>43</v>
      </c>
      <c r="O361" s="199">
        <f t="shared" si="208"/>
        <v>26915.348039269167</v>
      </c>
      <c r="P361" s="189" t="str">
        <f t="shared" si="209"/>
        <v>20.7142857142857</v>
      </c>
      <c r="Q361" s="160" t="str">
        <f t="shared" si="210"/>
        <v>1+38.6546558486768i</v>
      </c>
      <c r="R361" s="160">
        <f t="shared" si="218"/>
        <v>38.667588737593192</v>
      </c>
      <c r="S361" s="160">
        <f t="shared" si="219"/>
        <v>1.5449319909174355</v>
      </c>
      <c r="T361" s="160" t="str">
        <f t="shared" si="211"/>
        <v>1+0.00338228238675922i</v>
      </c>
      <c r="U361" s="160">
        <f t="shared" si="220"/>
        <v>1.0000057199007133</v>
      </c>
      <c r="V361" s="160">
        <f t="shared" si="221"/>
        <v>3.3822694892645696E-3</v>
      </c>
      <c r="W361" s="98" t="str">
        <f t="shared" si="212"/>
        <v>1-0.887849126524293i</v>
      </c>
      <c r="X361" s="160">
        <f t="shared" si="222"/>
        <v>1.337264398490422</v>
      </c>
      <c r="Y361" s="160">
        <f t="shared" si="223"/>
        <v>-0.72606120794153295</v>
      </c>
      <c r="Z361" s="98" t="str">
        <f t="shared" si="213"/>
        <v>0.939581246423136-0.0662487670399792i</v>
      </c>
      <c r="AA361" s="160">
        <f t="shared" si="224"/>
        <v>0.94191391207709174</v>
      </c>
      <c r="AB361" s="160">
        <f t="shared" si="225"/>
        <v>-7.0392324766878595E-2</v>
      </c>
      <c r="AC361" s="171" t="str">
        <f t="shared" si="226"/>
        <v>-0.445876263722566-0.616149656281367i</v>
      </c>
      <c r="AD361" s="190">
        <f t="shared" si="227"/>
        <v>-2.3773714661276797</v>
      </c>
      <c r="AE361" s="169">
        <f t="shared" si="228"/>
        <v>-125.8913527113659</v>
      </c>
      <c r="AF361" s="98" t="str">
        <f t="shared" si="214"/>
        <v>-0.0000897803247373448</v>
      </c>
      <c r="AG361" s="98" t="str">
        <f t="shared" si="215"/>
        <v>0.338228238675922i</v>
      </c>
      <c r="AH361" s="98">
        <f t="shared" si="229"/>
        <v>0.338228238675922</v>
      </c>
      <c r="AI361" s="98">
        <f t="shared" si="230"/>
        <v>1.5707963267948966</v>
      </c>
      <c r="AJ361" s="98" t="str">
        <f t="shared" si="216"/>
        <v>1+39.7418180444208i</v>
      </c>
      <c r="AK361" s="98">
        <f t="shared" si="231"/>
        <v>39.754397259622124</v>
      </c>
      <c r="AL361" s="98">
        <f t="shared" si="232"/>
        <v>1.5456392232615752</v>
      </c>
      <c r="AM361" s="98" t="str">
        <f t="shared" si="217"/>
        <v>1+79.4836360888419i</v>
      </c>
      <c r="AN361" s="98">
        <f t="shared" si="233"/>
        <v>79.489926442936479</v>
      </c>
      <c r="AO361" s="98">
        <f t="shared" si="234"/>
        <v>1.5582157845352991</v>
      </c>
      <c r="AP361" s="168" t="str">
        <f t="shared" si="235"/>
        <v>-6.67496037697186E-06+0.000530718079613878i</v>
      </c>
      <c r="AQ361" s="98">
        <f t="shared" si="236"/>
        <v>-65.502035404815771</v>
      </c>
      <c r="AR361" s="169">
        <f t="shared" si="237"/>
        <v>90.720583881772043</v>
      </c>
      <c r="AS361" s="168" t="str">
        <f t="shared" si="238"/>
        <v>0.000329977968729778-0.000232521819886288i</v>
      </c>
      <c r="AT361" s="190">
        <f t="shared" si="239"/>
        <v>-67.87940687094347</v>
      </c>
      <c r="AU361" s="169">
        <f t="shared" si="240"/>
        <v>-35.170768829593861</v>
      </c>
      <c r="AV361" s="225"/>
      <c r="AX361">
        <f t="shared" si="241"/>
        <v>0</v>
      </c>
      <c r="AY361">
        <f t="shared" si="242"/>
        <v>0</v>
      </c>
    </row>
    <row r="362" spans="14:51" x14ac:dyDescent="0.3">
      <c r="N362" s="170">
        <v>44</v>
      </c>
      <c r="O362" s="199">
        <f t="shared" si="208"/>
        <v>27542.287033381719</v>
      </c>
      <c r="P362" s="189" t="str">
        <f t="shared" si="209"/>
        <v>20.7142857142857</v>
      </c>
      <c r="Q362" s="160" t="str">
        <f t="shared" si="210"/>
        <v>1+39.5550384489753i</v>
      </c>
      <c r="R362" s="160">
        <f t="shared" si="218"/>
        <v>39.567677044526057</v>
      </c>
      <c r="S362" s="160">
        <f t="shared" si="219"/>
        <v>1.5455204814408434</v>
      </c>
      <c r="T362" s="160" t="str">
        <f t="shared" si="211"/>
        <v>1+0.00346106586428534i</v>
      </c>
      <c r="U362" s="160">
        <f t="shared" si="220"/>
        <v>1.0000059894705216</v>
      </c>
      <c r="V362" s="160">
        <f t="shared" si="221"/>
        <v>3.4610520443753034E-3</v>
      </c>
      <c r="W362" s="98" t="str">
        <f t="shared" si="212"/>
        <v>1-0.908529789374899i</v>
      </c>
      <c r="X362" s="160">
        <f t="shared" si="222"/>
        <v>1.3510834090394266</v>
      </c>
      <c r="Y362" s="160">
        <f t="shared" si="223"/>
        <v>-0.73750775491073062</v>
      </c>
      <c r="Z362" s="98" t="str">
        <f t="shared" si="213"/>
        <v>0.936733798292013-0.0677918990592511i</v>
      </c>
      <c r="AA362" s="160">
        <f t="shared" si="224"/>
        <v>0.93918366171938994</v>
      </c>
      <c r="AB362" s="160">
        <f t="shared" si="225"/>
        <v>-7.2244555055385642E-2</v>
      </c>
      <c r="AC362" s="171" t="str">
        <f t="shared" si="226"/>
        <v>-0.447658193560576-0.605632286464301i</v>
      </c>
      <c r="AD362" s="190">
        <f t="shared" si="227"/>
        <v>-2.4627271749992969</v>
      </c>
      <c r="AE362" s="169">
        <f t="shared" si="228"/>
        <v>-126.47027067984901</v>
      </c>
      <c r="AF362" s="98" t="str">
        <f t="shared" si="214"/>
        <v>-0.0000897803247373448</v>
      </c>
      <c r="AG362" s="98" t="str">
        <f t="shared" si="215"/>
        <v>0.346106586428534i</v>
      </c>
      <c r="AH362" s="98">
        <f t="shared" si="229"/>
        <v>0.34610658642853398</v>
      </c>
      <c r="AI362" s="98">
        <f t="shared" si="230"/>
        <v>1.5707963267948966</v>
      </c>
      <c r="AJ362" s="98" t="str">
        <f t="shared" si="216"/>
        <v>1+40.6675239053528i</v>
      </c>
      <c r="AK362" s="98">
        <f t="shared" si="231"/>
        <v>40.679816870193036</v>
      </c>
      <c r="AL362" s="98">
        <f t="shared" si="232"/>
        <v>1.5462116354526767</v>
      </c>
      <c r="AM362" s="98" t="str">
        <f t="shared" si="217"/>
        <v>1+81.3350478107057i</v>
      </c>
      <c r="AN362" s="98">
        <f t="shared" si="233"/>
        <v>81.341194989806866</v>
      </c>
      <c r="AO362" s="98">
        <f t="shared" si="234"/>
        <v>1.5585021234480088</v>
      </c>
      <c r="AP362" s="168" t="str">
        <f t="shared" si="235"/>
        <v>-6.37471921301589E-06+0.00051864484405668i</v>
      </c>
      <c r="AQ362" s="98">
        <f t="shared" si="236"/>
        <v>-65.701942658155275</v>
      </c>
      <c r="AR362" s="169">
        <f t="shared" si="237"/>
        <v>90.704193090288712</v>
      </c>
      <c r="AS362" s="168" t="str">
        <f t="shared" si="238"/>
        <v>0.000316961758056323-0.000228314878217373i</v>
      </c>
      <c r="AT362" s="190">
        <f t="shared" si="239"/>
        <v>-68.164669833154562</v>
      </c>
      <c r="AU362" s="169">
        <f t="shared" si="240"/>
        <v>-35.766077589560204</v>
      </c>
      <c r="AV362" s="225"/>
      <c r="AX362">
        <f t="shared" si="241"/>
        <v>0</v>
      </c>
      <c r="AY362">
        <f t="shared" si="242"/>
        <v>0</v>
      </c>
    </row>
    <row r="363" spans="14:51" x14ac:dyDescent="0.3">
      <c r="N363" s="170">
        <v>45</v>
      </c>
      <c r="O363" s="199">
        <f t="shared" si="208"/>
        <v>28183.829312644593</v>
      </c>
      <c r="P363" s="189" t="str">
        <f t="shared" si="209"/>
        <v>20.7142857142857</v>
      </c>
      <c r="Q363" s="160" t="str">
        <f t="shared" si="210"/>
        <v>1+40.4763936542322i</v>
      </c>
      <c r="R363" s="160">
        <f t="shared" si="218"/>
        <v>40.488744649005461</v>
      </c>
      <c r="S363" s="160">
        <f t="shared" si="219"/>
        <v>1.5460955932054705</v>
      </c>
      <c r="T363" s="160" t="str">
        <f t="shared" si="211"/>
        <v>1+0.00354168444474532i</v>
      </c>
      <c r="U363" s="160">
        <f t="shared" si="220"/>
        <v>1.0000062717446856</v>
      </c>
      <c r="V363" s="160">
        <f t="shared" si="221"/>
        <v>3.5416696364499352E-3</v>
      </c>
      <c r="W363" s="98" t="str">
        <f t="shared" si="212"/>
        <v>1-0.929692166745644i</v>
      </c>
      <c r="X363" s="160">
        <f t="shared" si="222"/>
        <v>1.3654037955521474</v>
      </c>
      <c r="Y363" s="160">
        <f t="shared" si="223"/>
        <v>-0.74897953236783898</v>
      </c>
      <c r="Z363" s="98" t="str">
        <f t="shared" si="213"/>
        <v>0.933752154064821-0.0693709752407359i</v>
      </c>
      <c r="AA363" s="160">
        <f t="shared" si="224"/>
        <v>0.93632548690428374</v>
      </c>
      <c r="AB363" s="160">
        <f t="shared" si="225"/>
        <v>-7.4156474044037884E-2</v>
      </c>
      <c r="AC363" s="171" t="str">
        <f t="shared" si="226"/>
        <v>-0.449470735418609-0.595465119300732i</v>
      </c>
      <c r="AD363" s="190">
        <f t="shared" si="227"/>
        <v>-2.5445473007417974</v>
      </c>
      <c r="AE363" s="169">
        <f t="shared" si="228"/>
        <v>-127.04634265191501</v>
      </c>
      <c r="AF363" s="98" t="str">
        <f t="shared" si="214"/>
        <v>-0.0000897803247373448</v>
      </c>
      <c r="AG363" s="98" t="str">
        <f t="shared" si="215"/>
        <v>0.354168444474532i</v>
      </c>
      <c r="AH363" s="98">
        <f t="shared" si="229"/>
        <v>0.354168444474532</v>
      </c>
      <c r="AI363" s="98">
        <f t="shared" si="230"/>
        <v>1.5707963267948966</v>
      </c>
      <c r="AJ363" s="98" t="str">
        <f t="shared" si="216"/>
        <v>1+41.6147922257575i</v>
      </c>
      <c r="AK363" s="98">
        <f t="shared" si="231"/>
        <v>41.626805450250046</v>
      </c>
      <c r="AL363" s="98">
        <f t="shared" si="232"/>
        <v>1.546771033522587</v>
      </c>
      <c r="AM363" s="98" t="str">
        <f t="shared" si="217"/>
        <v>1+83.2295844515152i</v>
      </c>
      <c r="AN363" s="98">
        <f t="shared" si="233"/>
        <v>83.235591713953113</v>
      </c>
      <c r="AO363" s="98">
        <f t="shared" si="234"/>
        <v>1.5587819464394628</v>
      </c>
      <c r="AP363" s="168" t="str">
        <f t="shared" si="235"/>
        <v>-6.08797516299608E-06+0.000506845936504712i</v>
      </c>
      <c r="AQ363" s="98">
        <f t="shared" si="236"/>
        <v>-65.901854082699543</v>
      </c>
      <c r="AR363" s="169">
        <f t="shared" si="237"/>
        <v>90.688174618236147</v>
      </c>
      <c r="AS363" s="168" t="str">
        <f t="shared" si="238"/>
        <v>0.000304545442721592-0.000224187238967973i</v>
      </c>
      <c r="AT363" s="190">
        <f t="shared" si="239"/>
        <v>-68.446401383441341</v>
      </c>
      <c r="AU363" s="169">
        <f t="shared" si="240"/>
        <v>-36.35816803367883</v>
      </c>
      <c r="AV363" s="225"/>
      <c r="AX363">
        <f t="shared" si="241"/>
        <v>0</v>
      </c>
      <c r="AY363">
        <f t="shared" si="242"/>
        <v>0</v>
      </c>
    </row>
    <row r="364" spans="14:51" x14ac:dyDescent="0.3">
      <c r="N364" s="170">
        <v>46</v>
      </c>
      <c r="O364" s="199">
        <f t="shared" si="208"/>
        <v>28840.315031266062</v>
      </c>
      <c r="P364" s="189" t="str">
        <f t="shared" si="209"/>
        <v>20.7142857142857</v>
      </c>
      <c r="Q364" s="160" t="str">
        <f t="shared" si="210"/>
        <v>1+41.4192099791728i</v>
      </c>
      <c r="R364" s="160">
        <f t="shared" si="218"/>
        <v>41.431279913838132</v>
      </c>
      <c r="S364" s="160">
        <f t="shared" si="219"/>
        <v>1.5466576296205536</v>
      </c>
      <c r="T364" s="160" t="str">
        <f t="shared" si="211"/>
        <v>1+0.00362418087317762i</v>
      </c>
      <c r="U364" s="160">
        <f t="shared" si="220"/>
        <v>1.000006567321936</v>
      </c>
      <c r="V364" s="160">
        <f t="shared" si="221"/>
        <v>3.6241650058088655E-3</v>
      </c>
      <c r="W364" s="98" t="str">
        <f t="shared" si="212"/>
        <v>1-0.951347479209123i</v>
      </c>
      <c r="X364" s="160">
        <f t="shared" si="222"/>
        <v>1.3802398437219354</v>
      </c>
      <c r="Y364" s="160">
        <f t="shared" si="223"/>
        <v>-0.7604705461697302</v>
      </c>
      <c r="Z364" s="98" t="str">
        <f t="shared" si="213"/>
        <v>0.930629989274397-0.0709868328315263i</v>
      </c>
      <c r="AA364" s="160">
        <f t="shared" si="224"/>
        <v>0.93333343847325823</v>
      </c>
      <c r="AB364" s="160">
        <f t="shared" si="225"/>
        <v>-7.613083217494708E-2</v>
      </c>
      <c r="AC364" s="171" t="str">
        <f t="shared" si="226"/>
        <v>-0.451318494320366-0.585645417506778i</v>
      </c>
      <c r="AD364" s="190">
        <f t="shared" si="227"/>
        <v>-2.6227560194728623</v>
      </c>
      <c r="AE364" s="169">
        <f t="shared" si="228"/>
        <v>-127.61908253496486</v>
      </c>
      <c r="AF364" s="98" t="str">
        <f t="shared" si="214"/>
        <v>-0.0000897803247373448</v>
      </c>
      <c r="AG364" s="98" t="str">
        <f t="shared" si="215"/>
        <v>0.362418087317763i</v>
      </c>
      <c r="AH364" s="98">
        <f t="shared" si="229"/>
        <v>0.36241808731776298</v>
      </c>
      <c r="AI364" s="98">
        <f t="shared" si="230"/>
        <v>1.5707963267948966</v>
      </c>
      <c r="AJ364" s="98" t="str">
        <f t="shared" si="216"/>
        <v>1+42.584125259837i</v>
      </c>
      <c r="AK364" s="98">
        <f t="shared" si="231"/>
        <v>42.595865106198843</v>
      </c>
      <c r="AL364" s="98">
        <f t="shared" si="232"/>
        <v>1.5473177126703623</v>
      </c>
      <c r="AM364" s="98" t="str">
        <f t="shared" si="217"/>
        <v>1+85.1682505196743i</v>
      </c>
      <c r="AN364" s="98">
        <f t="shared" si="233"/>
        <v>85.174121049659234</v>
      </c>
      <c r="AO364" s="98">
        <f t="shared" si="234"/>
        <v>1.5590554017001315</v>
      </c>
      <c r="AP364" s="168" t="str">
        <f t="shared" si="235"/>
        <v>-5.81412216022516E-06+0.000495315145313296i</v>
      </c>
      <c r="AQ364" s="98">
        <f t="shared" si="236"/>
        <v>-66.101769490984651</v>
      </c>
      <c r="AR364" s="169">
        <f t="shared" si="237"/>
        <v>90.672520042642759</v>
      </c>
      <c r="AS364" s="168" t="str">
        <f t="shared" si="238"/>
        <v>0.000292703065933583-0.00022013987159691i</v>
      </c>
      <c r="AT364" s="190">
        <f t="shared" si="239"/>
        <v>-68.724525510457511</v>
      </c>
      <c r="AU364" s="169">
        <f t="shared" si="240"/>
        <v>-36.946562492322158</v>
      </c>
      <c r="AV364" s="225"/>
      <c r="AX364">
        <f t="shared" si="241"/>
        <v>0</v>
      </c>
      <c r="AY364">
        <f t="shared" si="242"/>
        <v>0</v>
      </c>
    </row>
    <row r="365" spans="14:51" x14ac:dyDescent="0.3">
      <c r="N365" s="170">
        <v>47</v>
      </c>
      <c r="O365" s="199">
        <f t="shared" si="208"/>
        <v>29512.092266663854</v>
      </c>
      <c r="P365" s="189" t="str">
        <f t="shared" si="209"/>
        <v>20.7142857142857</v>
      </c>
      <c r="Q365" s="160" t="str">
        <f t="shared" si="210"/>
        <v>1+42.3839873174928i</v>
      </c>
      <c r="R365" s="160">
        <f t="shared" si="218"/>
        <v>42.395782584231078</v>
      </c>
      <c r="S365" s="160">
        <f t="shared" si="219"/>
        <v>1.5472068872641151</v>
      </c>
      <c r="T365" s="160" t="str">
        <f t="shared" si="211"/>
        <v>1+0.00370859889028062i</v>
      </c>
      <c r="U365" s="160">
        <f t="shared" si="220"/>
        <v>1.0000068768292192</v>
      </c>
      <c r="V365" s="160">
        <f t="shared" si="221"/>
        <v>3.7085818880949911E-3</v>
      </c>
      <c r="W365" s="98" t="str">
        <f t="shared" si="212"/>
        <v>1-0.97350720869866i</v>
      </c>
      <c r="X365" s="160">
        <f t="shared" si="222"/>
        <v>1.3956060638261272</v>
      </c>
      <c r="Y365" s="160">
        <f t="shared" si="223"/>
        <v>-0.7719747515457499</v>
      </c>
      <c r="Z365" s="98" t="str">
        <f t="shared" si="213"/>
        <v>0.927360681390623-0.0726403285807066i</v>
      </c>
      <c r="AA365" s="160">
        <f t="shared" si="224"/>
        <v>0.93020129580945743</v>
      </c>
      <c r="AB365" s="160">
        <f t="shared" si="225"/>
        <v>-7.8170565302745923E-2</v>
      </c>
      <c r="AC365" s="171" t="str">
        <f t="shared" si="226"/>
        <v>-0.453206229316952-0.576170855912327i</v>
      </c>
      <c r="AD365" s="190">
        <f t="shared" si="227"/>
        <v>-2.6972759988891291</v>
      </c>
      <c r="AE365" s="169">
        <f t="shared" si="228"/>
        <v>-128.18799026387319</v>
      </c>
      <c r="AF365" s="98" t="str">
        <f t="shared" si="214"/>
        <v>-0.0000897803247373448</v>
      </c>
      <c r="AG365" s="98" t="str">
        <f t="shared" si="215"/>
        <v>0.370859889028061i</v>
      </c>
      <c r="AH365" s="98">
        <f t="shared" si="229"/>
        <v>0.370859889028061</v>
      </c>
      <c r="AI365" s="98">
        <f t="shared" si="230"/>
        <v>1.5707963267948966</v>
      </c>
      <c r="AJ365" s="98" t="str">
        <f t="shared" si="216"/>
        <v>1+43.5760369607973i</v>
      </c>
      <c r="AK365" s="98">
        <f t="shared" si="231"/>
        <v>43.587509646787268</v>
      </c>
      <c r="AL365" s="98">
        <f t="shared" si="232"/>
        <v>1.5478519614447388</v>
      </c>
      <c r="AM365" s="98" t="str">
        <f t="shared" si="217"/>
        <v>1+87.1520739215948i</v>
      </c>
      <c r="AN365" s="98">
        <f t="shared" si="233"/>
        <v>87.157810830901013</v>
      </c>
      <c r="AO365" s="98">
        <f t="shared" si="234"/>
        <v>1.5593226340559327</v>
      </c>
      <c r="AP365" s="168" t="str">
        <f t="shared" si="235"/>
        <v>-5.55258129217013E-06+0.000484046398045785i</v>
      </c>
      <c r="AQ365" s="98">
        <f t="shared" si="236"/>
        <v>-66.30168870395994</v>
      </c>
      <c r="AR365" s="169">
        <f t="shared" si="237"/>
        <v>90.657221128797701</v>
      </c>
      <c r="AS365" s="168" t="str">
        <f t="shared" si="238"/>
        <v>0.000281409891893719-0.00021617360735715i</v>
      </c>
      <c r="AT365" s="190">
        <f t="shared" si="239"/>
        <v>-68.998964702849079</v>
      </c>
      <c r="AU365" s="169">
        <f t="shared" si="240"/>
        <v>-37.530769135075481</v>
      </c>
      <c r="AV365" s="225"/>
      <c r="AX365">
        <f t="shared" si="241"/>
        <v>0</v>
      </c>
      <c r="AY365">
        <f t="shared" si="242"/>
        <v>0</v>
      </c>
    </row>
    <row r="366" spans="14:51" x14ac:dyDescent="0.3">
      <c r="N366" s="170">
        <v>48</v>
      </c>
      <c r="O366" s="199">
        <f t="shared" si="208"/>
        <v>30199.517204020212</v>
      </c>
      <c r="P366" s="189" t="str">
        <f t="shared" si="209"/>
        <v>20.7142857142857</v>
      </c>
      <c r="Q366" s="160" t="str">
        <f t="shared" si="210"/>
        <v>1+43.3712372069067i</v>
      </c>
      <c r="R366" s="160">
        <f t="shared" si="218"/>
        <v>43.382764052763712</v>
      </c>
      <c r="S366" s="160">
        <f t="shared" si="219"/>
        <v>1.5477436560334501</v>
      </c>
      <c r="T366" s="160" t="str">
        <f t="shared" si="211"/>
        <v>1+0.00379498325560434i</v>
      </c>
      <c r="U366" s="160">
        <f t="shared" si="220"/>
        <v>1.0000072009230285</v>
      </c>
      <c r="V366" s="160">
        <f t="shared" si="221"/>
        <v>3.7949650374412922E-3</v>
      </c>
      <c r="W366" s="98" t="str">
        <f t="shared" si="212"/>
        <v>1-0.996183104596137i</v>
      </c>
      <c r="X366" s="160">
        <f t="shared" si="222"/>
        <v>1.4115171900769745</v>
      </c>
      <c r="Y366" s="160">
        <f t="shared" si="223"/>
        <v>-0.78348606888897543</v>
      </c>
      <c r="Z366" s="98" t="str">
        <f t="shared" si="213"/>
        <v>0.923937295773156-0.0743323391936084i</v>
      </c>
      <c r="AA366" s="160">
        <f t="shared" si="224"/>
        <v>0.92692255510943633</v>
      </c>
      <c r="AB366" s="160">
        <f t="shared" si="225"/>
        <v>-8.0278811110120141E-2</v>
      </c>
      <c r="AC366" s="171" t="str">
        <f t="shared" si="226"/>
        <v>-0.455138871883206-0.567039544839858i</v>
      </c>
      <c r="AD366" s="190">
        <f t="shared" si="227"/>
        <v>-2.7680281574639802</v>
      </c>
      <c r="AE366" s="169">
        <f t="shared" si="228"/>
        <v>-128.75255177251583</v>
      </c>
      <c r="AF366" s="98" t="str">
        <f t="shared" si="214"/>
        <v>-0.0000897803247373448</v>
      </c>
      <c r="AG366" s="98" t="str">
        <f t="shared" si="215"/>
        <v>0.379498325560434i</v>
      </c>
      <c r="AH366" s="98">
        <f t="shared" si="229"/>
        <v>0.379498325560434</v>
      </c>
      <c r="AI366" s="98">
        <f t="shared" si="230"/>
        <v>1.5707963267948966</v>
      </c>
      <c r="AJ366" s="98" t="str">
        <f t="shared" si="216"/>
        <v>1+44.591053253351i</v>
      </c>
      <c r="AK366" s="98">
        <f t="shared" si="231"/>
        <v>44.60226485553379</v>
      </c>
      <c r="AL366" s="98">
        <f t="shared" si="232"/>
        <v>1.5483740618908988</v>
      </c>
      <c r="AM366" s="98" t="str">
        <f t="shared" si="217"/>
        <v>1+89.1821065067022i</v>
      </c>
      <c r="AN366" s="98">
        <f t="shared" si="233"/>
        <v>89.187712836313807</v>
      </c>
      <c r="AO366" s="98">
        <f t="shared" si="234"/>
        <v>1.5595837850442398</v>
      </c>
      <c r="AP366" s="168" t="str">
        <f t="shared" si="235"/>
        <v>-5.30279958914697E-06+0.00047303375845023i</v>
      </c>
      <c r="AQ366" s="98">
        <f t="shared" si="236"/>
        <v>-66.501611550611628</v>
      </c>
      <c r="AR366" s="169">
        <f t="shared" si="237"/>
        <v>90.642269826196525</v>
      </c>
      <c r="AS366" s="168" t="str">
        <f t="shared" si="238"/>
        <v>0.000270642357308333-0.000212289154118304i</v>
      </c>
      <c r="AT366" s="190">
        <f t="shared" si="239"/>
        <v>-69.269639708075601</v>
      </c>
      <c r="AU366" s="169">
        <f t="shared" si="240"/>
        <v>-38.110281946319333</v>
      </c>
      <c r="AV366" s="225"/>
      <c r="AX366">
        <f t="shared" si="241"/>
        <v>0</v>
      </c>
      <c r="AY366">
        <f t="shared" si="242"/>
        <v>0</v>
      </c>
    </row>
    <row r="367" spans="14:51" x14ac:dyDescent="0.3">
      <c r="N367" s="170">
        <v>49</v>
      </c>
      <c r="O367" s="199">
        <f t="shared" si="208"/>
        <v>30902.954325135954</v>
      </c>
      <c r="P367" s="189" t="str">
        <f t="shared" si="209"/>
        <v>20.7142857142857</v>
      </c>
      <c r="Q367" s="160" t="str">
        <f t="shared" si="210"/>
        <v>1+44.3814831003739i</v>
      </c>
      <c r="R367" s="160">
        <f t="shared" si="218"/>
        <v>44.392747630539539</v>
      </c>
      <c r="S367" s="160">
        <f t="shared" si="219"/>
        <v>1.5482682192925226</v>
      </c>
      <c r="T367" s="160" t="str">
        <f t="shared" si="211"/>
        <v>1+0.00388337977128272i</v>
      </c>
      <c r="U367" s="160">
        <f t="shared" si="220"/>
        <v>1.000007540290796</v>
      </c>
      <c r="V367" s="160">
        <f t="shared" si="221"/>
        <v>3.8833602501772584E-3</v>
      </c>
      <c r="W367" s="98" t="str">
        <f t="shared" si="212"/>
        <v>1-1.01938718996171i</v>
      </c>
      <c r="X367" s="160">
        <f t="shared" si="222"/>
        <v>1.4279881802935315</v>
      </c>
      <c r="Y367" s="160">
        <f t="shared" si="223"/>
        <v>-0.79499839977144116</v>
      </c>
      <c r="Z367" s="98" t="str">
        <f t="shared" si="213"/>
        <v>0.92035257096212-0.0760637617966555i</v>
      </c>
      <c r="AA367" s="160">
        <f t="shared" si="224"/>
        <v>0.92349041724061354</v>
      </c>
      <c r="AB367" s="160">
        <f t="shared" si="225"/>
        <v>-8.2458927283333511E-2</v>
      </c>
      <c r="AC367" s="171" t="str">
        <f t="shared" si="226"/>
        <v>-0.457121545586319-0.55825005655188i</v>
      </c>
      <c r="AD367" s="190">
        <f t="shared" si="227"/>
        <v>-2.8349313913845418</v>
      </c>
      <c r="AE367" s="169">
        <f t="shared" si="228"/>
        <v>-129.31223887707964</v>
      </c>
      <c r="AF367" s="98" t="str">
        <f t="shared" si="214"/>
        <v>-0.0000897803247373448</v>
      </c>
      <c r="AG367" s="98" t="str">
        <f t="shared" si="215"/>
        <v>0.388337977128272i</v>
      </c>
      <c r="AH367" s="98">
        <f t="shared" si="229"/>
        <v>0.388337977128272</v>
      </c>
      <c r="AI367" s="98">
        <f t="shared" si="230"/>
        <v>1.5707963267948966</v>
      </c>
      <c r="AJ367" s="98" t="str">
        <f t="shared" si="216"/>
        <v>1+45.629712312572i</v>
      </c>
      <c r="AK367" s="98">
        <f t="shared" si="231"/>
        <v>45.64066876950956</v>
      </c>
      <c r="AL367" s="98">
        <f t="shared" si="232"/>
        <v>1.548884289694207</v>
      </c>
      <c r="AM367" s="98" t="str">
        <f t="shared" si="217"/>
        <v>1+91.2594246251441i</v>
      </c>
      <c r="AN367" s="98">
        <f t="shared" si="233"/>
        <v>91.264903346863619</v>
      </c>
      <c r="AO367" s="98">
        <f t="shared" si="234"/>
        <v>1.5598389929881982</v>
      </c>
      <c r="AP367" s="168" t="str">
        <f t="shared" si="235"/>
        <v>-0.0000050642488665817+0.000462271423495208i</v>
      </c>
      <c r="AQ367" s="98">
        <f t="shared" si="236"/>
        <v>-66.701537867603051</v>
      </c>
      <c r="AR367" s="169">
        <f t="shared" si="237"/>
        <v>90.627658264563749</v>
      </c>
      <c r="AS367" s="168" t="str">
        <f t="shared" si="238"/>
        <v>0.000260378025577644-0.000208487110372355i</v>
      </c>
      <c r="AT367" s="190">
        <f t="shared" si="239"/>
        <v>-69.53646925898758</v>
      </c>
      <c r="AU367" s="169">
        <f t="shared" si="240"/>
        <v>-38.684580612515795</v>
      </c>
      <c r="AV367" s="225"/>
      <c r="AX367">
        <f t="shared" si="241"/>
        <v>0</v>
      </c>
      <c r="AY367">
        <f t="shared" si="242"/>
        <v>0</v>
      </c>
    </row>
    <row r="368" spans="14:51" x14ac:dyDescent="0.3">
      <c r="N368" s="170">
        <v>50</v>
      </c>
      <c r="O368" s="199">
        <f t="shared" si="208"/>
        <v>31622.77660168384</v>
      </c>
      <c r="P368" s="189" t="str">
        <f t="shared" si="209"/>
        <v>20.7142857142857</v>
      </c>
      <c r="Q368" s="160" t="str">
        <f t="shared" si="210"/>
        <v>1+45.4152606436393i</v>
      </c>
      <c r="R368" s="160">
        <f t="shared" si="218"/>
        <v>45.426268824653576</v>
      </c>
      <c r="S368" s="160">
        <f t="shared" si="219"/>
        <v>1.5487808540163159</v>
      </c>
      <c r="T368" s="160" t="str">
        <f t="shared" si="211"/>
        <v>1+0.00397383530631844i</v>
      </c>
      <c r="U368" s="160">
        <f t="shared" si="220"/>
        <v>1.0000078956523502</v>
      </c>
      <c r="V368" s="160">
        <f t="shared" si="221"/>
        <v>3.9738143890859978E-3</v>
      </c>
      <c r="W368" s="98" t="str">
        <f t="shared" si="212"/>
        <v>1-1.04313176790859i</v>
      </c>
      <c r="X368" s="160">
        <f t="shared" si="222"/>
        <v>1.4450342159340381</v>
      </c>
      <c r="Y368" s="160">
        <f t="shared" si="223"/>
        <v>-0.80650564308069184</v>
      </c>
      <c r="Z368" s="98" t="str">
        <f t="shared" si="213"/>
        <v>0.916598903275578-0.07783551441303i</v>
      </c>
      <c r="AA368" s="160">
        <f t="shared" si="224"/>
        <v>0.91989777518479388</v>
      </c>
      <c r="AB368" s="160">
        <f t="shared" si="225"/>
        <v>-8.4714511669375672E-2</v>
      </c>
      <c r="AC368" s="171" t="str">
        <f t="shared" si="226"/>
        <v>-0.459159587167054-0.549801455174521i</v>
      </c>
      <c r="AD368" s="190">
        <f t="shared" si="227"/>
        <v>-2.8979022668549503</v>
      </c>
      <c r="AE368" s="169">
        <f t="shared" si="228"/>
        <v>-129.86650905258014</v>
      </c>
      <c r="AF368" s="98" t="str">
        <f t="shared" si="214"/>
        <v>-0.0000897803247373448</v>
      </c>
      <c r="AG368" s="98" t="str">
        <f t="shared" si="215"/>
        <v>0.397383530631845i</v>
      </c>
      <c r="AH368" s="98">
        <f t="shared" si="229"/>
        <v>0.39738353063184501</v>
      </c>
      <c r="AI368" s="98">
        <f t="shared" si="230"/>
        <v>1.5707963267948966</v>
      </c>
      <c r="AJ368" s="98" t="str">
        <f t="shared" si="216"/>
        <v>1+46.6925648492417i</v>
      </c>
      <c r="AK368" s="98">
        <f t="shared" si="231"/>
        <v>46.703271964613378</v>
      </c>
      <c r="AL368" s="98">
        <f t="shared" si="232"/>
        <v>1.5493829143209588</v>
      </c>
      <c r="AM368" s="98" t="str">
        <f t="shared" si="217"/>
        <v>1+93.3851296984836i</v>
      </c>
      <c r="AN368" s="98">
        <f t="shared" si="233"/>
        <v>93.390483716504022</v>
      </c>
      <c r="AO368" s="98">
        <f t="shared" si="234"/>
        <v>1.5600883930693856</v>
      </c>
      <c r="AP368" s="168" t="str">
        <f t="shared" si="235"/>
        <v>-4.83642461851226E-06+0.00045175372046413i</v>
      </c>
      <c r="AQ368" s="98">
        <f t="shared" si="236"/>
        <v>-66.901467498930685</v>
      </c>
      <c r="AR368" s="169">
        <f t="shared" si="237"/>
        <v>90.613378749951835</v>
      </c>
      <c r="AS368" s="168" t="str">
        <f t="shared" si="238"/>
        <v>0.000250595543622883-0.000204767978496391i</v>
      </c>
      <c r="AT368" s="190">
        <f t="shared" si="239"/>
        <v>-69.799369765785627</v>
      </c>
      <c r="AU368" s="169">
        <f t="shared" si="240"/>
        <v>-39.253130302628357</v>
      </c>
      <c r="AV368" s="225"/>
      <c r="AX368">
        <f t="shared" si="241"/>
        <v>0</v>
      </c>
      <c r="AY368">
        <f t="shared" si="242"/>
        <v>0</v>
      </c>
    </row>
    <row r="369" spans="14:51" x14ac:dyDescent="0.3">
      <c r="N369" s="170">
        <v>51</v>
      </c>
      <c r="O369" s="199">
        <f t="shared" si="208"/>
        <v>32359.365692962871</v>
      </c>
      <c r="P369" s="189" t="str">
        <f t="shared" si="209"/>
        <v>20.7142857142857</v>
      </c>
      <c r="Q369" s="160" t="str">
        <f t="shared" si="210"/>
        <v>1+46.47311795924i</v>
      </c>
      <c r="R369" s="160">
        <f t="shared" si="218"/>
        <v>46.483875622127677</v>
      </c>
      <c r="S369" s="160">
        <f t="shared" si="219"/>
        <v>1.5492818309321883</v>
      </c>
      <c r="T369" s="160" t="str">
        <f t="shared" si="211"/>
        <v>1+0.0040663978214335i</v>
      </c>
      <c r="U369" s="160">
        <f t="shared" si="220"/>
        <v>1.0000082677614432</v>
      </c>
      <c r="V369" s="160">
        <f t="shared" si="221"/>
        <v>4.0663754082251339E-3</v>
      </c>
      <c r="W369" s="98" t="str">
        <f t="shared" si="212"/>
        <v>1-1.06742942812629i</v>
      </c>
      <c r="X369" s="160">
        <f t="shared" si="222"/>
        <v>1.4626707025267234</v>
      </c>
      <c r="Y369" s="160">
        <f t="shared" si="223"/>
        <v>-0.81800171117365783</v>
      </c>
      <c r="Z369" s="98" t="str">
        <f t="shared" si="213"/>
        <v>0.912668330681104-0.0796485364494212i</v>
      </c>
      <c r="AA369" s="160">
        <f t="shared" si="224"/>
        <v>0.91613720107130669</v>
      </c>
      <c r="AB369" s="160">
        <f t="shared" si="225"/>
        <v>-8.7049424668689437E-2</v>
      </c>
      <c r="AC369" s="171" t="str">
        <f t="shared" si="226"/>
        <v>-0.461258569187102-0.541693330567506i</v>
      </c>
      <c r="AD369" s="190">
        <f t="shared" si="227"/>
        <v>-2.9568546752276115</v>
      </c>
      <c r="AE369" s="169">
        <f t="shared" si="228"/>
        <v>-130.41480508208008</v>
      </c>
      <c r="AF369" s="98" t="str">
        <f t="shared" si="214"/>
        <v>-0.0000897803247373448</v>
      </c>
      <c r="AG369" s="98" t="str">
        <f t="shared" si="215"/>
        <v>0.406639782143351i</v>
      </c>
      <c r="AH369" s="98">
        <f t="shared" si="229"/>
        <v>0.406639782143351</v>
      </c>
      <c r="AI369" s="98">
        <f t="shared" si="230"/>
        <v>1.5707963267948966</v>
      </c>
      <c r="AJ369" s="98" t="str">
        <f t="shared" si="216"/>
        <v>1+47.7801744018436i</v>
      </c>
      <c r="AK369" s="98">
        <f t="shared" si="231"/>
        <v>47.790637847496768</v>
      </c>
      <c r="AL369" s="98">
        <f t="shared" si="232"/>
        <v>1.5498701991561923</v>
      </c>
      <c r="AM369" s="98" t="str">
        <f t="shared" si="217"/>
        <v>1+95.5603488036875i</v>
      </c>
      <c r="AN369" s="98">
        <f t="shared" si="233"/>
        <v>95.565580956128855</v>
      </c>
      <c r="AO369" s="98">
        <f t="shared" si="234"/>
        <v>1.5603321173988527</v>
      </c>
      <c r="AP369" s="168" t="str">
        <f t="shared" si="235"/>
        <v>-4.61884496009843E-06+0.000441475104107239i</v>
      </c>
      <c r="AQ369" s="98">
        <f t="shared" si="236"/>
        <v>-67.101400295596008</v>
      </c>
      <c r="AR369" s="169">
        <f t="shared" si="237"/>
        <v>90.599423760915357</v>
      </c>
      <c r="AS369" s="168" t="str">
        <f t="shared" si="238"/>
        <v>0.000241274601324079-0.000201132177342421i</v>
      </c>
      <c r="AT369" s="190">
        <f t="shared" si="239"/>
        <v>-70.058254970823612</v>
      </c>
      <c r="AU369" s="169">
        <f t="shared" si="240"/>
        <v>-39.815381321164672</v>
      </c>
      <c r="AV369" s="225"/>
      <c r="AX369">
        <f t="shared" si="241"/>
        <v>0</v>
      </c>
      <c r="AY369">
        <f t="shared" si="242"/>
        <v>0</v>
      </c>
    </row>
    <row r="370" spans="14:51" x14ac:dyDescent="0.3">
      <c r="N370" s="170">
        <v>52</v>
      </c>
      <c r="O370" s="199">
        <f t="shared" si="208"/>
        <v>33113.11214825909</v>
      </c>
      <c r="P370" s="189" t="str">
        <f t="shared" si="209"/>
        <v>20.7142857142857</v>
      </c>
      <c r="Q370" s="160" t="str">
        <f t="shared" si="210"/>
        <v>1+47.5556159371271i</v>
      </c>
      <c r="R370" s="160">
        <f t="shared" si="218"/>
        <v>47.566128780462435</v>
      </c>
      <c r="S370" s="160">
        <f t="shared" si="219"/>
        <v>1.5497714146582819</v>
      </c>
      <c r="T370" s="160" t="str">
        <f t="shared" si="211"/>
        <v>1+0.00416111639449862i</v>
      </c>
      <c r="U370" s="160">
        <f t="shared" si="220"/>
        <v>1.000008657407349</v>
      </c>
      <c r="V370" s="160">
        <f t="shared" si="221"/>
        <v>4.1610923783243934E-3</v>
      </c>
      <c r="W370" s="98" t="str">
        <f t="shared" si="212"/>
        <v>1-1.09229305355588i</v>
      </c>
      <c r="X370" s="160">
        <f t="shared" si="222"/>
        <v>1.4809132705349184</v>
      </c>
      <c r="Y370" s="160">
        <f t="shared" si="223"/>
        <v>-0.82948054594365905</v>
      </c>
      <c r="Z370" s="98" t="str">
        <f t="shared" si="213"/>
        <v>0.908552515907243-0.0815037891941108i</v>
      </c>
      <c r="AA370" s="160">
        <f t="shared" si="224"/>
        <v>0.91220093280722903</v>
      </c>
      <c r="AB370" s="160">
        <f t="shared" si="225"/>
        <v>-8.9467814155090503E-2</v>
      </c>
      <c r="AC370" s="171" t="str">
        <f t="shared" si="226"/>
        <v>-0.463424324410591-0.533925836684824i</v>
      </c>
      <c r="AD370" s="190">
        <f t="shared" si="227"/>
        <v>-3.0116994482211217</v>
      </c>
      <c r="AE370" s="169">
        <f t="shared" si="228"/>
        <v>-130.95655455592805</v>
      </c>
      <c r="AF370" s="98" t="str">
        <f t="shared" si="214"/>
        <v>-0.0000897803247373448</v>
      </c>
      <c r="AG370" s="98" t="str">
        <f t="shared" si="215"/>
        <v>0.416111639449863i</v>
      </c>
      <c r="AH370" s="98">
        <f t="shared" si="229"/>
        <v>0.41611163944986301</v>
      </c>
      <c r="AI370" s="98">
        <f t="shared" si="230"/>
        <v>1.5707963267948966</v>
      </c>
      <c r="AJ370" s="98" t="str">
        <f t="shared" si="216"/>
        <v>1+48.8931176353588i</v>
      </c>
      <c r="AK370" s="98">
        <f t="shared" si="231"/>
        <v>48.903342954291311</v>
      </c>
      <c r="AL370" s="98">
        <f t="shared" si="232"/>
        <v>1.5503464016386139</v>
      </c>
      <c r="AM370" s="98" t="str">
        <f t="shared" si="217"/>
        <v>1+97.7862352707178i</v>
      </c>
      <c r="AN370" s="98">
        <f t="shared" si="233"/>
        <v>97.791348331128845</v>
      </c>
      <c r="AO370" s="98">
        <f t="shared" si="234"/>
        <v>1.5605702950865776</v>
      </c>
      <c r="AP370" s="168" t="str">
        <f t="shared" si="235"/>
        <v>-4.41104961700573E-06+0.000431430153850613i</v>
      </c>
      <c r="AQ370" s="98">
        <f t="shared" si="236"/>
        <v>-67.301336115291392</v>
      </c>
      <c r="AR370" s="169">
        <f t="shared" si="237"/>
        <v>90.585785944759778</v>
      </c>
      <c r="AS370" s="168" t="str">
        <f t="shared" si="238"/>
        <v>0.000232395893554453-0.00019758005422116i</v>
      </c>
      <c r="AT370" s="190">
        <f t="shared" si="239"/>
        <v>-70.313035563512514</v>
      </c>
      <c r="AU370" s="169">
        <f t="shared" si="240"/>
        <v>-40.370768611168366</v>
      </c>
      <c r="AV370" s="225"/>
      <c r="AX370">
        <f t="shared" si="241"/>
        <v>0</v>
      </c>
      <c r="AY370">
        <f t="shared" si="242"/>
        <v>0</v>
      </c>
    </row>
    <row r="371" spans="14:51" x14ac:dyDescent="0.3">
      <c r="N371" s="170">
        <v>53</v>
      </c>
      <c r="O371" s="199">
        <f t="shared" si="208"/>
        <v>33884.41561392029</v>
      </c>
      <c r="P371" s="189" t="str">
        <f t="shared" si="209"/>
        <v>20.7142857142857</v>
      </c>
      <c r="Q371" s="160" t="str">
        <f t="shared" si="210"/>
        <v>1+48.6633285320574i</v>
      </c>
      <c r="R371" s="160">
        <f t="shared" si="218"/>
        <v>48.673602124960418</v>
      </c>
      <c r="S371" s="160">
        <f t="shared" si="219"/>
        <v>1.5502498638390358</v>
      </c>
      <c r="T371" s="160" t="str">
        <f t="shared" si="211"/>
        <v>1+0.00425804124655502i</v>
      </c>
      <c r="U371" s="160">
        <f t="shared" si="220"/>
        <v>1.0000090654165379</v>
      </c>
      <c r="V371" s="160">
        <f t="shared" si="221"/>
        <v>4.2580155127732982E-3</v>
      </c>
      <c r="W371" s="98" t="str">
        <f t="shared" si="212"/>
        <v>1-1.11773582722069i</v>
      </c>
      <c r="X371" s="160">
        <f t="shared" si="222"/>
        <v>1.4997777766898401</v>
      </c>
      <c r="Y371" s="160">
        <f t="shared" si="223"/>
        <v>-0.84093613469730022</v>
      </c>
      <c r="Z371" s="98" t="str">
        <f t="shared" si="213"/>
        <v>0.904242728759043-0.0834022563266619i</v>
      </c>
      <c r="AA371" s="160">
        <f t="shared" si="224"/>
        <v>0.90808086031695356</v>
      </c>
      <c r="AB371" s="160">
        <f t="shared" si="225"/>
        <v>-9.1974143258547941E-2</v>
      </c>
      <c r="AC371" s="171" t="str">
        <f t="shared" si="226"/>
        <v>-0.465662972103206-0.526499735057345i</v>
      </c>
      <c r="AD371" s="190">
        <f t="shared" si="227"/>
        <v>-3.0623439302443662</v>
      </c>
      <c r="AE371" s="169">
        <f t="shared" si="228"/>
        <v>-131.49116919587792</v>
      </c>
      <c r="AF371" s="98" t="str">
        <f t="shared" si="214"/>
        <v>-0.0000897803247373448</v>
      </c>
      <c r="AG371" s="98" t="str">
        <f t="shared" si="215"/>
        <v>0.425804124655501i</v>
      </c>
      <c r="AH371" s="98">
        <f t="shared" si="229"/>
        <v>0.42580412465550099</v>
      </c>
      <c r="AI371" s="98">
        <f t="shared" si="230"/>
        <v>1.5707963267948966</v>
      </c>
      <c r="AJ371" s="98" t="str">
        <f t="shared" si="216"/>
        <v>1+50.0319846470215i</v>
      </c>
      <c r="AK371" s="98">
        <f t="shared" si="231"/>
        <v>50.041977256297486</v>
      </c>
      <c r="AL371" s="98">
        <f t="shared" si="232"/>
        <v>1.5508117733926845</v>
      </c>
      <c r="AM371" s="98" t="str">
        <f t="shared" si="217"/>
        <v>1+100.063969294043i</v>
      </c>
      <c r="AN371" s="98">
        <f t="shared" si="233"/>
        <v>100.06896597286884</v>
      </c>
      <c r="AO371" s="98">
        <f t="shared" si="234"/>
        <v>1.5608030523093694</v>
      </c>
      <c r="AP371" s="168" t="str">
        <f t="shared" si="235"/>
        <v>-4.21259895961545E-06+0.000421613571061331i</v>
      </c>
      <c r="AQ371" s="98">
        <f t="shared" si="236"/>
        <v>-67.501274822100385</v>
      </c>
      <c r="AR371" s="169">
        <f t="shared" si="237"/>
        <v>90.572458113864073</v>
      </c>
      <c r="AS371" s="168" t="str">
        <f t="shared" si="238"/>
        <v>0.000223941084812185-0.000194111896343325i</v>
      </c>
      <c r="AT371" s="190">
        <f t="shared" si="239"/>
        <v>-70.563618752344766</v>
      </c>
      <c r="AU371" s="169">
        <f t="shared" si="240"/>
        <v>-40.918711082013843</v>
      </c>
      <c r="AV371" s="225"/>
      <c r="AX371">
        <f t="shared" si="241"/>
        <v>0</v>
      </c>
      <c r="AY371">
        <f t="shared" si="242"/>
        <v>0</v>
      </c>
    </row>
    <row r="372" spans="14:51" x14ac:dyDescent="0.3">
      <c r="N372" s="170">
        <v>54</v>
      </c>
      <c r="O372" s="199">
        <f t="shared" si="208"/>
        <v>34673.685045253202</v>
      </c>
      <c r="P372" s="189" t="str">
        <f t="shared" si="209"/>
        <v>20.7142857142857</v>
      </c>
      <c r="Q372" s="160" t="str">
        <f t="shared" si="210"/>
        <v>1+49.7968430679102i</v>
      </c>
      <c r="R372" s="160">
        <f t="shared" si="218"/>
        <v>49.80688285297601</v>
      </c>
      <c r="S372" s="160">
        <f t="shared" si="219"/>
        <v>1.5507174312778471</v>
      </c>
      <c r="T372" s="160" t="str">
        <f t="shared" si="211"/>
        <v>1+0.00435722376844214i</v>
      </c>
      <c r="U372" s="160">
        <f t="shared" si="220"/>
        <v>1.000009492654429</v>
      </c>
      <c r="V372" s="160">
        <f t="shared" si="221"/>
        <v>4.3571961942123648E-3</v>
      </c>
      <c r="W372" s="98" t="str">
        <f t="shared" si="212"/>
        <v>1-1.14377123921606i</v>
      </c>
      <c r="X372" s="160">
        <f t="shared" si="222"/>
        <v>1.5192803058217537</v>
      </c>
      <c r="Y372" s="160">
        <f t="shared" si="223"/>
        <v>-0.85236252574033322</v>
      </c>
      <c r="Z372" s="98" t="str">
        <f t="shared" si="213"/>
        <v>0.899729827600141-0.0853449444394759i</v>
      </c>
      <c r="AA372" s="160">
        <f t="shared" si="224"/>
        <v>0.90376851140917525</v>
      </c>
      <c r="AB372" s="160">
        <f t="shared" si="225"/>
        <v>-9.4573221398127169E-2</v>
      </c>
      <c r="AC372" s="171" t="str">
        <f t="shared" si="226"/>
        <v>-0.467980946448878-0.519416444131789i</v>
      </c>
      <c r="AD372" s="190">
        <f t="shared" si="227"/>
        <v>-3.1086915045560248</v>
      </c>
      <c r="AE372" s="169">
        <f t="shared" si="228"/>
        <v>-132.0180439761132</v>
      </c>
      <c r="AF372" s="98" t="str">
        <f t="shared" si="214"/>
        <v>-0.0000897803247373448</v>
      </c>
      <c r="AG372" s="98" t="str">
        <f t="shared" si="215"/>
        <v>0.435722376844215i</v>
      </c>
      <c r="AH372" s="98">
        <f t="shared" si="229"/>
        <v>0.435722376844215</v>
      </c>
      <c r="AI372" s="98">
        <f t="shared" si="230"/>
        <v>1.5707963267948966</v>
      </c>
      <c r="AJ372" s="98" t="str">
        <f t="shared" si="216"/>
        <v>1+51.1973792791951i</v>
      </c>
      <c r="AK372" s="98">
        <f t="shared" si="231"/>
        <v>51.207144472795541</v>
      </c>
      <c r="AL372" s="98">
        <f t="shared" si="232"/>
        <v>1.5512665603579181</v>
      </c>
      <c r="AM372" s="98" t="str">
        <f t="shared" si="217"/>
        <v>1+102.394758558391i</v>
      </c>
      <c r="AN372" s="98">
        <f t="shared" si="233"/>
        <v>102.39964150440755</v>
      </c>
      <c r="AO372" s="98">
        <f t="shared" si="234"/>
        <v>1.5610305123772519</v>
      </c>
      <c r="AP372" s="168" t="str">
        <f t="shared" si="235"/>
        <v>-4.02307308010179E-06+0.000412020176368051i</v>
      </c>
      <c r="AQ372" s="98">
        <f t="shared" si="236"/>
        <v>-67.701216286211206</v>
      </c>
      <c r="AR372" s="169">
        <f t="shared" si="237"/>
        <v>90.559433242076054</v>
      </c>
      <c r="AS372" s="168" t="str">
        <f t="shared" si="238"/>
        <v>0.000215892776467305-0.000190727941779005i</v>
      </c>
      <c r="AT372" s="190">
        <f t="shared" si="239"/>
        <v>-70.809907790767227</v>
      </c>
      <c r="AU372" s="169">
        <f t="shared" si="240"/>
        <v>-41.458610734037045</v>
      </c>
      <c r="AV372" s="225"/>
      <c r="AX372">
        <f t="shared" si="241"/>
        <v>0</v>
      </c>
      <c r="AY372">
        <f t="shared" si="242"/>
        <v>0</v>
      </c>
    </row>
    <row r="373" spans="14:51" x14ac:dyDescent="0.3">
      <c r="N373" s="170">
        <v>55</v>
      </c>
      <c r="O373" s="199">
        <f t="shared" si="208"/>
        <v>35481.33892335758</v>
      </c>
      <c r="P373" s="189" t="str">
        <f t="shared" si="209"/>
        <v>20.7142857142857</v>
      </c>
      <c r="Q373" s="160" t="str">
        <f t="shared" si="210"/>
        <v>1+50.9567605490971i</v>
      </c>
      <c r="R373" s="160">
        <f t="shared" si="218"/>
        <v>50.966571845259693</v>
      </c>
      <c r="S373" s="160">
        <f t="shared" si="219"/>
        <v>1.5511743640669386</v>
      </c>
      <c r="T373" s="160" t="str">
        <f t="shared" si="211"/>
        <v>1+0.004458716548046i</v>
      </c>
      <c r="U373" s="160">
        <f t="shared" si="220"/>
        <v>1.0000099400272258</v>
      </c>
      <c r="V373" s="160">
        <f t="shared" si="221"/>
        <v>4.4586870017423305E-3</v>
      </c>
      <c r="W373" s="98" t="str">
        <f t="shared" si="212"/>
        <v>1-1.17041309386207i</v>
      </c>
      <c r="X373" s="160">
        <f t="shared" si="222"/>
        <v>1.5394371732174661</v>
      </c>
      <c r="Y373" s="160">
        <f t="shared" si="223"/>
        <v>-0.8637538435751263</v>
      </c>
      <c r="Z373" s="98" t="str">
        <f t="shared" si="213"/>
        <v>0.895004239962121-0.0873328835715064i</v>
      </c>
      <c r="AA373" s="160">
        <f t="shared" si="224"/>
        <v>0.89925503729647693</v>
      </c>
      <c r="AB373" s="160">
        <f t="shared" si="225"/>
        <v>-9.7270239013127188E-2</v>
      </c>
      <c r="AC373" s="171" t="str">
        <f t="shared" si="226"/>
        <v>-0.470385027301279-0.512678095322235i</v>
      </c>
      <c r="AD373" s="190">
        <f t="shared" si="227"/>
        <v>-3.150641069646948</v>
      </c>
      <c r="AE373" s="169">
        <f t="shared" si="228"/>
        <v>-132.53655600993227</v>
      </c>
      <c r="AF373" s="98" t="str">
        <f t="shared" si="214"/>
        <v>-0.0000897803247373448</v>
      </c>
      <c r="AG373" s="98" t="str">
        <f t="shared" si="215"/>
        <v>0.445871654804599i</v>
      </c>
      <c r="AH373" s="98">
        <f t="shared" si="229"/>
        <v>0.445871654804599</v>
      </c>
      <c r="AI373" s="98">
        <f t="shared" si="230"/>
        <v>1.5707963267948966</v>
      </c>
      <c r="AJ373" s="98" t="str">
        <f t="shared" si="216"/>
        <v>1+52.3899194395405i</v>
      </c>
      <c r="AK373" s="98">
        <f t="shared" si="231"/>
        <v>52.39946239115001</v>
      </c>
      <c r="AL373" s="98">
        <f t="shared" si="232"/>
        <v>1.5517110029154393</v>
      </c>
      <c r="AM373" s="98" t="str">
        <f t="shared" si="217"/>
        <v>1+104.779838879081i</v>
      </c>
      <c r="AN373" s="98">
        <f t="shared" si="233"/>
        <v>104.78461068079689</v>
      </c>
      <c r="AO373" s="98">
        <f t="shared" si="234"/>
        <v>1.5612527957983624</v>
      </c>
      <c r="AP373" s="168" t="str">
        <f t="shared" si="235"/>
        <v>-3.84207091049847E-06+0.000402644907036157i</v>
      </c>
      <c r="AQ373" s="98">
        <f t="shared" si="236"/>
        <v>-67.901160383643415</v>
      </c>
      <c r="AR373" s="169">
        <f t="shared" si="237"/>
        <v>90.546704461179459</v>
      </c>
      <c r="AS373" s="168" t="str">
        <f t="shared" si="238"/>
        <v>0.000208234476660624-0.000187428389992436i</v>
      </c>
      <c r="AT373" s="190">
        <f t="shared" si="239"/>
        <v>-71.051801453290352</v>
      </c>
      <c r="AU373" s="169">
        <f t="shared" si="240"/>
        <v>-41.989851548752711</v>
      </c>
      <c r="AV373" s="225"/>
      <c r="AX373">
        <f t="shared" si="241"/>
        <v>0</v>
      </c>
      <c r="AY373">
        <f t="shared" si="242"/>
        <v>0</v>
      </c>
    </row>
    <row r="374" spans="14:51" x14ac:dyDescent="0.3">
      <c r="N374" s="170">
        <v>56</v>
      </c>
      <c r="O374" s="199">
        <f t="shared" si="208"/>
        <v>36307.805477010232</v>
      </c>
      <c r="P374" s="189" t="str">
        <f t="shared" si="209"/>
        <v>20.7142857142857</v>
      </c>
      <c r="Q374" s="160" t="str">
        <f t="shared" si="210"/>
        <v>1+52.1436959792194i</v>
      </c>
      <c r="R374" s="160">
        <f t="shared" si="218"/>
        <v>52.153283984551358</v>
      </c>
      <c r="S374" s="160">
        <f t="shared" si="219"/>
        <v>1.5516209037144704</v>
      </c>
      <c r="T374" s="160" t="str">
        <f t="shared" si="211"/>
        <v>1+0.0045625733981817i</v>
      </c>
      <c r="U374" s="160">
        <f t="shared" si="220"/>
        <v>1.0000104084838386</v>
      </c>
      <c r="V374" s="160">
        <f t="shared" si="221"/>
        <v>4.5625417387647168E-3</v>
      </c>
      <c r="W374" s="98" t="str">
        <f t="shared" si="212"/>
        <v>1-1.19767551702269i</v>
      </c>
      <c r="X374" s="160">
        <f t="shared" si="222"/>
        <v>1.5602649275285168</v>
      </c>
      <c r="Y374" s="160">
        <f t="shared" si="223"/>
        <v>-0.87510430361669811</v>
      </c>
      <c r="Z374" s="98" t="str">
        <f t="shared" si="213"/>
        <v>0.890055942240036-0.0893671277543934i</v>
      </c>
      <c r="AA374" s="160">
        <f t="shared" si="224"/>
        <v>0.89453119780132229</v>
      </c>
      <c r="AB374" s="160">
        <f t="shared" si="225"/>
        <v>-0.10007080651197943</v>
      </c>
      <c r="AC374" s="171" t="str">
        <f t="shared" si="226"/>
        <v>-0.472882373504986-0.506287596775557i</v>
      </c>
      <c r="AD374" s="190">
        <f t="shared" si="227"/>
        <v>-3.1880864618237892</v>
      </c>
      <c r="AE374" s="169">
        <f t="shared" si="228"/>
        <v>-133.04606316699537</v>
      </c>
      <c r="AF374" s="98" t="str">
        <f t="shared" si="214"/>
        <v>-0.0000897803247373448</v>
      </c>
      <c r="AG374" s="98" t="str">
        <f t="shared" si="215"/>
        <v>0.45625733981817i</v>
      </c>
      <c r="AH374" s="98">
        <f t="shared" si="229"/>
        <v>0.45625733981817002</v>
      </c>
      <c r="AI374" s="98">
        <f t="shared" si="230"/>
        <v>1.5707963267948966</v>
      </c>
      <c r="AJ374" s="98" t="str">
        <f t="shared" si="216"/>
        <v>1+53.610237428635i</v>
      </c>
      <c r="AK374" s="98">
        <f t="shared" si="231"/>
        <v>53.619563194366073</v>
      </c>
      <c r="AL374" s="98">
        <f t="shared" si="232"/>
        <v>1.5521453360118487</v>
      </c>
      <c r="AM374" s="98" t="str">
        <f t="shared" si="217"/>
        <v>1+107.22047485727i</v>
      </c>
      <c r="AN374" s="98">
        <f t="shared" si="233"/>
        <v>107.22513804429663</v>
      </c>
      <c r="AO374" s="98">
        <f t="shared" si="234"/>
        <v>1.5614700203423992</v>
      </c>
      <c r="AP374" s="168" t="str">
        <f t="shared" si="235"/>
        <v>-3.66920937996049E-06+0.000393482814396727i</v>
      </c>
      <c r="AQ374" s="98">
        <f t="shared" si="236"/>
        <v>-68.101106995985845</v>
      </c>
      <c r="AR374" s="169">
        <f t="shared" si="237"/>
        <v>90.534265057432322</v>
      </c>
      <c r="AS374" s="168" t="str">
        <f t="shared" si="238"/>
        <v>0.000200950572913884-0.0001842134120063i</v>
      </c>
      <c r="AT374" s="190">
        <f t="shared" si="239"/>
        <v>-71.289193457809617</v>
      </c>
      <c r="AU374" s="169">
        <f t="shared" si="240"/>
        <v>-42.511798109563088</v>
      </c>
      <c r="AV374" s="225"/>
      <c r="AX374">
        <f t="shared" si="241"/>
        <v>0</v>
      </c>
      <c r="AY374">
        <f t="shared" si="242"/>
        <v>0</v>
      </c>
    </row>
    <row r="375" spans="14:51" x14ac:dyDescent="0.3">
      <c r="N375" s="170">
        <v>57</v>
      </c>
      <c r="O375" s="199">
        <f t="shared" si="208"/>
        <v>37153.522909717351</v>
      </c>
      <c r="P375" s="189" t="str">
        <f t="shared" si="209"/>
        <v>20.7142857142857</v>
      </c>
      <c r="Q375" s="160" t="str">
        <f t="shared" si="210"/>
        <v>1+53.3582786871534i</v>
      </c>
      <c r="R375" s="160">
        <f t="shared" si="218"/>
        <v>53.36764848160287</v>
      </c>
      <c r="S375" s="160">
        <f t="shared" si="219"/>
        <v>1.5520572862689537</v>
      </c>
      <c r="T375" s="160" t="str">
        <f t="shared" si="211"/>
        <v>1+0.00466884938512592i</v>
      </c>
      <c r="U375" s="160">
        <f t="shared" si="220"/>
        <v>1.0000108990178962</v>
      </c>
      <c r="V375" s="160">
        <f t="shared" si="221"/>
        <v>4.6688154614693989E-3</v>
      </c>
      <c r="W375" s="98" t="str">
        <f t="shared" si="212"/>
        <v>1-1.22557296359555i</v>
      </c>
      <c r="X375" s="160">
        <f t="shared" si="222"/>
        <v>1.5817803542516196</v>
      </c>
      <c r="Y375" s="160">
        <f t="shared" si="223"/>
        <v>-0.88640822634018968</v>
      </c>
      <c r="Z375" s="98" t="str">
        <f t="shared" si="213"/>
        <v>0.884874438430984-0.0914487555713296i</v>
      </c>
      <c r="AA375" s="160">
        <f t="shared" si="224"/>
        <v>0.88958734629270331</v>
      </c>
      <c r="AB375" s="160">
        <f t="shared" si="225"/>
        <v>-0.10298099804315171</v>
      </c>
      <c r="AC375" s="171" t="str">
        <f t="shared" si="226"/>
        <v>-0.475480559038976-0.500248706024759i</v>
      </c>
      <c r="AD375" s="190">
        <f t="shared" si="227"/>
        <v>-3.2209158194906862</v>
      </c>
      <c r="AE375" s="169">
        <f t="shared" si="228"/>
        <v>-133.54590238152355</v>
      </c>
      <c r="AF375" s="98" t="str">
        <f t="shared" si="214"/>
        <v>-0.0000897803247373448</v>
      </c>
      <c r="AG375" s="98" t="str">
        <f t="shared" si="215"/>
        <v>0.466884938512592i</v>
      </c>
      <c r="AH375" s="98">
        <f t="shared" si="229"/>
        <v>0.466884938512592</v>
      </c>
      <c r="AI375" s="98">
        <f t="shared" si="230"/>
        <v>1.5707963267948966</v>
      </c>
      <c r="AJ375" s="98" t="str">
        <f t="shared" si="216"/>
        <v>1+54.8589802752296i</v>
      </c>
      <c r="AK375" s="98">
        <f t="shared" si="231"/>
        <v>54.868093796285926</v>
      </c>
      <c r="AL375" s="98">
        <f t="shared" si="232"/>
        <v>1.5525697892804482</v>
      </c>
      <c r="AM375" s="98" t="str">
        <f t="shared" si="217"/>
        <v>1+109.717960550459i</v>
      </c>
      <c r="AN375" s="98">
        <f t="shared" si="233"/>
        <v>109.72251759484959</v>
      </c>
      <c r="AO375" s="98">
        <f t="shared" si="234"/>
        <v>1.5616823011026428</v>
      </c>
      <c r="AP375" s="168" t="str">
        <f t="shared" si="235"/>
        <v>-3.50412260949721E-06+0.000384529061328386i</v>
      </c>
      <c r="AQ375" s="98">
        <f t="shared" si="236"/>
        <v>-68.301056010147448</v>
      </c>
      <c r="AR375" s="169">
        <f t="shared" si="237"/>
        <v>90.522108468174821</v>
      </c>
      <c r="AS375" s="168" t="str">
        <f t="shared" si="238"/>
        <v>0.000194026307535745-0.000181083160246001i</v>
      </c>
      <c r="AT375" s="190">
        <f t="shared" si="239"/>
        <v>-71.521971829638119</v>
      </c>
      <c r="AU375" s="169">
        <f t="shared" si="240"/>
        <v>-43.023793913348811</v>
      </c>
      <c r="AV375" s="225"/>
      <c r="AX375">
        <f t="shared" si="241"/>
        <v>0</v>
      </c>
      <c r="AY375">
        <f t="shared" si="242"/>
        <v>0</v>
      </c>
    </row>
    <row r="376" spans="14:51" x14ac:dyDescent="0.3">
      <c r="N376" s="170">
        <v>58</v>
      </c>
      <c r="O376" s="199">
        <f t="shared" si="208"/>
        <v>38018.939632056143</v>
      </c>
      <c r="P376" s="189" t="str">
        <f t="shared" si="209"/>
        <v>20.7142857142857</v>
      </c>
      <c r="Q376" s="160" t="str">
        <f t="shared" si="210"/>
        <v>1+54.6011526607275i</v>
      </c>
      <c r="R376" s="160">
        <f t="shared" si="218"/>
        <v>54.610309208793815</v>
      </c>
      <c r="S376" s="160">
        <f t="shared" si="219"/>
        <v>1.5524837424410121</v>
      </c>
      <c r="T376" s="160" t="str">
        <f t="shared" si="211"/>
        <v>1+0.00477760085781366i</v>
      </c>
      <c r="U376" s="160">
        <f t="shared" si="220"/>
        <v>1.0000114126698538</v>
      </c>
      <c r="V376" s="160">
        <f t="shared" si="221"/>
        <v>4.7775645079831987E-3</v>
      </c>
      <c r="W376" s="98" t="str">
        <f t="shared" si="212"/>
        <v>1-1.25412022517608i</v>
      </c>
      <c r="X376" s="160">
        <f t="shared" si="222"/>
        <v>1.6040004797990872</v>
      </c>
      <c r="Y376" s="160">
        <f t="shared" si="223"/>
        <v>-0.89766005077894651</v>
      </c>
      <c r="Z376" s="98" t="str">
        <f t="shared" si="213"/>
        <v>0.879448737870692-0.0935788707289371i</v>
      </c>
      <c r="AA376" s="160">
        <f t="shared" si="224"/>
        <v>0.88441341441050991</v>
      </c>
      <c r="AB376" s="160">
        <f t="shared" si="225"/>
        <v>-0.10600740079260648</v>
      </c>
      <c r="AC376" s="171" t="str">
        <f t="shared" si="226"/>
        <v>-0.478187612251888-0.494566112910892i</v>
      </c>
      <c r="AD376" s="190">
        <f t="shared" si="227"/>
        <v>-3.2490108840568608</v>
      </c>
      <c r="AE376" s="169">
        <f t="shared" si="228"/>
        <v>-134.03538760645094</v>
      </c>
      <c r="AF376" s="98" t="str">
        <f t="shared" si="214"/>
        <v>-0.0000897803247373448</v>
      </c>
      <c r="AG376" s="98" t="str">
        <f t="shared" si="215"/>
        <v>0.477760085781366i</v>
      </c>
      <c r="AH376" s="98">
        <f t="shared" si="229"/>
        <v>0.47776008578136597</v>
      </c>
      <c r="AI376" s="98">
        <f t="shared" si="230"/>
        <v>1.5707963267948966</v>
      </c>
      <c r="AJ376" s="98" t="str">
        <f t="shared" si="216"/>
        <v>1+56.1368100793105i</v>
      </c>
      <c r="AK376" s="98">
        <f t="shared" si="231"/>
        <v>56.145716184590398</v>
      </c>
      <c r="AL376" s="98">
        <f t="shared" si="232"/>
        <v>1.5529845871598704</v>
      </c>
      <c r="AM376" s="98" t="str">
        <f t="shared" si="217"/>
        <v>1+112.273620158621i</v>
      </c>
      <c r="AN376" s="98">
        <f t="shared" si="233"/>
        <v>112.27807347617927</v>
      </c>
      <c r="AO376" s="98">
        <f t="shared" si="234"/>
        <v>1.5618897505565903</v>
      </c>
      <c r="AP376" s="168" t="str">
        <f t="shared" si="235"/>
        <v>-3.34646114253376E-06+0.000375778919791315i</v>
      </c>
      <c r="AQ376" s="98">
        <f t="shared" si="236"/>
        <v>-68.501007318118312</v>
      </c>
      <c r="AR376" s="169">
        <f t="shared" si="237"/>
        <v>90.510228278506432</v>
      </c>
      <c r="AS376" s="168" t="str">
        <f t="shared" si="238"/>
        <v>0.000187447755938286-0.000178037778110332i</v>
      </c>
      <c r="AT376" s="190">
        <f t="shared" si="239"/>
        <v>-71.750018202175198</v>
      </c>
      <c r="AU376" s="169">
        <f t="shared" si="240"/>
        <v>-43.5251593279445</v>
      </c>
      <c r="AV376" s="225"/>
      <c r="AX376">
        <f t="shared" si="241"/>
        <v>0</v>
      </c>
      <c r="AY376">
        <f t="shared" si="242"/>
        <v>0</v>
      </c>
    </row>
    <row r="377" spans="14:51" x14ac:dyDescent="0.3">
      <c r="N377" s="170">
        <v>59</v>
      </c>
      <c r="O377" s="199">
        <f t="shared" si="208"/>
        <v>38904.514499428085</v>
      </c>
      <c r="P377" s="189" t="str">
        <f t="shared" si="209"/>
        <v>20.7142857142857</v>
      </c>
      <c r="Q377" s="160" t="str">
        <f t="shared" si="210"/>
        <v>1+55.8729768881742i</v>
      </c>
      <c r="R377" s="160">
        <f t="shared" si="218"/>
        <v>55.881925041523473</v>
      </c>
      <c r="S377" s="160">
        <f t="shared" si="219"/>
        <v>1.552900497722538</v>
      </c>
      <c r="T377" s="160" t="str">
        <f t="shared" si="211"/>
        <v>1+0.00488888547771524i</v>
      </c>
      <c r="U377" s="160">
        <f t="shared" si="220"/>
        <v>1.0000119505291996</v>
      </c>
      <c r="V377" s="160">
        <f t="shared" si="221"/>
        <v>4.888846528195297E-3</v>
      </c>
      <c r="W377" s="98" t="str">
        <f t="shared" si="212"/>
        <v>1-1.28333243790025i</v>
      </c>
      <c r="X377" s="160">
        <f t="shared" si="222"/>
        <v>1.626942576173787</v>
      </c>
      <c r="Y377" s="160">
        <f t="shared" si="223"/>
        <v>-0.908854347299904</v>
      </c>
      <c r="Z377" s="98" t="str">
        <f t="shared" si="213"/>
        <v>0.873767331920835-0.095758602642468i</v>
      </c>
      <c r="AA377" s="160">
        <f t="shared" si="224"/>
        <v>0.87899889665009967</v>
      </c>
      <c r="AB377" s="160">
        <f t="shared" si="225"/>
        <v>-0.10915717063179206</v>
      </c>
      <c r="AC377" s="171" t="str">
        <f t="shared" si="226"/>
        <v>-0.481012058473511-0.489245534401777i</v>
      </c>
      <c r="AD377" s="190">
        <f t="shared" si="227"/>
        <v>-3.272246231731009</v>
      </c>
      <c r="AE377" s="169">
        <f t="shared" si="228"/>
        <v>-134.51380736212417</v>
      </c>
      <c r="AF377" s="98" t="str">
        <f t="shared" si="214"/>
        <v>-0.0000897803247373448</v>
      </c>
      <c r="AG377" s="98" t="str">
        <f t="shared" si="215"/>
        <v>0.488888547771524i</v>
      </c>
      <c r="AH377" s="98">
        <f t="shared" si="229"/>
        <v>0.48888854777152402</v>
      </c>
      <c r="AI377" s="98">
        <f t="shared" si="230"/>
        <v>1.5707963267948966</v>
      </c>
      <c r="AJ377" s="98" t="str">
        <f t="shared" si="216"/>
        <v>1+57.4444043631541i</v>
      </c>
      <c r="AK377" s="98">
        <f t="shared" si="231"/>
        <v>57.45310777179558</v>
      </c>
      <c r="AL377" s="98">
        <f t="shared" si="232"/>
        <v>1.5533899490101619</v>
      </c>
      <c r="AM377" s="98" t="str">
        <f t="shared" si="217"/>
        <v>1+114.888808726308i</v>
      </c>
      <c r="AN377" s="98">
        <f t="shared" si="233"/>
        <v>114.89316067786709</v>
      </c>
      <c r="AO377" s="98">
        <f t="shared" si="234"/>
        <v>1.5620924786252257</v>
      </c>
      <c r="AP377" s="168" t="str">
        <f t="shared" si="235"/>
        <v>-3.19589120972233E-06+0.000367227768412499i</v>
      </c>
      <c r="AQ377" s="98">
        <f t="shared" si="236"/>
        <v>-68.700960816742054</v>
      </c>
      <c r="AR377" s="169">
        <f t="shared" si="237"/>
        <v>90.498618218030771</v>
      </c>
      <c r="AS377" s="168" t="str">
        <f t="shared" si="238"/>
        <v>0.000181201808013591-0.000175077409309939i</v>
      </c>
      <c r="AT377" s="190">
        <f t="shared" si="239"/>
        <v>-71.973207048473071</v>
      </c>
      <c r="AU377" s="169">
        <f t="shared" si="240"/>
        <v>-44.015189144093341</v>
      </c>
      <c r="AV377" s="225"/>
      <c r="AX377">
        <f t="shared" si="241"/>
        <v>0</v>
      </c>
      <c r="AY377">
        <f t="shared" si="242"/>
        <v>0</v>
      </c>
    </row>
    <row r="378" spans="14:51" x14ac:dyDescent="0.3">
      <c r="N378" s="170">
        <v>60</v>
      </c>
      <c r="O378" s="199">
        <f t="shared" si="208"/>
        <v>39810.717055349742</v>
      </c>
      <c r="P378" s="189" t="str">
        <f t="shared" si="209"/>
        <v>20.7142857142857</v>
      </c>
      <c r="Q378" s="160" t="str">
        <f t="shared" si="210"/>
        <v>1+57.174425707533i</v>
      </c>
      <c r="R378" s="160">
        <f t="shared" si="218"/>
        <v>57.18317020755503</v>
      </c>
      <c r="S378" s="160">
        <f t="shared" si="219"/>
        <v>1.5533077725032931</v>
      </c>
      <c r="T378" s="160" t="str">
        <f t="shared" si="211"/>
        <v>1+0.00500276224940914i</v>
      </c>
      <c r="U378" s="160">
        <f t="shared" si="220"/>
        <v>1.0000125137367653</v>
      </c>
      <c r="V378" s="160">
        <f t="shared" si="221"/>
        <v>5.0027205142747985E-3</v>
      </c>
      <c r="W378" s="98" t="str">
        <f t="shared" si="212"/>
        <v>1-1.3132250904699i</v>
      </c>
      <c r="X378" s="160">
        <f t="shared" si="222"/>
        <v>1.6506241662594419</v>
      </c>
      <c r="Y378" s="160">
        <f t="shared" si="223"/>
        <v>-0.91998582959086361</v>
      </c>
      <c r="Z378" s="98" t="str">
        <f t="shared" si="213"/>
        <v>0.867818169557673-0.0979891070346346i</v>
      </c>
      <c r="AA378" s="160">
        <f t="shared" si="224"/>
        <v>0.8733328348985141</v>
      </c>
      <c r="AB378" s="160">
        <f t="shared" si="225"/>
        <v>-0.11243809508260298</v>
      </c>
      <c r="AC378" s="171" t="str">
        <f t="shared" si="226"/>
        <v>-0.483962966298189-0.484293823233823i</v>
      </c>
      <c r="AD378" s="190">
        <f t="shared" si="227"/>
        <v>-3.29048842968208</v>
      </c>
      <c r="AE378" s="169">
        <f t="shared" si="228"/>
        <v>-134.98042182042863</v>
      </c>
      <c r="AF378" s="98" t="str">
        <f t="shared" si="214"/>
        <v>-0.0000897803247373448</v>
      </c>
      <c r="AG378" s="98" t="str">
        <f t="shared" si="215"/>
        <v>0.500276224940915i</v>
      </c>
      <c r="AH378" s="98">
        <f t="shared" si="229"/>
        <v>0.50027622494091495</v>
      </c>
      <c r="AI378" s="98">
        <f t="shared" si="230"/>
        <v>1.5707963267948966</v>
      </c>
      <c r="AJ378" s="98" t="str">
        <f t="shared" si="216"/>
        <v>1+58.7824564305574i</v>
      </c>
      <c r="AK378" s="98">
        <f t="shared" si="231"/>
        <v>58.790961754425993</v>
      </c>
      <c r="AL378" s="98">
        <f t="shared" si="232"/>
        <v>1.5537860892263691</v>
      </c>
      <c r="AM378" s="98" t="str">
        <f t="shared" si="217"/>
        <v>1+117.564912861115i</v>
      </c>
      <c r="AN378" s="98">
        <f t="shared" si="233"/>
        <v>117.5691657537875</v>
      </c>
      <c r="AO378" s="98">
        <f t="shared" si="234"/>
        <v>1.5622905927309614</v>
      </c>
      <c r="AP378" s="168" t="str">
        <f t="shared" si="235"/>
        <v>-3.05209402649682E-06+0.000358871090121429i</v>
      </c>
      <c r="AQ378" s="98">
        <f t="shared" si="236"/>
        <v>-68.900916407497675</v>
      </c>
      <c r="AR378" s="169">
        <f t="shared" si="237"/>
        <v>90.487272157667363</v>
      </c>
      <c r="AS378" s="168" t="str">
        <f t="shared" si="238"/>
        <v>0.000175276152761481-0.00017220220700887i</v>
      </c>
      <c r="AT378" s="190">
        <f t="shared" si="239"/>
        <v>-72.191404837179761</v>
      </c>
      <c r="AU378" s="169">
        <f t="shared" si="240"/>
        <v>-44.493149662761247</v>
      </c>
      <c r="AV378" s="225"/>
      <c r="AX378">
        <f t="shared" si="241"/>
        <v>0</v>
      </c>
      <c r="AY378">
        <f t="shared" si="242"/>
        <v>0</v>
      </c>
    </row>
    <row r="379" spans="14:51" x14ac:dyDescent="0.3">
      <c r="N379" s="170">
        <v>61</v>
      </c>
      <c r="O379" s="199">
        <f t="shared" si="208"/>
        <v>40738.027780411358</v>
      </c>
      <c r="P379" s="189" t="str">
        <f t="shared" si="209"/>
        <v>20.7142857142857</v>
      </c>
      <c r="Q379" s="160" t="str">
        <f t="shared" si="210"/>
        <v>1+58.5061891641952i</v>
      </c>
      <c r="R379" s="160">
        <f t="shared" si="218"/>
        <v>58.514734644502923</v>
      </c>
      <c r="S379" s="160">
        <f t="shared" si="219"/>
        <v>1.5537057821850002</v>
      </c>
      <c r="T379" s="160" t="str">
        <f t="shared" si="211"/>
        <v>1+0.00511929155186708i</v>
      </c>
      <c r="U379" s="160">
        <f t="shared" si="220"/>
        <v>1.0000131034871458</v>
      </c>
      <c r="V379" s="160">
        <f t="shared" si="221"/>
        <v>5.1192468318965734E-3</v>
      </c>
      <c r="W379" s="98" t="str">
        <f t="shared" si="212"/>
        <v>1-1.3438140323651i</v>
      </c>
      <c r="X379" s="160">
        <f t="shared" si="222"/>
        <v>1.6750630297339113</v>
      </c>
      <c r="Y379" s="160">
        <f t="shared" si="223"/>
        <v>-0.93104936580295683</v>
      </c>
      <c r="Z379" s="98" t="str">
        <f t="shared" si="213"/>
        <v>0.861588631810216-0.10027156654839i</v>
      </c>
      <c r="AA379" s="160">
        <f t="shared" si="224"/>
        <v>0.86740380303677955</v>
      </c>
      <c r="AB379" s="160">
        <f t="shared" si="225"/>
        <v>-0.11585866473637088</v>
      </c>
      <c r="AC379" s="171" t="str">
        <f t="shared" si="226"/>
        <v>-0.487049997841138-0.47971909266264i</v>
      </c>
      <c r="AD379" s="190">
        <f t="shared" si="227"/>
        <v>-3.3035951091367686</v>
      </c>
      <c r="AE379" s="169">
        <f t="shared" si="228"/>
        <v>-135.43445935594568</v>
      </c>
      <c r="AF379" s="98" t="str">
        <f t="shared" si="214"/>
        <v>-0.0000897803247373448</v>
      </c>
      <c r="AG379" s="98" t="str">
        <f t="shared" si="215"/>
        <v>0.511929155186709i</v>
      </c>
      <c r="AH379" s="98">
        <f t="shared" si="229"/>
        <v>0.51192915518670901</v>
      </c>
      <c r="AI379" s="98">
        <f t="shared" si="230"/>
        <v>1.5707963267948966</v>
      </c>
      <c r="AJ379" s="98" t="str">
        <f t="shared" si="216"/>
        <v>1+60.1516757344382i</v>
      </c>
      <c r="AK379" s="98">
        <f t="shared" si="231"/>
        <v>60.15998748055889</v>
      </c>
      <c r="AL379" s="98">
        <f t="shared" si="232"/>
        <v>1.5541732173496716</v>
      </c>
      <c r="AM379" s="98" t="str">
        <f t="shared" si="217"/>
        <v>1+120.303351468877i</v>
      </c>
      <c r="AN379" s="98">
        <f t="shared" si="233"/>
        <v>120.30750755727652</v>
      </c>
      <c r="AO379" s="98">
        <f t="shared" si="234"/>
        <v>1.5624841978542763</v>
      </c>
      <c r="AP379" s="168" t="str">
        <f t="shared" si="235"/>
        <v>-2.91476512192622E-06+0.000350704469835352i</v>
      </c>
      <c r="AQ379" s="98">
        <f t="shared" si="236"/>
        <v>-69.100873996291938</v>
      </c>
      <c r="AR379" s="169">
        <f t="shared" si="237"/>
        <v>90.476184106529359</v>
      </c>
      <c r="AS379" s="168" t="str">
        <f t="shared" si="238"/>
        <v>0.000169659266408489-0.000169412342796571i</v>
      </c>
      <c r="AT379" s="190">
        <f t="shared" si="239"/>
        <v>-72.404469105428703</v>
      </c>
      <c r="AU379" s="169">
        <f t="shared" si="240"/>
        <v>-44.958275249416367</v>
      </c>
      <c r="AV379" s="225"/>
      <c r="AX379">
        <f t="shared" si="241"/>
        <v>0</v>
      </c>
      <c r="AY379">
        <f t="shared" si="242"/>
        <v>0</v>
      </c>
    </row>
    <row r="380" spans="14:51" x14ac:dyDescent="0.3">
      <c r="N380" s="170">
        <v>62</v>
      </c>
      <c r="O380" s="199">
        <f t="shared" si="208"/>
        <v>41686.938347033625</v>
      </c>
      <c r="P380" s="189" t="str">
        <f t="shared" si="209"/>
        <v>20.7142857142857</v>
      </c>
      <c r="Q380" s="160" t="str">
        <f t="shared" si="210"/>
        <v>1+59.8689733767733i</v>
      </c>
      <c r="R380" s="160">
        <f t="shared" si="218"/>
        <v>59.877324365646047</v>
      </c>
      <c r="S380" s="160">
        <f t="shared" si="219"/>
        <v>1.554094737292977</v>
      </c>
      <c r="T380" s="160" t="str">
        <f t="shared" si="211"/>
        <v>1+0.00523853517046766i</v>
      </c>
      <c r="U380" s="160">
        <f t="shared" si="220"/>
        <v>1.0000137210312328</v>
      </c>
      <c r="V380" s="160">
        <f t="shared" si="221"/>
        <v>5.2384872521914431E-3</v>
      </c>
      <c r="W380" s="98" t="str">
        <f t="shared" si="212"/>
        <v>1-1.37511548224776i</v>
      </c>
      <c r="X380" s="160">
        <f t="shared" si="222"/>
        <v>1.7002772096095062</v>
      </c>
      <c r="Y380" s="160">
        <f t="shared" si="223"/>
        <v>-0.94203998880043327</v>
      </c>
      <c r="Z380" s="98" t="str">
        <f t="shared" si="213"/>
        <v>0.855065504993692-0.102607191373981i</v>
      </c>
      <c r="AA380" s="160">
        <f t="shared" si="224"/>
        <v>0.86119989175090728</v>
      </c>
      <c r="AB380" s="160">
        <f t="shared" si="225"/>
        <v>-0.11942815446893536</v>
      </c>
      <c r="AC380" s="171" t="str">
        <f t="shared" si="226"/>
        <v>-0.49028346326455-0.475530860043725i</v>
      </c>
      <c r="AD380" s="190">
        <f t="shared" si="227"/>
        <v>-3.3114139469234463</v>
      </c>
      <c r="AE380" s="169">
        <f t="shared" si="228"/>
        <v>-135.87511248450605</v>
      </c>
      <c r="AF380" s="98" t="str">
        <f t="shared" si="214"/>
        <v>-0.0000897803247373448</v>
      </c>
      <c r="AG380" s="98" t="str">
        <f t="shared" si="215"/>
        <v>0.523853517046766i</v>
      </c>
      <c r="AH380" s="98">
        <f t="shared" si="229"/>
        <v>0.52385351704676597</v>
      </c>
      <c r="AI380" s="98">
        <f t="shared" si="230"/>
        <v>1.5707963267948966</v>
      </c>
      <c r="AJ380" s="98" t="str">
        <f t="shared" si="216"/>
        <v>1+61.552788252995i</v>
      </c>
      <c r="AK380" s="98">
        <f t="shared" si="231"/>
        <v>61.560910825929469</v>
      </c>
      <c r="AL380" s="98">
        <f t="shared" si="232"/>
        <v>1.5545515381761128</v>
      </c>
      <c r="AM380" s="98" t="str">
        <f t="shared" si="217"/>
        <v>1+123.10557650599i</v>
      </c>
      <c r="AN380" s="98">
        <f t="shared" si="233"/>
        <v>123.10963799342503</v>
      </c>
      <c r="AO380" s="98">
        <f t="shared" si="234"/>
        <v>1.5626733965890809</v>
      </c>
      <c r="AP380" s="168" t="str">
        <f t="shared" si="235"/>
        <v>-2.78361369748664E-06+0.000342723592193277i</v>
      </c>
      <c r="AQ380" s="98">
        <f t="shared" si="236"/>
        <v>-69.300833493260484</v>
      </c>
      <c r="AR380" s="169">
        <f t="shared" si="237"/>
        <v>90.465348208865876</v>
      </c>
      <c r="AS380" s="168" t="str">
        <f t="shared" si="238"/>
        <v>0.000164340404316938-0.000166708015507392i</v>
      </c>
      <c r="AT380" s="190">
        <f t="shared" si="239"/>
        <v>-72.612247440183921</v>
      </c>
      <c r="AU380" s="169">
        <f t="shared" si="240"/>
        <v>-45.409764275640235</v>
      </c>
      <c r="AV380" s="225"/>
      <c r="AX380">
        <f t="shared" si="241"/>
        <v>0</v>
      </c>
      <c r="AY380">
        <f t="shared" si="242"/>
        <v>0</v>
      </c>
    </row>
    <row r="381" spans="14:51" x14ac:dyDescent="0.3">
      <c r="N381" s="170">
        <v>63</v>
      </c>
      <c r="O381" s="199">
        <f t="shared" si="208"/>
        <v>42657.951880159271</v>
      </c>
      <c r="P381" s="189" t="str">
        <f t="shared" si="209"/>
        <v>20.7142857142857</v>
      </c>
      <c r="Q381" s="160" t="str">
        <f t="shared" si="210"/>
        <v>1+61.2635009114951i</v>
      </c>
      <c r="R381" s="160">
        <f t="shared" si="218"/>
        <v>61.271661834266915</v>
      </c>
      <c r="S381" s="160">
        <f t="shared" si="219"/>
        <v>1.5544748435853513</v>
      </c>
      <c r="T381" s="160" t="str">
        <f t="shared" si="211"/>
        <v>1+0.00536055632975582i</v>
      </c>
      <c r="U381" s="160">
        <f t="shared" si="220"/>
        <v>1.0000143676788671</v>
      </c>
      <c r="V381" s="160">
        <f t="shared" si="221"/>
        <v>5.360504984437622E-3</v>
      </c>
      <c r="W381" s="98" t="str">
        <f t="shared" si="212"/>
        <v>1-1.4071460365609i</v>
      </c>
      <c r="X381" s="160">
        <f t="shared" si="222"/>
        <v>1.726285019401214</v>
      </c>
      <c r="Y381" s="160">
        <f t="shared" si="223"/>
        <v>-0.95295290547915801</v>
      </c>
      <c r="Z381" s="98" t="str">
        <f t="shared" si="213"/>
        <v>0.848234952681555-0.104997219890605i</v>
      </c>
      <c r="AA381" s="160">
        <f t="shared" si="224"/>
        <v>0.85470869372870895</v>
      </c>
      <c r="AB381" s="160">
        <f t="shared" si="225"/>
        <v>-0.12315671604102978</v>
      </c>
      <c r="AC381" s="171" t="str">
        <f t="shared" si="226"/>
        <v>-0.493674379851822-0.471740212493423i</v>
      </c>
      <c r="AD381" s="190">
        <f t="shared" si="227"/>
        <v>-3.3137815457464437</v>
      </c>
      <c r="AE381" s="169">
        <f t="shared" si="228"/>
        <v>-136.30153309587516</v>
      </c>
      <c r="AF381" s="98" t="str">
        <f t="shared" si="214"/>
        <v>-0.0000897803247373448</v>
      </c>
      <c r="AG381" s="98" t="str">
        <f t="shared" si="215"/>
        <v>0.536055632975581i</v>
      </c>
      <c r="AH381" s="98">
        <f t="shared" si="229"/>
        <v>0.53605563297558101</v>
      </c>
      <c r="AI381" s="98">
        <f t="shared" si="230"/>
        <v>1.5707963267948966</v>
      </c>
      <c r="AJ381" s="98" t="str">
        <f t="shared" si="216"/>
        <v>1+62.9865368746309i</v>
      </c>
      <c r="AK381" s="98">
        <f t="shared" si="231"/>
        <v>62.99447457880126</v>
      </c>
      <c r="AL381" s="98">
        <f t="shared" si="232"/>
        <v>1.554921251862972</v>
      </c>
      <c r="AM381" s="98" t="str">
        <f t="shared" si="217"/>
        <v>1+125.973073749262i</v>
      </c>
      <c r="AN381" s="98">
        <f t="shared" si="233"/>
        <v>125.97704278890262</v>
      </c>
      <c r="AO381" s="98">
        <f t="shared" si="234"/>
        <v>1.5628582891968368</v>
      </c>
      <c r="AP381" s="168" t="str">
        <f t="shared" si="235"/>
        <v>-2.65836201443083E-06+0.000334924239337858i</v>
      </c>
      <c r="AQ381" s="98">
        <f t="shared" si="236"/>
        <v>-69.500794812577894</v>
      </c>
      <c r="AR381" s="169">
        <f t="shared" si="237"/>
        <v>90.454758741068218</v>
      </c>
      <c r="AS381" s="168" t="str">
        <f t="shared" si="238"/>
        <v>0.000159309597053335-0.000164089459890888i</v>
      </c>
      <c r="AT381" s="190">
        <f t="shared" si="239"/>
        <v>-72.814576358324359</v>
      </c>
      <c r="AU381" s="169">
        <f t="shared" si="240"/>
        <v>-45.84677435480689</v>
      </c>
      <c r="AV381" s="225"/>
      <c r="AX381">
        <f t="shared" si="241"/>
        <v>0</v>
      </c>
      <c r="AY381">
        <f t="shared" si="242"/>
        <v>0</v>
      </c>
    </row>
    <row r="382" spans="14:51" x14ac:dyDescent="0.3">
      <c r="N382" s="170">
        <v>64</v>
      </c>
      <c r="O382" s="199">
        <f t="shared" si="208"/>
        <v>43651.583224016598</v>
      </c>
      <c r="P382" s="189" t="str">
        <f t="shared" si="209"/>
        <v>20.7142857142857</v>
      </c>
      <c r="Q382" s="160" t="str">
        <f t="shared" si="210"/>
        <v>1+62.6905111653184i</v>
      </c>
      <c r="R382" s="160">
        <f t="shared" si="218"/>
        <v>62.698486346712635</v>
      </c>
      <c r="S382" s="160">
        <f t="shared" si="219"/>
        <v>1.5548463021599148</v>
      </c>
      <c r="T382" s="160" t="str">
        <f t="shared" si="211"/>
        <v>1+0.00548541972696536i</v>
      </c>
      <c r="U382" s="160">
        <f t="shared" si="220"/>
        <v>1.0000150448016174</v>
      </c>
      <c r="V382" s="160">
        <f t="shared" si="221"/>
        <v>5.4853647095103814E-3</v>
      </c>
      <c r="W382" s="98" t="str">
        <f t="shared" si="212"/>
        <v>1-1.4399226783284i</v>
      </c>
      <c r="X382" s="160">
        <f t="shared" si="222"/>
        <v>1.7531050509209176</v>
      </c>
      <c r="Y382" s="160">
        <f t="shared" si="223"/>
        <v>-0.96378350512462274</v>
      </c>
      <c r="Z382" s="98" t="str">
        <f t="shared" si="213"/>
        <v>0.841082486356561-0.107442919323018i</v>
      </c>
      <c r="AA382" s="160">
        <f t="shared" si="224"/>
        <v>0.84791728946188327</v>
      </c>
      <c r="AB382" s="160">
        <f t="shared" si="225"/>
        <v>-0.12705548397238969</v>
      </c>
      <c r="AC382" s="171" t="str">
        <f t="shared" si="226"/>
        <v>-0.497234535868709-0.468359998525717i</v>
      </c>
      <c r="AD382" s="190">
        <f t="shared" si="227"/>
        <v>-3.3105222020522147</v>
      </c>
      <c r="AE382" s="169">
        <f t="shared" si="228"/>
        <v>-136.71282687069683</v>
      </c>
      <c r="AF382" s="98" t="str">
        <f t="shared" si="214"/>
        <v>-0.0000897803247373448</v>
      </c>
      <c r="AG382" s="98" t="str">
        <f t="shared" si="215"/>
        <v>0.548541972696536i</v>
      </c>
      <c r="AH382" s="98">
        <f t="shared" si="229"/>
        <v>0.54854197269653604</v>
      </c>
      <c r="AI382" s="98">
        <f t="shared" si="230"/>
        <v>1.5707963267948966</v>
      </c>
      <c r="AJ382" s="98" t="str">
        <f t="shared" si="216"/>
        <v>1+64.453681791843i</v>
      </c>
      <c r="AK382" s="98">
        <f t="shared" si="231"/>
        <v>64.461438833803214</v>
      </c>
      <c r="AL382" s="98">
        <f t="shared" si="232"/>
        <v>1.5552825540328232</v>
      </c>
      <c r="AM382" s="98" t="str">
        <f t="shared" si="217"/>
        <v>1+128.907363583686i</v>
      </c>
      <c r="AN382" s="98">
        <f t="shared" si="233"/>
        <v>128.91124227970425</v>
      </c>
      <c r="AO382" s="98">
        <f t="shared" si="234"/>
        <v>1.5630389736594585</v>
      </c>
      <c r="AP382" s="168" t="str">
        <f t="shared" si="235"/>
        <v>-2.53874480848998E-06+0.000327302288744307i</v>
      </c>
      <c r="AQ382" s="98">
        <f t="shared" si="236"/>
        <v>-69.700757872276824</v>
      </c>
      <c r="AR382" s="169">
        <f t="shared" si="237"/>
        <v>90.444410108738623</v>
      </c>
      <c r="AS382" s="168" t="str">
        <f t="shared" si="238"/>
        <v>0.000154557651070286-0.00016155695511778i</v>
      </c>
      <c r="AT382" s="190">
        <f t="shared" si="239"/>
        <v>-73.011280074329051</v>
      </c>
      <c r="AU382" s="169">
        <f t="shared" si="240"/>
        <v>-46.2684167619582</v>
      </c>
      <c r="AV382" s="225"/>
      <c r="AX382">
        <f t="shared" si="241"/>
        <v>0</v>
      </c>
      <c r="AY382">
        <f t="shared" si="242"/>
        <v>0</v>
      </c>
    </row>
    <row r="383" spans="14:51" x14ac:dyDescent="0.3">
      <c r="N383" s="170">
        <v>65</v>
      </c>
      <c r="O383" s="199">
        <f t="shared" si="208"/>
        <v>44668.359215096389</v>
      </c>
      <c r="P383" s="189" t="str">
        <f t="shared" si="209"/>
        <v>20.7142857142857</v>
      </c>
      <c r="Q383" s="160" t="str">
        <f t="shared" si="210"/>
        <v>1+64.1507607579689i</v>
      </c>
      <c r="R383" s="160">
        <f t="shared" si="218"/>
        <v>64.158554424380242</v>
      </c>
      <c r="S383" s="160">
        <f t="shared" si="219"/>
        <v>1.5552093095586497</v>
      </c>
      <c r="T383" s="160" t="str">
        <f t="shared" si="211"/>
        <v>1+0.00561319156632228i</v>
      </c>
      <c r="U383" s="160">
        <f t="shared" si="220"/>
        <v>1.0000157538356884</v>
      </c>
      <c r="V383" s="160">
        <f t="shared" si="221"/>
        <v>5.6131326141073039E-3</v>
      </c>
      <c r="W383" s="98" t="str">
        <f t="shared" si="212"/>
        <v>1-1.47346278615959i</v>
      </c>
      <c r="X383" s="160">
        <f t="shared" si="222"/>
        <v>1.7807561826923923</v>
      </c>
      <c r="Y383" s="160">
        <f t="shared" si="223"/>
        <v>-0.9745273667893416</v>
      </c>
      <c r="Z383" s="98" t="str">
        <f t="shared" si="213"/>
        <v>0.833592934678685-0.109945586413431i</v>
      </c>
      <c r="AA383" s="160">
        <f t="shared" si="224"/>
        <v>0.84081223392503979</v>
      </c>
      <c r="AB383" s="160">
        <f t="shared" si="225"/>
        <v>-0.13113669694140101</v>
      </c>
      <c r="AC383" s="171" t="str">
        <f t="shared" si="226"/>
        <v>-0.500976559379499-0.465405050349971i</v>
      </c>
      <c r="AD383" s="190">
        <f t="shared" si="227"/>
        <v>-3.3014465487131037</v>
      </c>
      <c r="AE383" s="169">
        <f t="shared" si="228"/>
        <v>-137.10804675152815</v>
      </c>
      <c r="AF383" s="98" t="str">
        <f t="shared" si="214"/>
        <v>-0.0000897803247373448</v>
      </c>
      <c r="AG383" s="98" t="str">
        <f t="shared" si="215"/>
        <v>0.561319156632227i</v>
      </c>
      <c r="AH383" s="98">
        <f t="shared" si="229"/>
        <v>0.56131915663222698</v>
      </c>
      <c r="AI383" s="98">
        <f t="shared" si="230"/>
        <v>1.5707963267948966</v>
      </c>
      <c r="AJ383" s="98" t="str">
        <f t="shared" si="216"/>
        <v>1+65.9550009042868i</v>
      </c>
      <c r="AK383" s="98">
        <f t="shared" si="231"/>
        <v>65.962581394942958</v>
      </c>
      <c r="AL383" s="98">
        <f t="shared" si="232"/>
        <v>1.5556356358753305</v>
      </c>
      <c r="AM383" s="98" t="str">
        <f t="shared" si="217"/>
        <v>1+131.910001808574i</v>
      </c>
      <c r="AN383" s="98">
        <f t="shared" si="233"/>
        <v>131.91379221725833</v>
      </c>
      <c r="AO383" s="98">
        <f t="shared" si="234"/>
        <v>1.5632155457310222</v>
      </c>
      <c r="AP383" s="168" t="str">
        <f t="shared" si="235"/>
        <v>-2.42450873070049E-06+0.000319853711095534i</v>
      </c>
      <c r="AQ383" s="98">
        <f t="shared" si="236"/>
        <v>-69.900722594074182</v>
      </c>
      <c r="AR383" s="169">
        <f t="shared" si="237"/>
        <v>90.434296843820746</v>
      </c>
      <c r="AS383" s="168" t="str">
        <f t="shared" si="238"/>
        <v>0.000150076154559134-0.000159110833081519i</v>
      </c>
      <c r="AT383" s="190">
        <f t="shared" si="239"/>
        <v>-73.202169142787298</v>
      </c>
      <c r="AU383" s="169">
        <f t="shared" si="240"/>
        <v>-46.673749907707339</v>
      </c>
      <c r="AV383" s="225"/>
      <c r="AX383">
        <f t="shared" si="241"/>
        <v>0</v>
      </c>
      <c r="AY383">
        <f t="shared" si="242"/>
        <v>0</v>
      </c>
    </row>
    <row r="384" spans="14:51" x14ac:dyDescent="0.3">
      <c r="N384" s="170">
        <v>66</v>
      </c>
      <c r="O384" s="199">
        <f t="shared" ref="O384:O418" si="243">10^(4+(N384/100))</f>
        <v>45708.818961487581</v>
      </c>
      <c r="P384" s="189" t="str">
        <f t="shared" si="209"/>
        <v>20.7142857142857</v>
      </c>
      <c r="Q384" s="160" t="str">
        <f t="shared" si="210"/>
        <v>1+65.6450239331086i</v>
      </c>
      <c r="R384" s="160">
        <f t="shared" si="218"/>
        <v>65.65264021483371</v>
      </c>
      <c r="S384" s="160">
        <f t="shared" si="219"/>
        <v>1.5555640578699836</v>
      </c>
      <c r="T384" s="160" t="str">
        <f t="shared" si="211"/>
        <v>1+0.005743939594147i</v>
      </c>
      <c r="U384" s="160">
        <f t="shared" si="220"/>
        <v>1.0000164962849669</v>
      </c>
      <c r="V384" s="160">
        <f t="shared" si="221"/>
        <v>5.7438764257668447E-3</v>
      </c>
      <c r="W384" s="98" t="str">
        <f t="shared" si="212"/>
        <v>1-1.50778414346358i</v>
      </c>
      <c r="X384" s="160">
        <f t="shared" si="222"/>
        <v>1.8092575889795797</v>
      </c>
      <c r="Y384" s="160">
        <f t="shared" si="223"/>
        <v>-0.9851802656787616</v>
      </c>
      <c r="Z384" s="98" t="str">
        <f t="shared" si="213"/>
        <v>0.825750411304682-0.112506548109061i</v>
      </c>
      <c r="AA384" s="160">
        <f t="shared" si="224"/>
        <v>0.83337954446774598</v>
      </c>
      <c r="AB384" s="160">
        <f t="shared" si="225"/>
        <v>-0.13541383740540283</v>
      </c>
      <c r="AC384" s="171" t="str">
        <f t="shared" si="226"/>
        <v>-0.504913992071192-0.462892442484897i</v>
      </c>
      <c r="AD384" s="190">
        <f t="shared" si="227"/>
        <v>-3.2863500578699245</v>
      </c>
      <c r="AE384" s="169">
        <f t="shared" si="228"/>
        <v>-137.48618531292303</v>
      </c>
      <c r="AF384" s="98" t="str">
        <f t="shared" si="214"/>
        <v>-0.0000897803247373448</v>
      </c>
      <c r="AG384" s="98" t="str">
        <f t="shared" si="215"/>
        <v>0.574393959414701i</v>
      </c>
      <c r="AH384" s="98">
        <f t="shared" si="229"/>
        <v>0.57439395941470095</v>
      </c>
      <c r="AI384" s="98">
        <f t="shared" si="230"/>
        <v>1.5707963267948966</v>
      </c>
      <c r="AJ384" s="98" t="str">
        <f t="shared" si="216"/>
        <v>1+67.4912902312273i</v>
      </c>
      <c r="AK384" s="98">
        <f t="shared" si="231"/>
        <v>67.498698188007722</v>
      </c>
      <c r="AL384" s="98">
        <f t="shared" si="232"/>
        <v>1.5559806842468169</v>
      </c>
      <c r="AM384" s="98" t="str">
        <f t="shared" si="217"/>
        <v>1+134.982580462455i</v>
      </c>
      <c r="AN384" s="98">
        <f t="shared" si="233"/>
        <v>134.9862845932991</v>
      </c>
      <c r="AO384" s="98">
        <f t="shared" si="234"/>
        <v>1.5633880989883109</v>
      </c>
      <c r="AP384" s="168" t="str">
        <f t="shared" si="235"/>
        <v>-2.31541181319746E-06+0.000312574568202609i</v>
      </c>
      <c r="AQ384" s="98">
        <f t="shared" si="236"/>
        <v>-70.100688903206361</v>
      </c>
      <c r="AR384" s="169">
        <f t="shared" si="237"/>
        <v>90.42441360179059</v>
      </c>
      <c r="AS384" s="168" t="str">
        <f t="shared" si="238"/>
        <v>0.000145857489155858-0.000156751486421539i</v>
      </c>
      <c r="AT384" s="190">
        <f t="shared" si="239"/>
        <v>-73.387038961076286</v>
      </c>
      <c r="AU384" s="169">
        <f t="shared" si="240"/>
        <v>-47.061771711132415</v>
      </c>
      <c r="AV384" s="225"/>
      <c r="AX384">
        <f t="shared" si="241"/>
        <v>0</v>
      </c>
      <c r="AY384">
        <f t="shared" si="242"/>
        <v>0</v>
      </c>
    </row>
    <row r="385" spans="14:51" x14ac:dyDescent="0.3">
      <c r="N385" s="170">
        <v>67</v>
      </c>
      <c r="O385" s="199">
        <f t="shared" si="243"/>
        <v>46773.514128719893</v>
      </c>
      <c r="P385" s="189" t="str">
        <f t="shared" si="209"/>
        <v>20.7142857142857</v>
      </c>
      <c r="Q385" s="160" t="str">
        <f t="shared" si="210"/>
        <v>1+67.1740929688526i</v>
      </c>
      <c r="R385" s="160">
        <f t="shared" si="218"/>
        <v>67.181535902270454</v>
      </c>
      <c r="S385" s="160">
        <f t="shared" si="219"/>
        <v>1.5559107348288119</v>
      </c>
      <c r="T385" s="160" t="str">
        <f t="shared" si="211"/>
        <v>1+0.0058777331347746i</v>
      </c>
      <c r="U385" s="160">
        <f t="shared" si="220"/>
        <v>1.000017273724211</v>
      </c>
      <c r="V385" s="160">
        <f t="shared" si="221"/>
        <v>5.8776654486989285E-3</v>
      </c>
      <c r="W385" s="98" t="str">
        <f t="shared" si="212"/>
        <v>1-1.54290494787833i</v>
      </c>
      <c r="X385" s="160">
        <f t="shared" si="222"/>
        <v>1.8386287494182814</v>
      </c>
      <c r="Y385" s="160">
        <f t="shared" si="223"/>
        <v>-0.9957381785436088</v>
      </c>
      <c r="Z385" s="98" t="str">
        <f t="shared" si="213"/>
        <v>0.817538281191004-0.1151271622657i</v>
      </c>
      <c r="AA385" s="160">
        <f t="shared" si="224"/>
        <v>0.82560469033557093</v>
      </c>
      <c r="AB385" s="160">
        <f t="shared" si="225"/>
        <v>-0.13990179267959144</v>
      </c>
      <c r="AC385" s="171" t="str">
        <f t="shared" si="226"/>
        <v>-0.509061367959543-0.460841793540296i</v>
      </c>
      <c r="AD385" s="190">
        <f t="shared" si="227"/>
        <v>-3.2650113871155466</v>
      </c>
      <c r="AE385" s="169">
        <f t="shared" si="228"/>
        <v>-137.84616584492721</v>
      </c>
      <c r="AF385" s="98" t="str">
        <f t="shared" si="214"/>
        <v>-0.0000897803247373448</v>
      </c>
      <c r="AG385" s="98" t="str">
        <f t="shared" si="215"/>
        <v>0.587773313477459i</v>
      </c>
      <c r="AH385" s="98">
        <f t="shared" si="229"/>
        <v>0.58777331347745898</v>
      </c>
      <c r="AI385" s="98">
        <f t="shared" si="230"/>
        <v>1.5707963267948966</v>
      </c>
      <c r="AJ385" s="98" t="str">
        <f t="shared" si="216"/>
        <v>1+69.0633643336016i</v>
      </c>
      <c r="AK385" s="98">
        <f t="shared" si="231"/>
        <v>69.070603682578252</v>
      </c>
      <c r="AL385" s="98">
        <f t="shared" si="232"/>
        <v>1.5563178817676608</v>
      </c>
      <c r="AM385" s="98" t="str">
        <f t="shared" si="217"/>
        <v>1+138.126728667203i</v>
      </c>
      <c r="AN385" s="98">
        <f t="shared" si="233"/>
        <v>138.13034848397044</v>
      </c>
      <c r="AO385" s="98">
        <f t="shared" si="234"/>
        <v>1.5635567248802207</v>
      </c>
      <c r="AP385" s="168" t="str">
        <f t="shared" si="235"/>
        <v>-2.21122295886977E-06+0.000305461010969794i</v>
      </c>
      <c r="AQ385" s="98">
        <f t="shared" si="236"/>
        <v>-70.30065672827071</v>
      </c>
      <c r="AR385" s="169">
        <f t="shared" si="237"/>
        <v>90.414755158907028</v>
      </c>
      <c r="AS385" s="168" t="str">
        <f t="shared" si="238"/>
        <v>0.000141894848336258-0.000154479376148305i</v>
      </c>
      <c r="AT385" s="190">
        <f t="shared" si="239"/>
        <v>-73.565668115386259</v>
      </c>
      <c r="AU385" s="169">
        <f t="shared" si="240"/>
        <v>-47.431410686020079</v>
      </c>
      <c r="AV385" s="225"/>
      <c r="AX385">
        <f t="shared" si="241"/>
        <v>0</v>
      </c>
      <c r="AY385">
        <f t="shared" si="242"/>
        <v>0</v>
      </c>
    </row>
    <row r="386" spans="14:51" x14ac:dyDescent="0.3">
      <c r="N386" s="170">
        <v>68</v>
      </c>
      <c r="O386" s="199">
        <f t="shared" si="243"/>
        <v>47863.009232263823</v>
      </c>
      <c r="P386" s="189" t="str">
        <f t="shared" si="209"/>
        <v>20.7142857142857</v>
      </c>
      <c r="Q386" s="160" t="str">
        <f t="shared" si="210"/>
        <v>1+68.7387785978425i</v>
      </c>
      <c r="R386" s="160">
        <f t="shared" si="218"/>
        <v>68.746052127545553</v>
      </c>
      <c r="S386" s="160">
        <f t="shared" si="219"/>
        <v>1.5562495239143326</v>
      </c>
      <c r="T386" s="160" t="str">
        <f t="shared" si="211"/>
        <v>1+0.00601464312731122i</v>
      </c>
      <c r="U386" s="160">
        <f t="shared" si="220"/>
        <v>1.0000180878023901</v>
      </c>
      <c r="V386" s="160">
        <f t="shared" si="221"/>
        <v>6.0145706004452928E-3</v>
      </c>
      <c r="W386" s="98" t="str">
        <f t="shared" si="212"/>
        <v>1-1.57884382091919i</v>
      </c>
      <c r="X386" s="160">
        <f t="shared" si="222"/>
        <v>1.8688894592390173</v>
      </c>
      <c r="Y386" s="160">
        <f t="shared" si="223"/>
        <v>-1.0061972880848669</v>
      </c>
      <c r="Z386" s="98" t="str">
        <f t="shared" si="213"/>
        <v>0.808939125308666-0.11780881836766i</v>
      </c>
      <c r="AA386" s="160">
        <f t="shared" si="224"/>
        <v>0.81747258433560566</v>
      </c>
      <c r="AB386" s="160">
        <f t="shared" si="225"/>
        <v>-0.1446170413800289</v>
      </c>
      <c r="AC386" s="171" t="str">
        <f t="shared" si="226"/>
        <v>-0.513434296580223-0.459275619499024i</v>
      </c>
      <c r="AD386" s="190">
        <f t="shared" si="227"/>
        <v>-3.2371905497394149</v>
      </c>
      <c r="AE386" s="169">
        <f t="shared" si="228"/>
        <v>-138.1868319265734</v>
      </c>
      <c r="AF386" s="98" t="str">
        <f t="shared" si="214"/>
        <v>-0.0000897803247373448</v>
      </c>
      <c r="AG386" s="98" t="str">
        <f t="shared" si="215"/>
        <v>0.601464312731122i</v>
      </c>
      <c r="AH386" s="98">
        <f t="shared" si="229"/>
        <v>0.601464312731122</v>
      </c>
      <c r="AI386" s="98">
        <f t="shared" si="230"/>
        <v>1.5707963267948966</v>
      </c>
      <c r="AJ386" s="98" t="str">
        <f t="shared" si="216"/>
        <v>1+70.6720567459068i</v>
      </c>
      <c r="AK386" s="98">
        <f t="shared" si="231"/>
        <v>70.679131323868646</v>
      </c>
      <c r="AL386" s="98">
        <f t="shared" si="232"/>
        <v>1.5566474069175544</v>
      </c>
      <c r="AM386" s="98" t="str">
        <f t="shared" si="217"/>
        <v>1+141.344113491814i</v>
      </c>
      <c r="AN386" s="98">
        <f t="shared" si="233"/>
        <v>141.34765091357832</v>
      </c>
      <c r="AO386" s="98">
        <f t="shared" si="234"/>
        <v>1.5637215127760511</v>
      </c>
      <c r="AP386" s="168" t="str">
        <f t="shared" si="235"/>
        <v>-2.11172145381852E-06+0.000298509277403252i</v>
      </c>
      <c r="AQ386" s="98">
        <f t="shared" si="236"/>
        <v>-70.500626001074721</v>
      </c>
      <c r="AR386" s="169">
        <f t="shared" si="237"/>
        <v>90.405316409520623</v>
      </c>
      <c r="AS386" s="168" t="str">
        <f t="shared" si="238"/>
        <v>0.000138182263524799-0.000152295038687297i</v>
      </c>
      <c r="AT386" s="190">
        <f t="shared" si="239"/>
        <v>-73.737816550814159</v>
      </c>
      <c r="AU386" s="169">
        <f t="shared" si="240"/>
        <v>-47.781515517052753</v>
      </c>
      <c r="AV386" s="225"/>
      <c r="AX386">
        <f t="shared" si="241"/>
        <v>0</v>
      </c>
      <c r="AY386">
        <f t="shared" si="242"/>
        <v>0</v>
      </c>
    </row>
    <row r="387" spans="14:51" x14ac:dyDescent="0.3">
      <c r="N387" s="170">
        <v>69</v>
      </c>
      <c r="O387" s="199">
        <f t="shared" si="243"/>
        <v>48977.881936844598</v>
      </c>
      <c r="P387" s="189" t="str">
        <f t="shared" si="209"/>
        <v>20.7142857142857</v>
      </c>
      <c r="Q387" s="160" t="str">
        <f t="shared" si="210"/>
        <v>1+70.3399104371104i</v>
      </c>
      <c r="R387" s="160">
        <f t="shared" si="218"/>
        <v>70.347018417987798</v>
      </c>
      <c r="S387" s="160">
        <f t="shared" si="219"/>
        <v>1.5565806044457404</v>
      </c>
      <c r="T387" s="160" t="str">
        <f t="shared" si="211"/>
        <v>1+0.00615474216324716i</v>
      </c>
      <c r="U387" s="160">
        <f t="shared" si="220"/>
        <v>1.0000189402461817</v>
      </c>
      <c r="V387" s="160">
        <f t="shared" si="221"/>
        <v>6.1546644493896659E-3</v>
      </c>
      <c r="W387" s="98" t="str">
        <f t="shared" si="212"/>
        <v>1-1.61561981785238i</v>
      </c>
      <c r="X387" s="160">
        <f t="shared" si="222"/>
        <v>1.9000598400675062</v>
      </c>
      <c r="Y387" s="160">
        <f t="shared" si="223"/>
        <v>-1.016553986385681</v>
      </c>
      <c r="Z387" s="98" t="str">
        <f t="shared" si="213"/>
        <v>0.799934703695129-0.120552938264503i</v>
      </c>
      <c r="AA387" s="160">
        <f t="shared" si="224"/>
        <v>0.80896757728602386</v>
      </c>
      <c r="AB387" s="160">
        <f t="shared" si="225"/>
        <v>-0.14957786996092012</v>
      </c>
      <c r="AC387" s="171" t="str">
        <f t="shared" si="226"/>
        <v>-0.518049549867958-0.458219748672264i</v>
      </c>
      <c r="AD387" s="190">
        <f t="shared" si="227"/>
        <v>-3.2026268869535839</v>
      </c>
      <c r="AE387" s="169">
        <f t="shared" si="228"/>
        <v>-138.50693521917583</v>
      </c>
      <c r="AF387" s="98" t="str">
        <f t="shared" si="214"/>
        <v>-0.0000897803247373448</v>
      </c>
      <c r="AG387" s="98" t="str">
        <f t="shared" si="215"/>
        <v>0.615474216324717i</v>
      </c>
      <c r="AH387" s="98">
        <f t="shared" si="229"/>
        <v>0.61547421632471699</v>
      </c>
      <c r="AI387" s="98">
        <f t="shared" si="230"/>
        <v>1.5707963267948966</v>
      </c>
      <c r="AJ387" s="98" t="str">
        <f t="shared" si="216"/>
        <v>1+72.3182204181541i</v>
      </c>
      <c r="AK387" s="98">
        <f t="shared" si="231"/>
        <v>72.325133974633744</v>
      </c>
      <c r="AL387" s="98">
        <f t="shared" si="232"/>
        <v>1.5569694341286726</v>
      </c>
      <c r="AM387" s="98" t="str">
        <f t="shared" si="217"/>
        <v>1+144.636440836309i</v>
      </c>
      <c r="AN387" s="98">
        <f t="shared" si="233"/>
        <v>144.63989773847018</v>
      </c>
      <c r="AO387" s="98">
        <f t="shared" si="234"/>
        <v>1.563882550012706</v>
      </c>
      <c r="AP387" s="168" t="str">
        <f t="shared" si="235"/>
        <v>-2.01669650160658E-06+0.000291715690662635i</v>
      </c>
      <c r="AQ387" s="98">
        <f t="shared" si="236"/>
        <v>-70.700596656492124</v>
      </c>
      <c r="AR387" s="169">
        <f t="shared" si="237"/>
        <v>90.396092363439948</v>
      </c>
      <c r="AS387" s="168" t="str">
        <f t="shared" si="238"/>
        <v>0.000134714639174066-0.000150199092073084i</v>
      </c>
      <c r="AT387" s="190">
        <f t="shared" si="239"/>
        <v>-73.903223543445719</v>
      </c>
      <c r="AU387" s="169">
        <f t="shared" si="240"/>
        <v>-48.110842855735854</v>
      </c>
      <c r="AV387" s="225"/>
      <c r="AX387">
        <f t="shared" si="241"/>
        <v>0</v>
      </c>
      <c r="AY387">
        <f t="shared" si="242"/>
        <v>0</v>
      </c>
    </row>
    <row r="388" spans="14:51" x14ac:dyDescent="0.3">
      <c r="N388" s="170">
        <v>70</v>
      </c>
      <c r="O388" s="199">
        <f t="shared" si="243"/>
        <v>50118.723362727294</v>
      </c>
      <c r="P388" s="189" t="str">
        <f t="shared" si="209"/>
        <v>20.7142857142857</v>
      </c>
      <c r="Q388" s="160" t="str">
        <f t="shared" si="210"/>
        <v>1+71.9783374279511i</v>
      </c>
      <c r="R388" s="160">
        <f t="shared" si="218"/>
        <v>71.985283627224703</v>
      </c>
      <c r="S388" s="160">
        <f t="shared" si="219"/>
        <v>1.5569041516758195</v>
      </c>
      <c r="T388" s="160" t="str">
        <f t="shared" si="211"/>
        <v>1+0.00629810452494572i</v>
      </c>
      <c r="U388" s="160">
        <f t="shared" si="220"/>
        <v>1.0000198328636323</v>
      </c>
      <c r="V388" s="160">
        <f t="shared" si="221"/>
        <v>6.2980212531363253E-3</v>
      </c>
      <c r="W388" s="98" t="str">
        <f t="shared" si="212"/>
        <v>1-1.65325243779825i</v>
      </c>
      <c r="X388" s="160">
        <f t="shared" si="222"/>
        <v>1.9321603512870915</v>
      </c>
      <c r="Y388" s="160">
        <f t="shared" si="223"/>
        <v>-1.0268048773915568</v>
      </c>
      <c r="Z388" s="98" t="str">
        <f t="shared" si="213"/>
        <v>0.790505916764907-0.12336097692492i</v>
      </c>
      <c r="AA388" s="160">
        <f t="shared" si="224"/>
        <v>0.80007345604525393</v>
      </c>
      <c r="AB388" s="160">
        <f t="shared" si="225"/>
        <v>-0.15480462509933285</v>
      </c>
      <c r="AC388" s="171" t="str">
        <f t="shared" si="226"/>
        <v>-0.522925151340699-0.457703810797667i</v>
      </c>
      <c r="AD388" s="190">
        <f t="shared" si="227"/>
        <v>-3.1610368168701219</v>
      </c>
      <c r="AE388" s="169">
        <f t="shared" si="228"/>
        <v>-138.80512115101925</v>
      </c>
      <c r="AF388" s="98" t="str">
        <f t="shared" si="214"/>
        <v>-0.0000897803247373448</v>
      </c>
      <c r="AG388" s="98" t="str">
        <f t="shared" si="215"/>
        <v>0.629810452494573i</v>
      </c>
      <c r="AH388" s="98">
        <f t="shared" si="229"/>
        <v>0.62981045249457301</v>
      </c>
      <c r="AI388" s="98">
        <f t="shared" si="230"/>
        <v>1.5707963267948966</v>
      </c>
      <c r="AJ388" s="98" t="str">
        <f t="shared" si="216"/>
        <v>1+74.0027281681122i</v>
      </c>
      <c r="AK388" s="98">
        <f t="shared" si="231"/>
        <v>74.009484367366781</v>
      </c>
      <c r="AL388" s="98">
        <f t="shared" si="232"/>
        <v>1.5572841338767947</v>
      </c>
      <c r="AM388" s="98" t="str">
        <f t="shared" si="217"/>
        <v>1+148.005456336225i</v>
      </c>
      <c r="AN388" s="98">
        <f t="shared" si="233"/>
        <v>148.00883455150304</v>
      </c>
      <c r="AO388" s="98">
        <f t="shared" si="234"/>
        <v>1.5640399219408316</v>
      </c>
      <c r="AP388" s="168" t="str">
        <f t="shared" si="235"/>
        <v>-1.92594677833279E-06+0.000285076657154759i</v>
      </c>
      <c r="AQ388" s="98">
        <f t="shared" si="236"/>
        <v>-70.900568632324848</v>
      </c>
      <c r="AR388" s="169">
        <f t="shared" si="237"/>
        <v>90.387078143354159</v>
      </c>
      <c r="AS388" s="168" t="str">
        <f t="shared" si="238"/>
        <v>0.000131487798359727-0.000148192240906516i</v>
      </c>
      <c r="AT388" s="190">
        <f t="shared" si="239"/>
        <v>-74.061605449194985</v>
      </c>
      <c r="AU388" s="169">
        <f t="shared" si="240"/>
        <v>-48.418043007664991</v>
      </c>
      <c r="AV388" s="225"/>
      <c r="AX388">
        <f t="shared" si="241"/>
        <v>0</v>
      </c>
      <c r="AY388">
        <f t="shared" si="242"/>
        <v>0</v>
      </c>
    </row>
    <row r="389" spans="14:51" x14ac:dyDescent="0.3">
      <c r="N389" s="170">
        <v>71</v>
      </c>
      <c r="O389" s="199">
        <f t="shared" si="243"/>
        <v>51286.138399136544</v>
      </c>
      <c r="P389" s="189" t="str">
        <f t="shared" si="209"/>
        <v>20.7142857142857</v>
      </c>
      <c r="Q389" s="160" t="str">
        <f t="shared" si="210"/>
        <v>1+73.6549282860421i</v>
      </c>
      <c r="R389" s="160">
        <f t="shared" si="218"/>
        <v>73.661716385256753</v>
      </c>
      <c r="S389" s="160">
        <f t="shared" si="219"/>
        <v>1.55722033688248</v>
      </c>
      <c r="T389" s="160" t="str">
        <f t="shared" si="211"/>
        <v>1+0.00644480622502868i</v>
      </c>
      <c r="U389" s="160">
        <f t="shared" si="220"/>
        <v>1.0000207675479935</v>
      </c>
      <c r="V389" s="160">
        <f t="shared" si="221"/>
        <v>6.4447169977774089E-3</v>
      </c>
      <c r="W389" s="98" t="str">
        <f t="shared" si="212"/>
        <v>1-1.69176163407002i</v>
      </c>
      <c r="X389" s="160">
        <f t="shared" si="222"/>
        <v>1.9652118019468698</v>
      </c>
      <c r="Y389" s="160">
        <f t="shared" si="223"/>
        <v>-1.0369467784671182</v>
      </c>
      <c r="Z389" s="98" t="str">
        <f t="shared" si="213"/>
        <v>0.780632764796781-0.126234423208179i</v>
      </c>
      <c r="AA389" s="160">
        <f t="shared" si="224"/>
        <v>0.79077344611270817</v>
      </c>
      <c r="AB389" s="160">
        <f t="shared" si="225"/>
        <v>-0.16032000895593942</v>
      </c>
      <c r="AC389" s="171" t="str">
        <f t="shared" si="226"/>
        <v>-0.528080465357125-0.457761815627172i</v>
      </c>
      <c r="AD389" s="190">
        <f t="shared" si="227"/>
        <v>-3.112111331474738</v>
      </c>
      <c r="AE389" s="169">
        <f t="shared" si="228"/>
        <v>-139.07991209235567</v>
      </c>
      <c r="AF389" s="98" t="str">
        <f t="shared" si="214"/>
        <v>-0.0000897803247373448</v>
      </c>
      <c r="AG389" s="98" t="str">
        <f t="shared" si="215"/>
        <v>0.644480622502867i</v>
      </c>
      <c r="AH389" s="98">
        <f t="shared" si="229"/>
        <v>0.64448062250286697</v>
      </c>
      <c r="AI389" s="98">
        <f t="shared" si="230"/>
        <v>1.5707963267948966</v>
      </c>
      <c r="AJ389" s="98" t="str">
        <f t="shared" si="216"/>
        <v>1+75.726473144087i</v>
      </c>
      <c r="AK389" s="98">
        <f t="shared" si="231"/>
        <v>75.733075567034319</v>
      </c>
      <c r="AL389" s="98">
        <f t="shared" si="232"/>
        <v>1.5575916727704167</v>
      </c>
      <c r="AM389" s="98" t="str">
        <f t="shared" si="217"/>
        <v>1+151.452946288174i</v>
      </c>
      <c r="AN389" s="98">
        <f t="shared" si="233"/>
        <v>151.45624760757977</v>
      </c>
      <c r="AO389" s="98">
        <f t="shared" si="234"/>
        <v>1.5641937119699096</v>
      </c>
      <c r="AP389" s="168" t="str">
        <f t="shared" si="235"/>
        <v>-1.83928000760485E-06+0.000278588664668529i</v>
      </c>
      <c r="AQ389" s="98">
        <f t="shared" si="236"/>
        <v>-71.100541869171508</v>
      </c>
      <c r="AR389" s="169">
        <f t="shared" si="237"/>
        <v>90.378268982310871</v>
      </c>
      <c r="AS389" s="168" t="str">
        <f t="shared" si="238"/>
        <v>0.000128498540794153-0.000146275279525649i</v>
      </c>
      <c r="AT389" s="190">
        <f t="shared" si="239"/>
        <v>-74.212653200646258</v>
      </c>
      <c r="AU389" s="169">
        <f t="shared" si="240"/>
        <v>-48.701643110044856</v>
      </c>
      <c r="AV389" s="225"/>
      <c r="AX389">
        <f t="shared" si="241"/>
        <v>0</v>
      </c>
      <c r="AY389">
        <f t="shared" si="242"/>
        <v>0</v>
      </c>
    </row>
    <row r="390" spans="14:51" x14ac:dyDescent="0.3">
      <c r="N390" s="170">
        <v>72</v>
      </c>
      <c r="O390" s="199">
        <f t="shared" si="243"/>
        <v>52480.746024977314</v>
      </c>
      <c r="P390" s="189" t="str">
        <f t="shared" si="209"/>
        <v>20.7142857142857</v>
      </c>
      <c r="Q390" s="160" t="str">
        <f t="shared" si="210"/>
        <v>1+75.3705719620482i</v>
      </c>
      <c r="R390" s="160">
        <f t="shared" si="218"/>
        <v>75.377205559016886</v>
      </c>
      <c r="S390" s="160">
        <f t="shared" si="219"/>
        <v>1.557529327458278</v>
      </c>
      <c r="T390" s="160" t="str">
        <f t="shared" si="211"/>
        <v>1+0.00659492504667922i</v>
      </c>
      <c r="U390" s="160">
        <f t="shared" si="220"/>
        <v>1.0000217462817353</v>
      </c>
      <c r="V390" s="160">
        <f t="shared" si="221"/>
        <v>6.5948294380692189E-3</v>
      </c>
      <c r="W390" s="98" t="str">
        <f t="shared" si="212"/>
        <v>1-1.73116782475329i</v>
      </c>
      <c r="X390" s="160">
        <f t="shared" si="222"/>
        <v>1.9992353631978996</v>
      </c>
      <c r="Y390" s="160">
        <f t="shared" si="223"/>
        <v>-1.0469767210634833</v>
      </c>
      <c r="Z390" s="98" t="str">
        <f t="shared" si="213"/>
        <v>0.770294305511715-0.129174800653532i</v>
      </c>
      <c r="AA390" s="160">
        <f t="shared" si="224"/>
        <v>0.78105022004199898</v>
      </c>
      <c r="AB390" s="160">
        <f t="shared" si="225"/>
        <v>-0.16614942593767124</v>
      </c>
      <c r="AC390" s="171" t="str">
        <f t="shared" si="226"/>
        <v>-0.53353628299094-0.458432839969949i</v>
      </c>
      <c r="AD390" s="190">
        <f t="shared" si="227"/>
        <v>-3.0555132089667341</v>
      </c>
      <c r="AE390" s="169">
        <f t="shared" si="228"/>
        <v>-139.32968752843212</v>
      </c>
      <c r="AF390" s="98" t="str">
        <f t="shared" si="214"/>
        <v>-0.0000897803247373448</v>
      </c>
      <c r="AG390" s="98" t="str">
        <f t="shared" si="215"/>
        <v>0.659492504667922i</v>
      </c>
      <c r="AH390" s="98">
        <f t="shared" si="229"/>
        <v>0.65949250466792197</v>
      </c>
      <c r="AI390" s="98">
        <f t="shared" si="230"/>
        <v>1.5707963267948966</v>
      </c>
      <c r="AJ390" s="98" t="str">
        <f t="shared" si="216"/>
        <v>1+77.4903692984808i</v>
      </c>
      <c r="AK390" s="98">
        <f t="shared" si="231"/>
        <v>77.49682144459176</v>
      </c>
      <c r="AL390" s="98">
        <f t="shared" si="232"/>
        <v>1.5578922136379003</v>
      </c>
      <c r="AM390" s="98" t="str">
        <f t="shared" si="217"/>
        <v>1+154.980738596962i</v>
      </c>
      <c r="AN390" s="98">
        <f t="shared" si="233"/>
        <v>154.9839647707461</v>
      </c>
      <c r="AO390" s="98">
        <f t="shared" si="234"/>
        <v>1.5643440016123336</v>
      </c>
      <c r="AP390" s="168" t="str">
        <f t="shared" si="235"/>
        <v>-1.75651255452671E-06+0.000272248280550331i</v>
      </c>
      <c r="AQ390" s="98">
        <f t="shared" si="236"/>
        <v>-71.300516310301788</v>
      </c>
      <c r="AR390" s="169">
        <f t="shared" si="237"/>
        <v>90.369660221248282</v>
      </c>
      <c r="AS390" s="168" t="str">
        <f t="shared" si="238"/>
        <v>0.000125744715608993-0.000144449092616684i</v>
      </c>
      <c r="AT390" s="190">
        <f t="shared" si="239"/>
        <v>-74.356029519268503</v>
      </c>
      <c r="AU390" s="169">
        <f t="shared" si="240"/>
        <v>-48.960027307183822</v>
      </c>
      <c r="AV390" s="225"/>
      <c r="AX390">
        <f t="shared" si="241"/>
        <v>0</v>
      </c>
      <c r="AY390">
        <f t="shared" si="242"/>
        <v>0</v>
      </c>
    </row>
    <row r="391" spans="14:51" x14ac:dyDescent="0.3">
      <c r="N391" s="170">
        <v>73</v>
      </c>
      <c r="O391" s="199">
        <f t="shared" si="243"/>
        <v>53703.179637025423</v>
      </c>
      <c r="P391" s="189" t="str">
        <f t="shared" si="209"/>
        <v>20.7142857142857</v>
      </c>
      <c r="Q391" s="160" t="str">
        <f t="shared" si="210"/>
        <v>1+77.1261781129564i</v>
      </c>
      <c r="R391" s="160">
        <f t="shared" si="218"/>
        <v>77.132660723661502</v>
      </c>
      <c r="S391" s="160">
        <f t="shared" si="219"/>
        <v>1.557831286997964</v>
      </c>
      <c r="T391" s="160" t="str">
        <f t="shared" si="211"/>
        <v>1+0.00674854058488368i</v>
      </c>
      <c r="U391" s="160">
        <f t="shared" si="220"/>
        <v>1.0000227711407506</v>
      </c>
      <c r="V391" s="160">
        <f t="shared" si="221"/>
        <v>6.7484381385383065E-3</v>
      </c>
      <c r="W391" s="98" t="str">
        <f t="shared" si="212"/>
        <v>1-1.77149190353196i</v>
      </c>
      <c r="X391" s="160">
        <f t="shared" si="222"/>
        <v>2.0342525812394308</v>
      </c>
      <c r="Y391" s="160">
        <f t="shared" si="223"/>
        <v>-1.056891950535622</v>
      </c>
      <c r="Z391" s="98" t="str">
        <f t="shared" si="213"/>
        <v>0.759468609651458-0.132183668288023i</v>
      </c>
      <c r="AA391" s="160">
        <f t="shared" si="224"/>
        <v>0.77088591322451649</v>
      </c>
      <c r="AB391" s="160">
        <f t="shared" si="225"/>
        <v>-0.17232139159890644</v>
      </c>
      <c r="AC391" s="171" t="str">
        <f t="shared" si="226"/>
        <v>-0.539314899304575-0.459761846725675i</v>
      </c>
      <c r="AD391" s="190">
        <f t="shared" si="227"/>
        <v>-2.9908739046432267</v>
      </c>
      <c r="AE391" s="169">
        <f t="shared" si="228"/>
        <v>-139.55266062337529</v>
      </c>
      <c r="AF391" s="98" t="str">
        <f t="shared" si="214"/>
        <v>-0.0000897803247373448</v>
      </c>
      <c r="AG391" s="98" t="str">
        <f t="shared" si="215"/>
        <v>0.674854058488368i</v>
      </c>
      <c r="AH391" s="98">
        <f t="shared" si="229"/>
        <v>0.67485405848836799</v>
      </c>
      <c r="AI391" s="98">
        <f t="shared" si="230"/>
        <v>1.5707963267948966</v>
      </c>
      <c r="AJ391" s="98" t="str">
        <f t="shared" si="216"/>
        <v>1+79.2953518723833i</v>
      </c>
      <c r="AK391" s="98">
        <f t="shared" si="231"/>
        <v>79.301657161531523</v>
      </c>
      <c r="AL391" s="98">
        <f t="shared" si="232"/>
        <v>1.5581859156126967</v>
      </c>
      <c r="AM391" s="98" t="str">
        <f t="shared" si="217"/>
        <v>1+158.590703744767i</v>
      </c>
      <c r="AN391" s="98">
        <f t="shared" si="233"/>
        <v>158.59385648334697</v>
      </c>
      <c r="AO391" s="98">
        <f t="shared" si="234"/>
        <v>1.5644908705264891</v>
      </c>
      <c r="AP391" s="168" t="str">
        <f t="shared" si="235"/>
        <v>-1.67746903785453E-06+0.000266052149919089i</v>
      </c>
      <c r="AQ391" s="98">
        <f t="shared" si="236"/>
        <v>-71.500491901536719</v>
      </c>
      <c r="AR391" s="169">
        <f t="shared" si="237"/>
        <v>90.361247306580552</v>
      </c>
      <c r="AS391" s="168" t="str">
        <f t="shared" si="238"/>
        <v>0.000123225311817374-0.00014271465218071i</v>
      </c>
      <c r="AT391" s="190">
        <f t="shared" si="239"/>
        <v>-74.491365806179928</v>
      </c>
      <c r="AU391" s="169">
        <f t="shared" si="240"/>
        <v>-49.191413316794609</v>
      </c>
      <c r="AV391" s="225"/>
      <c r="AX391">
        <f t="shared" si="241"/>
        <v>0</v>
      </c>
      <c r="AY391">
        <f t="shared" si="242"/>
        <v>0</v>
      </c>
    </row>
    <row r="392" spans="14:51" x14ac:dyDescent="0.3">
      <c r="N392" s="170">
        <v>74</v>
      </c>
      <c r="O392" s="199">
        <f t="shared" si="243"/>
        <v>54954.087385762505</v>
      </c>
      <c r="P392" s="189" t="str">
        <f t="shared" si="209"/>
        <v>20.7142857142857</v>
      </c>
      <c r="Q392" s="160" t="str">
        <f t="shared" si="210"/>
        <v>1+78.9226775843854i</v>
      </c>
      <c r="R392" s="160">
        <f t="shared" si="218"/>
        <v>78.929012644837059</v>
      </c>
      <c r="S392" s="160">
        <f t="shared" si="219"/>
        <v>1.5581263753840962</v>
      </c>
      <c r="T392" s="160" t="str">
        <f t="shared" si="211"/>
        <v>1+0.00690573428863372i</v>
      </c>
      <c r="U392" s="160">
        <f t="shared" si="220"/>
        <v>1.0000238442987572</v>
      </c>
      <c r="V392" s="160">
        <f t="shared" si="221"/>
        <v>6.9056245155382648E-3</v>
      </c>
      <c r="W392" s="98" t="str">
        <f t="shared" si="212"/>
        <v>1-1.81275525076635i</v>
      </c>
      <c r="X392" s="160">
        <f t="shared" si="222"/>
        <v>2.0702853907567844</v>
      </c>
      <c r="Y392" s="160">
        <f t="shared" si="223"/>
        <v>-1.066689925153536</v>
      </c>
      <c r="Z392" s="98" t="str">
        <f t="shared" si="213"/>
        <v>0.748132714463666-0.135262621453098i</v>
      </c>
      <c r="AA392" s="160">
        <f t="shared" si="224"/>
        <v>0.76026214900725997</v>
      </c>
      <c r="AB392" s="160">
        <f t="shared" si="225"/>
        <v>-0.17886801686150708</v>
      </c>
      <c r="AC392" s="171" t="str">
        <f t="shared" si="226"/>
        <v>-0.54544017427464-0.461800665235629i</v>
      </c>
      <c r="AD392" s="190">
        <f t="shared" si="227"/>
        <v>-2.9177900791210511</v>
      </c>
      <c r="AE392" s="169">
        <f t="shared" si="228"/>
        <v>-139.7468504222669</v>
      </c>
      <c r="AF392" s="98" t="str">
        <f t="shared" si="214"/>
        <v>-0.0000897803247373448</v>
      </c>
      <c r="AG392" s="98" t="str">
        <f t="shared" si="215"/>
        <v>0.690573428863372i</v>
      </c>
      <c r="AH392" s="98">
        <f t="shared" si="229"/>
        <v>0.69057342886337203</v>
      </c>
      <c r="AI392" s="98">
        <f t="shared" si="230"/>
        <v>1.5707963267948966</v>
      </c>
      <c r="AJ392" s="98" t="str">
        <f t="shared" si="216"/>
        <v>1+81.1423778914462i</v>
      </c>
      <c r="AK392" s="98">
        <f t="shared" si="231"/>
        <v>81.14853966571583</v>
      </c>
      <c r="AL392" s="98">
        <f t="shared" si="232"/>
        <v>1.5584729342166845</v>
      </c>
      <c r="AM392" s="98" t="str">
        <f t="shared" si="217"/>
        <v>1+162.284755782893i</v>
      </c>
      <c r="AN392" s="98">
        <f t="shared" si="233"/>
        <v>162.28783675775958</v>
      </c>
      <c r="AO392" s="98">
        <f t="shared" si="234"/>
        <v>1.5646343965588592</v>
      </c>
      <c r="AP392" s="168" t="str">
        <f t="shared" si="235"/>
        <v>-1.60198195951335E-06+0.000259996993920245i</v>
      </c>
      <c r="AQ392" s="98">
        <f t="shared" si="236"/>
        <v>-71.700468591133557</v>
      </c>
      <c r="AR392" s="169">
        <f t="shared" si="237"/>
        <v>90.353025787835392</v>
      </c>
      <c r="AS392" s="168" t="str">
        <f t="shared" si="238"/>
        <v>0.000120940570070815-0.000141073009340142i</v>
      </c>
      <c r="AT392" s="190">
        <f t="shared" si="239"/>
        <v>-74.618258670254605</v>
      </c>
      <c r="AU392" s="169">
        <f t="shared" si="240"/>
        <v>-49.393824634431411</v>
      </c>
      <c r="AV392" s="225"/>
      <c r="AX392">
        <f t="shared" si="241"/>
        <v>0</v>
      </c>
      <c r="AY392">
        <f t="shared" si="242"/>
        <v>0</v>
      </c>
    </row>
    <row r="393" spans="14:51" x14ac:dyDescent="0.3">
      <c r="N393" s="170">
        <v>75</v>
      </c>
      <c r="O393" s="199">
        <f t="shared" si="243"/>
        <v>56234.132519034953</v>
      </c>
      <c r="P393" s="189" t="str">
        <f t="shared" si="209"/>
        <v>20.7142857142857</v>
      </c>
      <c r="Q393" s="160" t="str">
        <f t="shared" si="210"/>
        <v>1+80.7610229041349i</v>
      </c>
      <c r="R393" s="160">
        <f t="shared" si="218"/>
        <v>80.767213772187304</v>
      </c>
      <c r="S393" s="160">
        <f t="shared" si="219"/>
        <v>1.5584147488707611</v>
      </c>
      <c r="T393" s="160" t="str">
        <f t="shared" si="211"/>
        <v>1+0.0070665895041118i</v>
      </c>
      <c r="U393" s="160">
        <f t="shared" si="220"/>
        <v>1.0000249680319084</v>
      </c>
      <c r="V393" s="160">
        <f t="shared" si="221"/>
        <v>7.0664718802794348E-3</v>
      </c>
      <c r="W393" s="98" t="str">
        <f t="shared" si="212"/>
        <v>1-1.85497974482934i</v>
      </c>
      <c r="X393" s="160">
        <f t="shared" si="222"/>
        <v>2.1073561288323157</v>
      </c>
      <c r="Y393" s="160">
        <f t="shared" si="223"/>
        <v>-1.0763683143547969</v>
      </c>
      <c r="Z393" s="98" t="str">
        <f t="shared" si="213"/>
        <v>0.736262574994818-0.138413292650479i</v>
      </c>
      <c r="AA393" s="160">
        <f t="shared" si="224"/>
        <v>0.74916007563160159</v>
      </c>
      <c r="AB393" s="160">
        <f t="shared" si="225"/>
        <v>-0.18582558396916568</v>
      </c>
      <c r="AC393" s="171" t="str">
        <f t="shared" si="226"/>
        <v>-0.551937565984612-0.464609169648298i</v>
      </c>
      <c r="AD393" s="190">
        <f t="shared" si="227"/>
        <v>-2.8358197183209932</v>
      </c>
      <c r="AE393" s="169">
        <f t="shared" si="228"/>
        <v>-139.91004875360019</v>
      </c>
      <c r="AF393" s="98" t="str">
        <f t="shared" si="214"/>
        <v>-0.0000897803247373448</v>
      </c>
      <c r="AG393" s="98" t="str">
        <f t="shared" si="215"/>
        <v>0.706658950411181i</v>
      </c>
      <c r="AH393" s="98">
        <f t="shared" si="229"/>
        <v>0.70665895041118099</v>
      </c>
      <c r="AI393" s="98">
        <f t="shared" si="230"/>
        <v>1.5707963267948966</v>
      </c>
      <c r="AJ393" s="98" t="str">
        <f t="shared" si="216"/>
        <v>1+83.0324266733137i</v>
      </c>
      <c r="AK393" s="98">
        <f t="shared" si="231"/>
        <v>83.038448198766446</v>
      </c>
      <c r="AL393" s="98">
        <f t="shared" si="232"/>
        <v>1.5587534214416618</v>
      </c>
      <c r="AM393" s="98" t="str">
        <f t="shared" si="217"/>
        <v>1+166.064853346628i</v>
      </c>
      <c r="AN393" s="98">
        <f t="shared" si="233"/>
        <v>166.06786419123077</v>
      </c>
      <c r="AO393" s="98">
        <f t="shared" si="234"/>
        <v>1.5647746557851803</v>
      </c>
      <c r="AP393" s="168" t="str">
        <f t="shared" si="235"/>
        <v>-1.52989135070046E-06+0.000254079608017838i</v>
      </c>
      <c r="AQ393" s="98">
        <f t="shared" si="236"/>
        <v>-71.900446329676683</v>
      </c>
      <c r="AR393" s="169">
        <f t="shared" si="237"/>
        <v>90.344991315342824</v>
      </c>
      <c r="AS393" s="168" t="str">
        <f t="shared" si="238"/>
        <v>0.000118892120214059-0.000139525278865589i</v>
      </c>
      <c r="AT393" s="190">
        <f t="shared" si="239"/>
        <v>-74.736266047997674</v>
      </c>
      <c r="AU393" s="169">
        <f t="shared" si="240"/>
        <v>-49.565057438257519</v>
      </c>
      <c r="AV393" s="225"/>
      <c r="AX393">
        <f t="shared" si="241"/>
        <v>0</v>
      </c>
      <c r="AY393">
        <f t="shared" si="242"/>
        <v>0</v>
      </c>
    </row>
    <row r="394" spans="14:51" x14ac:dyDescent="0.3">
      <c r="N394" s="170">
        <v>76</v>
      </c>
      <c r="O394" s="199">
        <f t="shared" si="243"/>
        <v>57543.993733715732</v>
      </c>
      <c r="P394" s="189" t="str">
        <f t="shared" si="209"/>
        <v>20.7142857142857</v>
      </c>
      <c r="Q394" s="160" t="str">
        <f t="shared" si="210"/>
        <v>1+82.6421887872267i</v>
      </c>
      <c r="R394" s="160">
        <f t="shared" si="218"/>
        <v>82.648238744353279</v>
      </c>
      <c r="S394" s="160">
        <f t="shared" si="219"/>
        <v>1.558696560165441</v>
      </c>
      <c r="T394" s="160" t="str">
        <f t="shared" si="211"/>
        <v>1+0.00723119151888234i</v>
      </c>
      <c r="U394" s="160">
        <f t="shared" si="220"/>
        <v>1.0000261447236181</v>
      </c>
      <c r="V394" s="160">
        <f t="shared" si="221"/>
        <v>7.231065482853169E-3</v>
      </c>
      <c r="W394" s="98" t="str">
        <f t="shared" si="212"/>
        <v>1-1.89818777370661i</v>
      </c>
      <c r="X394" s="160">
        <f t="shared" si="222"/>
        <v>2.1454875493111714</v>
      </c>
      <c r="Y394" s="160">
        <f t="shared" si="223"/>
        <v>-1.0859249962889745</v>
      </c>
      <c r="Z394" s="98" t="str">
        <f t="shared" si="213"/>
        <v>0.72383301308764-0.141637352407741i</v>
      </c>
      <c r="AA394" s="160">
        <f t="shared" si="224"/>
        <v>0.73756041815745932</v>
      </c>
      <c r="AB394" s="160">
        <f t="shared" si="225"/>
        <v>-0.19323523472762577</v>
      </c>
      <c r="AC394" s="171" t="str">
        <f t="shared" si="226"/>
        <v>-0.55883411946411-0.468256701403106i</v>
      </c>
      <c r="AD394" s="190">
        <f t="shared" si="227"/>
        <v>-2.7444777956687054</v>
      </c>
      <c r="AE394" s="169">
        <f t="shared" si="228"/>
        <v>-140.03978065749391</v>
      </c>
      <c r="AF394" s="98" t="str">
        <f t="shared" si="214"/>
        <v>-0.0000897803247373448</v>
      </c>
      <c r="AG394" s="98" t="str">
        <f t="shared" si="215"/>
        <v>0.723119151888234i</v>
      </c>
      <c r="AH394" s="98">
        <f t="shared" si="229"/>
        <v>0.72311915188823395</v>
      </c>
      <c r="AI394" s="98">
        <f t="shared" si="230"/>
        <v>1.5707963267948966</v>
      </c>
      <c r="AJ394" s="98" t="str">
        <f t="shared" si="216"/>
        <v>1+84.9665003468675i</v>
      </c>
      <c r="AK394" s="98">
        <f t="shared" si="231"/>
        <v>84.97238481526945</v>
      </c>
      <c r="AL394" s="98">
        <f t="shared" si="232"/>
        <v>1.5590275258290325</v>
      </c>
      <c r="AM394" s="98" t="str">
        <f t="shared" si="217"/>
        <v>1+169.933000693735i</v>
      </c>
      <c r="AN394" s="98">
        <f t="shared" si="233"/>
        <v>169.93594300434779</v>
      </c>
      <c r="AO394" s="98">
        <f t="shared" si="234"/>
        <v>1.5649117225506632</v>
      </c>
      <c r="AP394" s="168" t="str">
        <f t="shared" si="235"/>
        <v>-1.46104443383773E-06+0.000248296860323964i</v>
      </c>
      <c r="AQ394" s="98">
        <f t="shared" si="236"/>
        <v>-72.100425069972914</v>
      </c>
      <c r="AR394" s="169">
        <f t="shared" si="237"/>
        <v>90.337139637974161</v>
      </c>
      <c r="AS394" s="168" t="str">
        <f t="shared" si="238"/>
        <v>0.000117083150263729-0.000138072613457653i</v>
      </c>
      <c r="AT394" s="190">
        <f t="shared" si="239"/>
        <v>-74.844902865641615</v>
      </c>
      <c r="AU394" s="169">
        <f t="shared" si="240"/>
        <v>-49.70264101951966</v>
      </c>
      <c r="AV394" s="225"/>
      <c r="AX394">
        <f t="shared" si="241"/>
        <v>0</v>
      </c>
      <c r="AY394">
        <f t="shared" si="242"/>
        <v>0</v>
      </c>
    </row>
    <row r="395" spans="14:51" x14ac:dyDescent="0.3">
      <c r="N395" s="170">
        <v>77</v>
      </c>
      <c r="O395" s="199">
        <f t="shared" si="243"/>
        <v>58884.365535558936</v>
      </c>
      <c r="P395" s="189" t="str">
        <f t="shared" si="209"/>
        <v>20.7142857142857</v>
      </c>
      <c r="Q395" s="160" t="str">
        <f t="shared" si="210"/>
        <v>1+84.5671726527122i</v>
      </c>
      <c r="R395" s="160">
        <f t="shared" si="218"/>
        <v>84.573084905740757</v>
      </c>
      <c r="S395" s="160">
        <f t="shared" si="219"/>
        <v>1.5589719585090656</v>
      </c>
      <c r="T395" s="160" t="str">
        <f t="shared" si="211"/>
        <v>1+0.00739962760711232i</v>
      </c>
      <c r="U395" s="160">
        <f t="shared" si="220"/>
        <v>1.0000273768696155</v>
      </c>
      <c r="V395" s="160">
        <f t="shared" si="221"/>
        <v>7.3994925572735855E-3</v>
      </c>
      <c r="W395" s="98" t="str">
        <f t="shared" si="212"/>
        <v>1-1.94240224686698i</v>
      </c>
      <c r="X395" s="160">
        <f t="shared" si="222"/>
        <v>2.1847028376037536</v>
      </c>
      <c r="Y395" s="160">
        <f t="shared" si="223"/>
        <v>-1.0953580547066832</v>
      </c>
      <c r="Z395" s="98" t="str">
        <f t="shared" si="213"/>
        <v>0.71081766397487-0.144936510164041i</v>
      </c>
      <c r="AA395" s="160">
        <f t="shared" si="224"/>
        <v>0.72544354942147105</v>
      </c>
      <c r="AB395" s="160">
        <f t="shared" si="225"/>
        <v>-0.2011437968993105</v>
      </c>
      <c r="AC395" s="171" t="str">
        <f t="shared" si="226"/>
        <v>-0.56615838699397-0.472823793978612i</v>
      </c>
      <c r="AD395" s="190">
        <f t="shared" si="227"/>
        <v>-2.6432314240572286</v>
      </c>
      <c r="AE395" s="169">
        <f t="shared" si="228"/>
        <v>-140.13325686052912</v>
      </c>
      <c r="AF395" s="98" t="str">
        <f t="shared" si="214"/>
        <v>-0.0000897803247373448</v>
      </c>
      <c r="AG395" s="98" t="str">
        <f t="shared" si="215"/>
        <v>0.739962760711232i</v>
      </c>
      <c r="AH395" s="98">
        <f t="shared" si="229"/>
        <v>0.73996276071123201</v>
      </c>
      <c r="AI395" s="98">
        <f t="shared" si="230"/>
        <v>1.5707963267948966</v>
      </c>
      <c r="AJ395" s="98" t="str">
        <f t="shared" si="216"/>
        <v>1+86.9456243835698i</v>
      </c>
      <c r="AK395" s="98">
        <f t="shared" si="231"/>
        <v>86.951374914079452</v>
      </c>
      <c r="AL395" s="98">
        <f t="shared" si="232"/>
        <v>1.5592953925477215</v>
      </c>
      <c r="AM395" s="98" t="str">
        <f t="shared" si="217"/>
        <v>1+173.89124876714i</v>
      </c>
      <c r="AN395" s="98">
        <f t="shared" si="233"/>
        <v>173.89412410370679</v>
      </c>
      <c r="AO395" s="98">
        <f t="shared" si="234"/>
        <v>1.5650456695093093</v>
      </c>
      <c r="AP395" s="168" t="str">
        <f t="shared" si="235"/>
        <v>-1.39529529966572E-06+0.000242645689964855i</v>
      </c>
      <c r="AQ395" s="98">
        <f t="shared" si="236"/>
        <v>-72.300404766951459</v>
      </c>
      <c r="AR395" s="169">
        <f t="shared" si="237"/>
        <v>90.329466600930274</v>
      </c>
      <c r="AS395" s="168" t="str">
        <f t="shared" si="238"/>
        <v>0.00011551861385798-0.000136716163624233i</v>
      </c>
      <c r="AT395" s="190">
        <f t="shared" si="239"/>
        <v>-74.943636191008665</v>
      </c>
      <c r="AU395" s="169">
        <f t="shared" si="240"/>
        <v>-49.803790259598806</v>
      </c>
      <c r="AV395" s="225"/>
      <c r="AX395">
        <f t="shared" si="241"/>
        <v>0</v>
      </c>
      <c r="AY395">
        <f t="shared" si="242"/>
        <v>0</v>
      </c>
    </row>
    <row r="396" spans="14:51" x14ac:dyDescent="0.3">
      <c r="N396" s="170">
        <v>78</v>
      </c>
      <c r="O396" s="199">
        <f t="shared" si="243"/>
        <v>60255.95860743591</v>
      </c>
      <c r="P396" s="189" t="str">
        <f t="shared" si="209"/>
        <v>20.7142857142857</v>
      </c>
      <c r="Q396" s="160" t="str">
        <f t="shared" si="210"/>
        <v>1+86.5369951525173i</v>
      </c>
      <c r="R396" s="160">
        <f t="shared" si="218"/>
        <v>86.542772835325792</v>
      </c>
      <c r="S396" s="160">
        <f t="shared" si="219"/>
        <v>1.5592410897542868</v>
      </c>
      <c r="T396" s="160" t="str">
        <f t="shared" si="211"/>
        <v>1+0.00757198707584526i</v>
      </c>
      <c r="U396" s="160">
        <f t="shared" si="220"/>
        <v>1.0000286670832377</v>
      </c>
      <c r="V396" s="160">
        <f t="shared" si="221"/>
        <v>7.5718423675599283E-3</v>
      </c>
      <c r="W396" s="98" t="str">
        <f t="shared" si="212"/>
        <v>1-1.98764660740938i</v>
      </c>
      <c r="X396" s="160">
        <f t="shared" si="222"/>
        <v>2.225025625907715</v>
      </c>
      <c r="Y396" s="160">
        <f t="shared" si="223"/>
        <v>-1.1046657752475932</v>
      </c>
      <c r="Z396" s="98" t="str">
        <f t="shared" si="213"/>
        <v>0.697188920356037-0.148312515176491i</v>
      </c>
      <c r="AA396" s="160">
        <f t="shared" si="224"/>
        <v>0.71278958523900537</v>
      </c>
      <c r="AB396" s="160">
        <f t="shared" si="225"/>
        <v>-0.20960478149331213</v>
      </c>
      <c r="AC396" s="171" t="str">
        <f t="shared" si="226"/>
        <v>-0.573940244742249-0.478404273504639i</v>
      </c>
      <c r="AD396" s="190">
        <f t="shared" si="227"/>
        <v>-2.5314944443373428</v>
      </c>
      <c r="AE396" s="169">
        <f t="shared" si="228"/>
        <v>-140.18731642440596</v>
      </c>
      <c r="AF396" s="98" t="str">
        <f t="shared" si="214"/>
        <v>-0.0000897803247373448</v>
      </c>
      <c r="AG396" s="98" t="str">
        <f t="shared" si="215"/>
        <v>0.757198707584525i</v>
      </c>
      <c r="AH396" s="98">
        <f t="shared" si="229"/>
        <v>0.75719870758452501</v>
      </c>
      <c r="AI396" s="98">
        <f t="shared" si="230"/>
        <v>1.5707963267948966</v>
      </c>
      <c r="AJ396" s="98" t="str">
        <f t="shared" si="216"/>
        <v>1+88.9708481411818i</v>
      </c>
      <c r="AK396" s="98">
        <f t="shared" si="231"/>
        <v>88.976467781999716</v>
      </c>
      <c r="AL396" s="98">
        <f t="shared" si="232"/>
        <v>1.5595571634703596</v>
      </c>
      <c r="AM396" s="98" t="str">
        <f t="shared" si="217"/>
        <v>1+177.941696282364i</v>
      </c>
      <c r="AN396" s="98">
        <f t="shared" si="233"/>
        <v>177.94450616932539</v>
      </c>
      <c r="AO396" s="98">
        <f t="shared" si="234"/>
        <v>1.5651765676623315</v>
      </c>
      <c r="AP396" s="168" t="str">
        <f t="shared" si="235"/>
        <v>-1.33250459880481E-06+0.000237123105482818i</v>
      </c>
      <c r="AQ396" s="98">
        <f t="shared" si="236"/>
        <v>-72.500385377568847</v>
      </c>
      <c r="AR396" s="169">
        <f t="shared" si="237"/>
        <v>90.321968143578118</v>
      </c>
      <c r="AS396" s="168" t="str">
        <f t="shared" si="238"/>
        <v>0.00011420548502523-0.000135457017300318i</v>
      </c>
      <c r="AT396" s="190">
        <f t="shared" si="239"/>
        <v>-75.031879821906188</v>
      </c>
      <c r="AU396" s="169">
        <f t="shared" si="240"/>
        <v>-49.865348280827796</v>
      </c>
      <c r="AV396" s="225"/>
      <c r="AX396">
        <f t="shared" si="241"/>
        <v>0</v>
      </c>
      <c r="AY396">
        <f t="shared" si="242"/>
        <v>0</v>
      </c>
    </row>
    <row r="397" spans="14:51" x14ac:dyDescent="0.3">
      <c r="N397" s="170">
        <v>79</v>
      </c>
      <c r="O397" s="199">
        <f t="shared" si="243"/>
        <v>61659.500186148245</v>
      </c>
      <c r="P397" s="189" t="str">
        <f t="shared" si="209"/>
        <v>20.7142857142857</v>
      </c>
      <c r="Q397" s="160" t="str">
        <f t="shared" si="210"/>
        <v>1+88.5527007126043i</v>
      </c>
      <c r="R397" s="160">
        <f t="shared" si="218"/>
        <v>88.558346887778285</v>
      </c>
      <c r="S397" s="160">
        <f t="shared" si="219"/>
        <v>1.5595040964420146</v>
      </c>
      <c r="T397" s="160" t="str">
        <f t="shared" si="211"/>
        <v>1+0.00774836131235288i</v>
      </c>
      <c r="U397" s="160">
        <f t="shared" si="220"/>
        <v>1.0000300181009703</v>
      </c>
      <c r="V397" s="160">
        <f t="shared" si="221"/>
        <v>7.7482062548828966E-3</v>
      </c>
      <c r="W397" s="98" t="str">
        <f t="shared" si="212"/>
        <v>1-2.03394484449263i</v>
      </c>
      <c r="X397" s="160">
        <f t="shared" si="222"/>
        <v>2.266480008832672</v>
      </c>
      <c r="Y397" s="160">
        <f t="shared" si="223"/>
        <v>-1.1138466411825321</v>
      </c>
      <c r="Z397" s="98" t="str">
        <f t="shared" si="213"/>
        <v>0.682917873838692-0.151767157447636i</v>
      </c>
      <c r="AA397" s="160">
        <f t="shared" si="224"/>
        <v>0.69957851059626985</v>
      </c>
      <c r="AB397" s="160">
        <f t="shared" si="225"/>
        <v>-0.21867959262309089</v>
      </c>
      <c r="AC397" s="171" t="str">
        <f t="shared" si="226"/>
        <v>-0.58221055465275-0.485107828692446i</v>
      </c>
      <c r="AD397" s="190">
        <f t="shared" si="227"/>
        <v>-2.408621400239622</v>
      </c>
      <c r="AE397" s="169">
        <f t="shared" si="228"/>
        <v>-140.1983571839271</v>
      </c>
      <c r="AF397" s="98" t="str">
        <f t="shared" si="214"/>
        <v>-0.0000897803247373448</v>
      </c>
      <c r="AG397" s="98" t="str">
        <f t="shared" si="215"/>
        <v>0.774836131235287i</v>
      </c>
      <c r="AH397" s="98">
        <f t="shared" si="229"/>
        <v>0.77483613123528705</v>
      </c>
      <c r="AI397" s="98">
        <f t="shared" si="230"/>
        <v>1.5707963267948966</v>
      </c>
      <c r="AJ397" s="98" t="str">
        <f t="shared" si="216"/>
        <v>1+91.0432454201463i</v>
      </c>
      <c r="AK397" s="98">
        <f t="shared" si="231"/>
        <v>91.048737150127408</v>
      </c>
      <c r="AL397" s="98">
        <f t="shared" si="232"/>
        <v>1.5598129772477713</v>
      </c>
      <c r="AM397" s="98" t="str">
        <f t="shared" si="217"/>
        <v>1+182.086490840293i</v>
      </c>
      <c r="AN397" s="98">
        <f t="shared" si="233"/>
        <v>182.08923676739408</v>
      </c>
      <c r="AO397" s="98">
        <f t="shared" si="234"/>
        <v>1.5653044863957102</v>
      </c>
      <c r="AP397" s="168" t="str">
        <f t="shared" si="235"/>
        <v>-1.27253924713814E-06+0.000231726183273345i</v>
      </c>
      <c r="AQ397" s="98">
        <f t="shared" si="236"/>
        <v>-72.700366860717466</v>
      </c>
      <c r="AR397" s="169">
        <f t="shared" si="237"/>
        <v>90.314640297334378</v>
      </c>
      <c r="AS397" s="168" t="str">
        <f t="shared" si="238"/>
        <v>0.000113153071399814-0.000134296110940034i</v>
      </c>
      <c r="AT397" s="190">
        <f t="shared" si="239"/>
        <v>-75.108988260957076</v>
      </c>
      <c r="AU397" s="169">
        <f t="shared" si="240"/>
        <v>-49.883716886592708</v>
      </c>
      <c r="AV397" s="225"/>
      <c r="AX397">
        <f t="shared" si="241"/>
        <v>0</v>
      </c>
      <c r="AY397">
        <f t="shared" si="242"/>
        <v>0</v>
      </c>
    </row>
    <row r="398" spans="14:51" x14ac:dyDescent="0.3">
      <c r="N398" s="170">
        <v>80</v>
      </c>
      <c r="O398" s="199">
        <f t="shared" si="243"/>
        <v>63095.734448019342</v>
      </c>
      <c r="P398" s="189" t="str">
        <f t="shared" si="209"/>
        <v>20.7142857142857</v>
      </c>
      <c r="Q398" s="160" t="str">
        <f t="shared" si="210"/>
        <v>1+90.6153580867429i</v>
      </c>
      <c r="R398" s="160">
        <f t="shared" si="218"/>
        <v>90.620875747195498</v>
      </c>
      <c r="S398" s="160">
        <f t="shared" si="219"/>
        <v>1.5597611178762503</v>
      </c>
      <c r="T398" s="160" t="str">
        <f t="shared" si="211"/>
        <v>1+0.00792884383259i</v>
      </c>
      <c r="U398" s="160">
        <f t="shared" si="220"/>
        <v>1.0000314327882507</v>
      </c>
      <c r="V398" s="160">
        <f t="shared" si="221"/>
        <v>7.9286776857995407E-3</v>
      </c>
      <c r="W398" s="98" t="str">
        <f t="shared" si="212"/>
        <v>1-2.08132150605487i</v>
      </c>
      <c r="X398" s="160">
        <f t="shared" si="222"/>
        <v>2.3090905594121924</v>
      </c>
      <c r="Y398" s="160">
        <f t="shared" si="223"/>
        <v>-1.1228993286651621</v>
      </c>
      <c r="Z398" s="98" t="str">
        <f t="shared" si="213"/>
        <v>0.667974253619819-0.155302268674536i</v>
      </c>
      <c r="AA398" s="160">
        <f t="shared" si="224"/>
        <v>0.68579034562642549</v>
      </c>
      <c r="AB398" s="160">
        <f t="shared" si="225"/>
        <v>-0.22843900327468278</v>
      </c>
      <c r="AC398" s="171" t="str">
        <f t="shared" si="226"/>
        <v>-0.591000597184933-0.493063169046206i</v>
      </c>
      <c r="AD398" s="190">
        <f t="shared" si="227"/>
        <v>-2.273900859532926</v>
      </c>
      <c r="AE398" s="169">
        <f t="shared" si="228"/>
        <v>-140.1622509211733</v>
      </c>
      <c r="AF398" s="98" t="str">
        <f t="shared" si="214"/>
        <v>-0.0000897803247373448</v>
      </c>
      <c r="AG398" s="98" t="str">
        <f t="shared" si="215"/>
        <v>0.792884383259i</v>
      </c>
      <c r="AH398" s="98">
        <f t="shared" si="229"/>
        <v>0.79288438325900001</v>
      </c>
      <c r="AI398" s="98">
        <f t="shared" si="230"/>
        <v>1.5707963267948966</v>
      </c>
      <c r="AJ398" s="98" t="str">
        <f t="shared" si="216"/>
        <v>1+93.1639150329325i</v>
      </c>
      <c r="AK398" s="98">
        <f t="shared" si="231"/>
        <v>93.169281763161976</v>
      </c>
      <c r="AL398" s="98">
        <f t="shared" si="232"/>
        <v>1.560062969381806</v>
      </c>
      <c r="AM398" s="98" t="str">
        <f t="shared" si="217"/>
        <v>1+186.327830065865i</v>
      </c>
      <c r="AN398" s="98">
        <f t="shared" si="233"/>
        <v>186.33051348894486</v>
      </c>
      <c r="AO398" s="98">
        <f t="shared" si="234"/>
        <v>1.5654294935168962</v>
      </c>
      <c r="AP398" s="168" t="str">
        <f t="shared" si="235"/>
        <v>-1.21527214439931E-06+0.000226452066056627i</v>
      </c>
      <c r="AQ398" s="98">
        <f t="shared" si="236"/>
        <v>-72.900349177138892</v>
      </c>
      <c r="AR398" s="169">
        <f t="shared" si="237"/>
        <v>90.30747918359576</v>
      </c>
      <c r="AS398" s="168" t="str">
        <f t="shared" si="238"/>
        <v>0.000112373399890023-0.000133234100338457i</v>
      </c>
      <c r="AT398" s="190">
        <f t="shared" si="239"/>
        <v>-75.17425003667185</v>
      </c>
      <c r="AU398" s="169">
        <f t="shared" si="240"/>
        <v>-49.854771737577572</v>
      </c>
      <c r="AV398" s="225"/>
      <c r="AX398">
        <f t="shared" si="241"/>
        <v>0</v>
      </c>
      <c r="AY398">
        <f t="shared" si="242"/>
        <v>0</v>
      </c>
    </row>
    <row r="399" spans="14:51" x14ac:dyDescent="0.3">
      <c r="N399" s="170">
        <v>81</v>
      </c>
      <c r="O399" s="199">
        <f t="shared" si="243"/>
        <v>64565.422903465682</v>
      </c>
      <c r="P399" s="189" t="str">
        <f t="shared" si="209"/>
        <v>20.7142857142857</v>
      </c>
      <c r="Q399" s="160" t="str">
        <f t="shared" si="210"/>
        <v>1+92.7260609231753i</v>
      </c>
      <c r="R399" s="160">
        <f t="shared" si="218"/>
        <v>92.731452993730315</v>
      </c>
      <c r="S399" s="160">
        <f t="shared" si="219"/>
        <v>1.5600122901972513</v>
      </c>
      <c r="T399" s="160" t="str">
        <f t="shared" si="211"/>
        <v>1+0.00811353033077784i</v>
      </c>
      <c r="U399" s="160">
        <f t="shared" si="220"/>
        <v>1.0000329141455437</v>
      </c>
      <c r="V399" s="160">
        <f t="shared" si="221"/>
        <v>8.1133523016008232E-3</v>
      </c>
      <c r="W399" s="98" t="str">
        <f t="shared" si="212"/>
        <v>1-2.12980171182918i</v>
      </c>
      <c r="X399" s="160">
        <f t="shared" si="222"/>
        <v>2.3528823454882963</v>
      </c>
      <c r="Y399" s="160">
        <f t="shared" si="223"/>
        <v>-1.1318227015483302</v>
      </c>
      <c r="Z399" s="98" t="str">
        <f t="shared" si="213"/>
        <v>0.652326362277403-0.158919723219956i</v>
      </c>
      <c r="AA399" s="160">
        <f t="shared" si="224"/>
        <v>0.67140536291451913</v>
      </c>
      <c r="AB399" s="160">
        <f t="shared" si="225"/>
        <v>-0.23896496565719658</v>
      </c>
      <c r="AC399" s="171" t="str">
        <f t="shared" si="226"/>
        <v>-0.600341166190143-0.502421923023058i</v>
      </c>
      <c r="AD399" s="190">
        <f t="shared" si="227"/>
        <v>-2.1265480625073079</v>
      </c>
      <c r="AE399" s="169">
        <f t="shared" si="228"/>
        <v>-140.07423934442411</v>
      </c>
      <c r="AF399" s="98" t="str">
        <f t="shared" si="214"/>
        <v>-0.0000897803247373448</v>
      </c>
      <c r="AG399" s="98" t="str">
        <f t="shared" si="215"/>
        <v>0.811353033077784i</v>
      </c>
      <c r="AH399" s="98">
        <f t="shared" si="229"/>
        <v>0.81135303307778395</v>
      </c>
      <c r="AI399" s="98">
        <f t="shared" si="230"/>
        <v>1.5707963267948966</v>
      </c>
      <c r="AJ399" s="98" t="str">
        <f t="shared" si="216"/>
        <v>1+95.3339813866396i</v>
      </c>
      <c r="AK399" s="98">
        <f t="shared" si="231"/>
        <v>95.339225961973</v>
      </c>
      <c r="AL399" s="98">
        <f t="shared" si="232"/>
        <v>1.5603072722965421</v>
      </c>
      <c r="AM399" s="98" t="str">
        <f t="shared" si="217"/>
        <v>1+190.66796277328i</v>
      </c>
      <c r="AN399" s="98">
        <f t="shared" si="233"/>
        <v>190.67058511504311</v>
      </c>
      <c r="AO399" s="98">
        <f t="shared" si="234"/>
        <v>1.5655516552906832</v>
      </c>
      <c r="AP399" s="168" t="str">
        <f t="shared" si="235"/>
        <v>-1.16058190537563E-06+0.000221297961382817i</v>
      </c>
      <c r="AQ399" s="98">
        <f t="shared" si="236"/>
        <v>-73.100332289340372</v>
      </c>
      <c r="AR399" s="169">
        <f t="shared" si="237"/>
        <v>90.300481011714467</v>
      </c>
      <c r="AS399" s="168" t="str">
        <f t="shared" si="238"/>
        <v>0.00011188169241357-0.000132271174419337i</v>
      </c>
      <c r="AT399" s="190">
        <f t="shared" si="239"/>
        <v>-75.226880351847669</v>
      </c>
      <c r="AU399" s="169">
        <f t="shared" si="240"/>
        <v>-49.773758332709562</v>
      </c>
      <c r="AV399" s="225"/>
      <c r="AX399">
        <f t="shared" si="241"/>
        <v>0</v>
      </c>
      <c r="AY399">
        <f t="shared" si="242"/>
        <v>0</v>
      </c>
    </row>
    <row r="400" spans="14:51" x14ac:dyDescent="0.3">
      <c r="N400" s="170">
        <v>82</v>
      </c>
      <c r="O400" s="199">
        <f t="shared" si="243"/>
        <v>66069.344800759733</v>
      </c>
      <c r="P400" s="189" t="str">
        <f t="shared" si="209"/>
        <v>20.7142857142857</v>
      </c>
      <c r="Q400" s="160" t="str">
        <f t="shared" si="210"/>
        <v>1+94.8859283444837i</v>
      </c>
      <c r="R400" s="160">
        <f t="shared" si="218"/>
        <v>94.891197683423158</v>
      </c>
      <c r="S400" s="160">
        <f t="shared" si="219"/>
        <v>1.5602577464530678</v>
      </c>
      <c r="T400" s="160" t="str">
        <f t="shared" si="211"/>
        <v>1+0.00830251873014232i</v>
      </c>
      <c r="U400" s="160">
        <f t="shared" si="220"/>
        <v>1.0000344653147033</v>
      </c>
      <c r="V400" s="160">
        <f t="shared" si="221"/>
        <v>8.3023279687973271E-3</v>
      </c>
      <c r="W400" s="98" t="str">
        <f t="shared" si="212"/>
        <v>1-2.17941116666235i</v>
      </c>
      <c r="X400" s="160">
        <f t="shared" si="222"/>
        <v>2.3978809464551292</v>
      </c>
      <c r="Y400" s="160">
        <f t="shared" si="223"/>
        <v>-1.1406158058194247</v>
      </c>
      <c r="Z400" s="98" t="str">
        <f t="shared" si="213"/>
        <v>0.635941008535962-0.162621439106178i</v>
      </c>
      <c r="AA400" s="160">
        <f t="shared" si="224"/>
        <v>0.65640437140127339</v>
      </c>
      <c r="AB400" s="160">
        <f t="shared" si="225"/>
        <v>-0.25035284504068295</v>
      </c>
      <c r="AC400" s="171" t="str">
        <f t="shared" si="226"/>
        <v>-0.610261166411279-0.513363469517234i</v>
      </c>
      <c r="AD400" s="190">
        <f t="shared" si="227"/>
        <v>-1.9656969189355511</v>
      </c>
      <c r="AE400" s="169">
        <f t="shared" si="228"/>
        <v>-139.92880578105081</v>
      </c>
      <c r="AF400" s="98" t="str">
        <f t="shared" si="214"/>
        <v>-0.0000897803247373448</v>
      </c>
      <c r="AG400" s="98" t="str">
        <f t="shared" si="215"/>
        <v>0.830251873014231i</v>
      </c>
      <c r="AH400" s="98">
        <f t="shared" si="229"/>
        <v>0.83025187301423098</v>
      </c>
      <c r="AI400" s="98">
        <f t="shared" si="230"/>
        <v>1.5707963267948966</v>
      </c>
      <c r="AJ400" s="98" t="str">
        <f t="shared" si="216"/>
        <v>1+97.5545950791723i</v>
      </c>
      <c r="AK400" s="98">
        <f t="shared" si="231"/>
        <v>97.559720279740816</v>
      </c>
      <c r="AL400" s="98">
        <f t="shared" si="232"/>
        <v>1.5605460154079041</v>
      </c>
      <c r="AM400" s="98" t="str">
        <f t="shared" si="217"/>
        <v>1+195.109190158345i</v>
      </c>
      <c r="AN400" s="98">
        <f t="shared" si="233"/>
        <v>195.1117528091151</v>
      </c>
      <c r="AO400" s="98">
        <f t="shared" si="234"/>
        <v>1.5656710364742674</v>
      </c>
      <c r="AP400" s="168" t="str">
        <f t="shared" si="235"/>
        <v>-1.10835260316323E-06+0.000216261140170291i</v>
      </c>
      <c r="AQ400" s="98">
        <f t="shared" si="236"/>
        <v>-73.300316161515909</v>
      </c>
      <c r="AR400" s="169">
        <f t="shared" si="237"/>
        <v>90.293642077018262</v>
      </c>
      <c r="AS400" s="168" t="str">
        <f t="shared" si="238"/>
        <v>0.000111696953791975-0.000131406787911947i</v>
      </c>
      <c r="AT400" s="190">
        <f t="shared" si="239"/>
        <v>-75.26601308045143</v>
      </c>
      <c r="AU400" s="169">
        <f t="shared" si="240"/>
        <v>-49.635163704032593</v>
      </c>
      <c r="AV400" s="225"/>
      <c r="AX400">
        <f t="shared" si="241"/>
        <v>0</v>
      </c>
      <c r="AY400">
        <f t="shared" si="242"/>
        <v>0</v>
      </c>
    </row>
    <row r="401" spans="14:51" x14ac:dyDescent="0.3">
      <c r="N401" s="170">
        <v>83</v>
      </c>
      <c r="O401" s="199">
        <f t="shared" si="243"/>
        <v>67608.297539198305</v>
      </c>
      <c r="P401" s="189" t="str">
        <f t="shared" si="209"/>
        <v>20.7142857142857</v>
      </c>
      <c r="Q401" s="160" t="str">
        <f t="shared" si="210"/>
        <v>1+97.0961055409639i</v>
      </c>
      <c r="R401" s="160">
        <f t="shared" si="218"/>
        <v>97.10125494154029</v>
      </c>
      <c r="S401" s="160">
        <f t="shared" si="219"/>
        <v>1.5604976166694799</v>
      </c>
      <c r="T401" s="160" t="str">
        <f t="shared" si="211"/>
        <v>1+0.00849590923483434i</v>
      </c>
      <c r="U401" s="160">
        <f t="shared" si="220"/>
        <v>1.0000360895856342</v>
      </c>
      <c r="V401" s="160">
        <f t="shared" si="221"/>
        <v>8.4957048307688875E-3</v>
      </c>
      <c r="W401" s="98" t="str">
        <f t="shared" si="212"/>
        <v>1-2.23017617414401i</v>
      </c>
      <c r="X401" s="160">
        <f t="shared" si="222"/>
        <v>2.4441124703498431</v>
      </c>
      <c r="Y401" s="160">
        <f t="shared" si="223"/>
        <v>-1.1492778637078178</v>
      </c>
      <c r="Z401" s="98" t="str">
        <f t="shared" si="213"/>
        <v>0.618783436863386-0.166409379031963i</v>
      </c>
      <c r="AA401" s="160">
        <f t="shared" si="224"/>
        <v>0.64076908724303139</v>
      </c>
      <c r="AB401" s="160">
        <f t="shared" si="225"/>
        <v>-0.26271419280908409</v>
      </c>
      <c r="AC401" s="171" t="str">
        <f t="shared" si="226"/>
        <v>-0.620785478395851-0.52610094869723i</v>
      </c>
      <c r="AD401" s="190">
        <f t="shared" si="227"/>
        <v>-1.7903914454274241</v>
      </c>
      <c r="AE401" s="169">
        <f t="shared" si="228"/>
        <v>-139.71951595671572</v>
      </c>
      <c r="AF401" s="98" t="str">
        <f t="shared" si="214"/>
        <v>-0.0000897803247373448</v>
      </c>
      <c r="AG401" s="98" t="str">
        <f t="shared" si="215"/>
        <v>0.849590923483433i</v>
      </c>
      <c r="AH401" s="98">
        <f t="shared" si="229"/>
        <v>0.84959092348343301</v>
      </c>
      <c r="AI401" s="98">
        <f t="shared" si="230"/>
        <v>1.5707963267948966</v>
      </c>
      <c r="AJ401" s="98" t="str">
        <f t="shared" si="216"/>
        <v>1+99.8269335093035i</v>
      </c>
      <c r="AK401" s="98">
        <f t="shared" si="231"/>
        <v>99.831942051985052</v>
      </c>
      <c r="AL401" s="98">
        <f t="shared" si="232"/>
        <v>1.5607793251917235</v>
      </c>
      <c r="AM401" s="98" t="str">
        <f t="shared" si="217"/>
        <v>1+199.653867018607i</v>
      </c>
      <c r="AN401" s="98">
        <f t="shared" si="233"/>
        <v>199.65637133706403</v>
      </c>
      <c r="AO401" s="98">
        <f t="shared" si="234"/>
        <v>1.5657877003515137</v>
      </c>
      <c r="AP401" s="168" t="str">
        <f t="shared" si="235"/>
        <v>-1.05847352393609E-06+0.000211338935276279i</v>
      </c>
      <c r="AQ401" s="98">
        <f t="shared" si="236"/>
        <v>-73.500300759469866</v>
      </c>
      <c r="AR401" s="169">
        <f t="shared" si="237"/>
        <v>90.286958758874135</v>
      </c>
      <c r="AS401" s="168" t="str">
        <f t="shared" si="238"/>
        <v>0.000111842699338439-0.000130639278114041i</v>
      </c>
      <c r="AT401" s="190">
        <f t="shared" si="239"/>
        <v>-75.290692204897283</v>
      </c>
      <c r="AU401" s="169">
        <f t="shared" si="240"/>
        <v>-49.432557197841582</v>
      </c>
      <c r="AV401" s="225"/>
      <c r="AX401">
        <f t="shared" si="241"/>
        <v>0</v>
      </c>
      <c r="AY401">
        <f t="shared" si="242"/>
        <v>0</v>
      </c>
    </row>
    <row r="402" spans="14:51" x14ac:dyDescent="0.3">
      <c r="N402" s="170">
        <v>84</v>
      </c>
      <c r="O402" s="199">
        <f t="shared" si="243"/>
        <v>69183.097091893651</v>
      </c>
      <c r="P402" s="189" t="str">
        <f t="shared" si="209"/>
        <v>20.7142857142857</v>
      </c>
      <c r="Q402" s="160" t="str">
        <f t="shared" si="210"/>
        <v>1+99.3577643778206i</v>
      </c>
      <c r="R402" s="160">
        <f t="shared" si="218"/>
        <v>99.362796569734869</v>
      </c>
      <c r="S402" s="160">
        <f t="shared" si="219"/>
        <v>1.5607320279183752</v>
      </c>
      <c r="T402" s="160" t="str">
        <f t="shared" si="211"/>
        <v>1+0.0086938043830593i</v>
      </c>
      <c r="U402" s="160">
        <f t="shared" si="220"/>
        <v>1.0000377904032682</v>
      </c>
      <c r="V402" s="160">
        <f t="shared" si="221"/>
        <v>8.6935853606041093E-3</v>
      </c>
      <c r="W402" s="98" t="str">
        <f t="shared" si="212"/>
        <v>1-2.28212365055306i</v>
      </c>
      <c r="X402" s="160">
        <f t="shared" si="222"/>
        <v>2.4916035712796738</v>
      </c>
      <c r="Y402" s="160">
        <f t="shared" si="223"/>
        <v>-1.1578082675157355</v>
      </c>
      <c r="Z402" s="98" t="str">
        <f t="shared" si="213"/>
        <v>0.600817253749806-0.170285551413199i</v>
      </c>
      <c r="AA402" s="160">
        <f t="shared" si="224"/>
        <v>0.62448261899235913</v>
      </c>
      <c r="AB402" s="160">
        <f t="shared" si="225"/>
        <v>-0.27618021013655464</v>
      </c>
      <c r="AC402" s="171" t="str">
        <f t="shared" si="226"/>
        <v>-0.631931742037709-0.540888763491443i</v>
      </c>
      <c r="AD402" s="190">
        <f t="shared" si="227"/>
        <v>-1.5995768557640919</v>
      </c>
      <c r="AE402" s="169">
        <f t="shared" si="228"/>
        <v>-139.43881918876232</v>
      </c>
      <c r="AF402" s="98" t="str">
        <f t="shared" si="214"/>
        <v>-0.0000897803247373448</v>
      </c>
      <c r="AG402" s="98" t="str">
        <f t="shared" si="215"/>
        <v>0.86938043830593i</v>
      </c>
      <c r="AH402" s="98">
        <f t="shared" si="229"/>
        <v>0.86938043830593004</v>
      </c>
      <c r="AI402" s="98">
        <f t="shared" si="230"/>
        <v>1.5707963267948966</v>
      </c>
      <c r="AJ402" s="98" t="str">
        <f t="shared" si="216"/>
        <v>1+102.152201500947i</v>
      </c>
      <c r="AK402" s="98">
        <f t="shared" si="231"/>
        <v>102.15709604080413</v>
      </c>
      <c r="AL402" s="98">
        <f t="shared" si="232"/>
        <v>1.561007325250279</v>
      </c>
      <c r="AM402" s="98" t="str">
        <f t="shared" si="217"/>
        <v>1+204.304403001894i</v>
      </c>
      <c r="AN402" s="98">
        <f t="shared" si="233"/>
        <v>204.30685031579415</v>
      </c>
      <c r="AO402" s="98">
        <f t="shared" si="234"/>
        <v>1.5659017087664437</v>
      </c>
      <c r="AP402" s="168" t="str">
        <f t="shared" si="235"/>
        <v>-1.01083893271389E-06+0.000206528740099133i</v>
      </c>
      <c r="AQ402" s="98">
        <f t="shared" si="236"/>
        <v>-73.700286050545088</v>
      </c>
      <c r="AR402" s="169">
        <f t="shared" si="237"/>
        <v>90.280427518794639</v>
      </c>
      <c r="AS402" s="168" t="str">
        <f t="shared" si="238"/>
        <v>0.000112347856065335-0.000129965315091294i</v>
      </c>
      <c r="AT402" s="190">
        <f t="shared" si="239"/>
        <v>-75.299862906309173</v>
      </c>
      <c r="AU402" s="169">
        <f t="shared" si="240"/>
        <v>-49.158391669967763</v>
      </c>
      <c r="AV402" s="225"/>
      <c r="AX402">
        <f t="shared" si="241"/>
        <v>0</v>
      </c>
      <c r="AY402">
        <f t="shared" si="242"/>
        <v>0</v>
      </c>
    </row>
    <row r="403" spans="14:51" x14ac:dyDescent="0.3">
      <c r="N403" s="170">
        <v>85</v>
      </c>
      <c r="O403" s="199">
        <f t="shared" si="243"/>
        <v>70794.578438413781</v>
      </c>
      <c r="P403" s="189" t="str">
        <f t="shared" ref="P403:P466" si="244">COMPLEX(Adc,0)</f>
        <v>20.7142857142857</v>
      </c>
      <c r="Q403" s="160" t="str">
        <f t="shared" ref="Q403:Q466" si="245">IMSUM(COMPLEX(1,0),IMDIV(COMPLEX(0,2*PI()*O403),COMPLEX(wp_lf,0)))</f>
        <v>1+101.672104016506i</v>
      </c>
      <c r="R403" s="160">
        <f t="shared" si="218"/>
        <v>101.67702166735222</v>
      </c>
      <c r="S403" s="160">
        <f t="shared" si="219"/>
        <v>1.560961104384597</v>
      </c>
      <c r="T403" s="160" t="str">
        <f t="shared" ref="T403:T466" si="246">IMSUM(COMPLEX(1,0),IMDIV(COMPLEX(0,2*PI()*O403),COMPLEX(wz_esr,0)))</f>
        <v>1+0.00889630910144428i</v>
      </c>
      <c r="U403" s="160">
        <f t="shared" si="220"/>
        <v>1.0000395713748673</v>
      </c>
      <c r="V403" s="160">
        <f t="shared" si="221"/>
        <v>8.896074415156812E-3</v>
      </c>
      <c r="W403" s="98" t="str">
        <f t="shared" ref="W403:W466" si="247">IMSUB(COMPLEX(1,0),IMDIV(COMPLEX(0,2*PI()*O403),COMPLEX(wz_rhp,0)))</f>
        <v>1-2.33528113912912i</v>
      </c>
      <c r="X403" s="160">
        <f t="shared" si="222"/>
        <v>2.5403814671761795</v>
      </c>
      <c r="Y403" s="160">
        <f t="shared" si="223"/>
        <v>-1.1662065732219962</v>
      </c>
      <c r="Z403" s="98" t="str">
        <f t="shared" ref="Z403:Z466" si="248">IF(Dc_Mode_Loop="CCM",IMSUM(COMPLEX(1,0),IMDIV(COMPLEX(0,2*PI()*O403),COMPLEX(Q*(wsl/2),0)),IMDIV(IMPOWER(COMPLEX(0,2*PI()*O403),2),IMPOWER(COMPLEX(wsl/2,0),2))),COMPLEX(1,0))</f>
        <v>0.582004350512065-0.174252011447791i</v>
      </c>
      <c r="AA403" s="160">
        <f t="shared" si="224"/>
        <v>0.6075301041994311</v>
      </c>
      <c r="AB403" s="160">
        <f t="shared" si="225"/>
        <v>-0.29090610125739569</v>
      </c>
      <c r="AC403" s="171" t="str">
        <f t="shared" si="226"/>
        <v>-0.643705538384209-0.558031961318766i</v>
      </c>
      <c r="AD403" s="190">
        <f t="shared" si="227"/>
        <v>-1.3920907184697882</v>
      </c>
      <c r="AE403" s="169">
        <f t="shared" si="228"/>
        <v>-139.07779859647519</v>
      </c>
      <c r="AF403" s="98" t="str">
        <f t="shared" ref="AF403:AF466" si="249">COMPLEX(Adc_ea,0)</f>
        <v>-0.0000897803247373448</v>
      </c>
      <c r="AG403" s="98" t="str">
        <f t="shared" ref="AG403:AG466" si="250">COMPLEX(0,2*PI()*O403*wp0_ea)</f>
        <v>0.889630910144429i</v>
      </c>
      <c r="AH403" s="98">
        <f t="shared" si="229"/>
        <v>0.88963091014442897</v>
      </c>
      <c r="AI403" s="98">
        <f t="shared" si="230"/>
        <v>1.5707963267948966</v>
      </c>
      <c r="AJ403" s="98" t="str">
        <f t="shared" ref="AJ403:AJ466" si="251">IMSUM(COMPLEX(1,0),IMDIV(COMPLEX(0,2*PI()*O403),COMPLEX(wp1_ea,0)))</f>
        <v>1+104.53163194197i</v>
      </c>
      <c r="AK403" s="98">
        <f t="shared" si="231"/>
        <v>104.53641507365499</v>
      </c>
      <c r="AL403" s="98">
        <f t="shared" si="232"/>
        <v>1.561230136377346</v>
      </c>
      <c r="AM403" s="98" t="str">
        <f t="shared" ref="AM403:AM466" si="252">IMSUM(COMPLEX(1,0),IMDIV(COMPLEX(0,2*PI()*O403),COMPLEX(wz_ea,0)))</f>
        <v>1+209.063263883941i</v>
      </c>
      <c r="AN403" s="98">
        <f t="shared" si="233"/>
        <v>209.06565549082029</v>
      </c>
      <c r="AO403" s="98">
        <f t="shared" si="234"/>
        <v>1.5660131221559668</v>
      </c>
      <c r="AP403" s="168" t="str">
        <f t="shared" si="235"/>
        <v>-9.65347849637539E-07+0.00020182800721162i</v>
      </c>
      <c r="AQ403" s="98">
        <f t="shared" si="236"/>
        <v>-73.900272003553468</v>
      </c>
      <c r="AR403" s="169">
        <f t="shared" si="237"/>
        <v>90.274044898586055</v>
      </c>
      <c r="AS403" s="168" t="str">
        <f t="shared" si="238"/>
        <v>0.000113247878470637-0.00012937911108928i</v>
      </c>
      <c r="AT403" s="190">
        <f t="shared" si="239"/>
        <v>-75.29236272202327</v>
      </c>
      <c r="AU403" s="169">
        <f t="shared" si="240"/>
        <v>-48.80375369788927</v>
      </c>
      <c r="AV403" s="225"/>
      <c r="AX403">
        <f t="shared" si="241"/>
        <v>0</v>
      </c>
      <c r="AY403">
        <f t="shared" si="242"/>
        <v>0</v>
      </c>
    </row>
    <row r="404" spans="14:51" x14ac:dyDescent="0.3">
      <c r="N404" s="170">
        <v>86</v>
      </c>
      <c r="O404" s="199">
        <f t="shared" si="243"/>
        <v>72443.596007499116</v>
      </c>
      <c r="P404" s="189" t="str">
        <f t="shared" si="244"/>
        <v>20.7142857142857</v>
      </c>
      <c r="Q404" s="160" t="str">
        <f t="shared" si="245"/>
        <v>1+104.040351550531i</v>
      </c>
      <c r="R404" s="160">
        <f t="shared" ref="R404:R467" si="253">IMABS(Q404)</f>
        <v>104.04515726720815</v>
      </c>
      <c r="S404" s="160">
        <f t="shared" ref="S404:S467" si="254">IMARGUMENT(Q404)</f>
        <v>1.5611849674312968</v>
      </c>
      <c r="T404" s="160" t="str">
        <f t="shared" si="246"/>
        <v>1+0.00910353076067144i</v>
      </c>
      <c r="U404" s="160">
        <f t="shared" ref="U404:U467" si="255">IMABS(T404)</f>
        <v>1.0000414362776726</v>
      </c>
      <c r="V404" s="160">
        <f t="shared" ref="V404:V467" si="256">IMARGUMENT(T404)</f>
        <v>9.1032792903464905E-3</v>
      </c>
      <c r="W404" s="98" t="str">
        <f t="shared" si="247"/>
        <v>1-2.38967682467625i</v>
      </c>
      <c r="X404" s="160">
        <f t="shared" ref="X404:X467" si="257">IMABS(W404)</f>
        <v>2.5904739578684755</v>
      </c>
      <c r="Y404" s="160">
        <f t="shared" ref="Y404:Y467" si="258">IMARGUMENT(W404)</f>
        <v>-1.1744724939056792</v>
      </c>
      <c r="Z404" s="98" t="str">
        <f t="shared" si="248"/>
        <v>0.562304822460104-0.17831086220535i</v>
      </c>
      <c r="AA404" s="160">
        <f t="shared" ref="AA404:AA467" si="259">IMABS(Z404)</f>
        <v>0.58989954817943735</v>
      </c>
      <c r="AB404" s="160">
        <f t="shared" ref="AB404:AB467" si="260">IMARGUMENT(Z404)</f>
        <v>-0.30707657869282373</v>
      </c>
      <c r="AC404" s="171" t="str">
        <f t="shared" ref="AC404:AC467" si="261">(IMDIV(IMPRODUCT(P404,T404,W404),IMPRODUCT(Q404,Z404)))</f>
        <v>-0.656093188411363-0.577897974002765i</v>
      </c>
      <c r="AD404" s="190">
        <f t="shared" ref="AD404:AD467" si="262">20*LOG(IMABS(AC404))</f>
        <v>-1.1666549291214203</v>
      </c>
      <c r="AE404" s="169">
        <f t="shared" ref="AE404:AE467" si="263">(180/PI())*IMARGUMENT(AC404)</f>
        <v>-138.6258552986005</v>
      </c>
      <c r="AF404" s="98" t="str">
        <f t="shared" si="249"/>
        <v>-0.0000897803247373448</v>
      </c>
      <c r="AG404" s="98" t="str">
        <f t="shared" si="250"/>
        <v>0.910353076067145i</v>
      </c>
      <c r="AH404" s="98">
        <f t="shared" ref="AH404:AH467" si="264">IMABS(AG404)</f>
        <v>0.910353076067145</v>
      </c>
      <c r="AI404" s="98">
        <f t="shared" ref="AI404:AI467" si="265">IMARGUMENT(AG404)</f>
        <v>1.5707963267948966</v>
      </c>
      <c r="AJ404" s="98" t="str">
        <f t="shared" si="251"/>
        <v>1+106.966486437889i</v>
      </c>
      <c r="AK404" s="98">
        <f t="shared" ref="AK404:AK467" si="266">IMABS(AJ404)</f>
        <v>106.97116069701727</v>
      </c>
      <c r="AL404" s="98">
        <f t="shared" ref="AL404:AL467" si="267">IMARGUMENT(AJ404)</f>
        <v>1.5614478766217916</v>
      </c>
      <c r="AM404" s="98" t="str">
        <f t="shared" si="252"/>
        <v>1+213.932972875779i</v>
      </c>
      <c r="AN404" s="98">
        <f t="shared" ref="AN404:AN467" si="268">IMABS(AM404)</f>
        <v>213.93531004364098</v>
      </c>
      <c r="AO404" s="98">
        <f t="shared" ref="AO404:AO467" si="269">IMARGUMENT(AM404)</f>
        <v>1.5661219995818663</v>
      </c>
      <c r="AP404" s="168" t="str">
        <f t="shared" ref="AP404:AP467" si="270">IMPRODUCT(AF404,IMDIV(AM404,IMPRODUCT(AG404,AJ404)))</f>
        <v>-9.21903836282083E-07+0.000197234247024559i</v>
      </c>
      <c r="AQ404" s="98">
        <f t="shared" ref="AQ404:AQ467" si="271">20*LOG(IMABS(AP404))</f>
        <v>-74.100258588709934</v>
      </c>
      <c r="AR404" s="169">
        <f t="shared" ref="AR404:AR467" si="272">(180/PI())*IMARGUMENT(AP404)</f>
        <v>90.267807518537467</v>
      </c>
      <c r="AS404" s="168" t="str">
        <f t="shared" ref="AS404:AS467" si="273">IMPRODUCT(AC404,AP404)</f>
        <v>0.000114586126586809-0.000128871279635044i</v>
      </c>
      <c r="AT404" s="190">
        <f t="shared" ref="AT404:AT467" si="274">20*LOG(IMABS(AS404))</f>
        <v>-75.266913517831341</v>
      </c>
      <c r="AU404" s="169">
        <f t="shared" ref="AU404:AU467" si="275">(180/PI())*IMARGUMENT(AS404)</f>
        <v>-48.358047780062812</v>
      </c>
      <c r="AV404" s="225"/>
      <c r="AX404">
        <f t="shared" ref="AX404:AX467" si="276">SUM((AT405&lt;0)*(AT404&gt;0))*O404</f>
        <v>0</v>
      </c>
      <c r="AY404">
        <f t="shared" ref="AY404:AY467" si="277">IF(AX404&gt;0,AU404,0)</f>
        <v>0</v>
      </c>
    </row>
    <row r="405" spans="14:51" x14ac:dyDescent="0.3">
      <c r="N405" s="170">
        <v>87</v>
      </c>
      <c r="O405" s="199">
        <f t="shared" si="243"/>
        <v>74131.024130091857</v>
      </c>
      <c r="P405" s="189" t="str">
        <f t="shared" si="244"/>
        <v>20.7142857142857</v>
      </c>
      <c r="Q405" s="160" t="str">
        <f t="shared" si="245"/>
        <v>1+106.463762656084i</v>
      </c>
      <c r="R405" s="160">
        <f t="shared" si="253"/>
        <v>106.46845898617575</v>
      </c>
      <c r="S405" s="160">
        <f t="shared" si="254"/>
        <v>1.5614037356638224</v>
      </c>
      <c r="T405" s="160" t="str">
        <f t="shared" si="246"/>
        <v>1+0.00931557923240738i</v>
      </c>
      <c r="U405" s="160">
        <f t="shared" si="255"/>
        <v>1.000043389066912</v>
      </c>
      <c r="V405" s="160">
        <f t="shared" si="256"/>
        <v>9.3153097777309134E-3</v>
      </c>
      <c r="W405" s="98" t="str">
        <f t="shared" si="247"/>
        <v>1-2.44533954850693i</v>
      </c>
      <c r="X405" s="160">
        <f t="shared" si="257"/>
        <v>2.641909443469264</v>
      </c>
      <c r="Y405" s="160">
        <f t="shared" si="258"/>
        <v>-1.1826058930343593</v>
      </c>
      <c r="Z405" s="98" t="str">
        <f t="shared" si="248"/>
        <v>0.541676884253767-0.182464255742275i</v>
      </c>
      <c r="AA405" s="160">
        <f t="shared" si="259"/>
        <v>0.57158293497833823</v>
      </c>
      <c r="AB405" s="160">
        <f t="shared" si="260"/>
        <v>-0.32491286699447586</v>
      </c>
      <c r="AC405" s="171" t="str">
        <f t="shared" si="261"/>
        <v>-0.669050988257626-0.60093128116643i</v>
      </c>
      <c r="AD405" s="190">
        <f t="shared" si="262"/>
        <v>-0.92186979231987654</v>
      </c>
      <c r="AE405" s="169">
        <f t="shared" si="263"/>
        <v>-138.07030674426613</v>
      </c>
      <c r="AF405" s="98" t="str">
        <f t="shared" si="249"/>
        <v>-0.0000897803247373448</v>
      </c>
      <c r="AG405" s="98" t="str">
        <f t="shared" si="250"/>
        <v>0.931557923240737i</v>
      </c>
      <c r="AH405" s="98">
        <f t="shared" si="264"/>
        <v>0.93155792324073705</v>
      </c>
      <c r="AI405" s="98">
        <f t="shared" si="265"/>
        <v>1.5707963267948966</v>
      </c>
      <c r="AJ405" s="98" t="str">
        <f t="shared" si="251"/>
        <v>1+109.458055980787i</v>
      </c>
      <c r="AK405" s="98">
        <f t="shared" si="266"/>
        <v>109.46262384527927</v>
      </c>
      <c r="AL405" s="98">
        <f t="shared" si="267"/>
        <v>1.5616606613497417</v>
      </c>
      <c r="AM405" s="98" t="str">
        <f t="shared" si="252"/>
        <v>1+218.916111961574i</v>
      </c>
      <c r="AN405" s="98">
        <f t="shared" si="268"/>
        <v>218.91839592956183</v>
      </c>
      <c r="AO405" s="98">
        <f t="shared" si="269"/>
        <v>1.5662283987620633</v>
      </c>
      <c r="AP405" s="168" t="str">
        <f t="shared" si="270"/>
        <v>-8.80414791558341E-07+0.000192745026480169i</v>
      </c>
      <c r="AQ405" s="98">
        <f t="shared" si="271"/>
        <v>-74.300245777569359</v>
      </c>
      <c r="AR405" s="169">
        <f t="shared" si="272"/>
        <v>90.261712075650024</v>
      </c>
      <c r="AS405" s="168" t="str">
        <f t="shared" si="273"/>
        <v>0.000116415558087554-0.00012842718165965i</v>
      </c>
      <c r="AT405" s="190">
        <f t="shared" si="274"/>
        <v>-75.22211556988924</v>
      </c>
      <c r="AU405" s="169">
        <f t="shared" si="275"/>
        <v>-47.808594668616081</v>
      </c>
      <c r="AV405" s="225"/>
      <c r="AX405">
        <f t="shared" si="276"/>
        <v>0</v>
      </c>
      <c r="AY405">
        <f t="shared" si="277"/>
        <v>0</v>
      </c>
    </row>
    <row r="406" spans="14:51" x14ac:dyDescent="0.3">
      <c r="N406" s="170">
        <v>88</v>
      </c>
      <c r="O406" s="199">
        <f t="shared" si="243"/>
        <v>75857.757502918481</v>
      </c>
      <c r="P406" s="189" t="str">
        <f t="shared" si="244"/>
        <v>20.7142857142857</v>
      </c>
      <c r="Q406" s="160" t="str">
        <f t="shared" si="245"/>
        <v>1+108.943622257812i</v>
      </c>
      <c r="R406" s="160">
        <f t="shared" si="253"/>
        <v>108.94821169093518</v>
      </c>
      <c r="S406" s="160">
        <f t="shared" si="254"/>
        <v>1.5616175249921775</v>
      </c>
      <c r="T406" s="160" t="str">
        <f t="shared" si="246"/>
        <v>1+0.00953256694755858i</v>
      </c>
      <c r="U406" s="160">
        <f t="shared" si="255"/>
        <v>1.000045433884186</v>
      </c>
      <c r="V406" s="160">
        <f t="shared" si="256"/>
        <v>9.5322782223793059E-3</v>
      </c>
      <c r="W406" s="98" t="str">
        <f t="shared" si="247"/>
        <v>1-2.50229882373412i</v>
      </c>
      <c r="X406" s="160">
        <f t="shared" si="257"/>
        <v>2.6947169430686335</v>
      </c>
      <c r="Y406" s="160">
        <f t="shared" si="258"/>
        <v>-1.1906067776588107</v>
      </c>
      <c r="Z406" s="98" t="str">
        <f t="shared" si="248"/>
        <v>0.520076781270484-0.186714394242792i</v>
      </c>
      <c r="AA406" s="160">
        <f t="shared" si="259"/>
        <v>0.55257770805029738</v>
      </c>
      <c r="AB406" s="160">
        <f t="shared" si="260"/>
        <v>-0.34468166238046533</v>
      </c>
      <c r="AC406" s="171" t="str">
        <f t="shared" si="261"/>
        <v>-0.682489086733278-0.627671620106808i</v>
      </c>
      <c r="AD406" s="190">
        <f t="shared" si="262"/>
        <v>-0.65621240548145099</v>
      </c>
      <c r="AE406" s="169">
        <f t="shared" si="263"/>
        <v>-137.39587297399711</v>
      </c>
      <c r="AF406" s="98" t="str">
        <f t="shared" si="249"/>
        <v>-0.0000897803247373448</v>
      </c>
      <c r="AG406" s="98" t="str">
        <f t="shared" si="250"/>
        <v>0.953256694755859i</v>
      </c>
      <c r="AH406" s="98">
        <f t="shared" si="264"/>
        <v>0.95325669475585895</v>
      </c>
      <c r="AI406" s="98">
        <f t="shared" si="265"/>
        <v>1.5707963267948966</v>
      </c>
      <c r="AJ406" s="98" t="str">
        <f t="shared" si="251"/>
        <v>1+112.007661633813i</v>
      </c>
      <c r="AK406" s="98">
        <f t="shared" si="266"/>
        <v>112.01212552520707</v>
      </c>
      <c r="AL406" s="98">
        <f t="shared" si="267"/>
        <v>1.561868603305357</v>
      </c>
      <c r="AM406" s="98" t="str">
        <f t="shared" si="252"/>
        <v>1+224.015323267627i</v>
      </c>
      <c r="AN406" s="98">
        <f t="shared" si="268"/>
        <v>224.01755524668025</v>
      </c>
      <c r="AO406" s="98">
        <f t="shared" si="269"/>
        <v>1.56633237610117</v>
      </c>
      <c r="AP406" s="168" t="str">
        <f t="shared" si="270"/>
        <v>-8.40792756774085E-07+0.000188357967774505i</v>
      </c>
      <c r="AQ406" s="98">
        <f t="shared" si="271"/>
        <v>-74.5002335429662</v>
      </c>
      <c r="AR406" s="169">
        <f t="shared" si="272"/>
        <v>90.255755341905399</v>
      </c>
      <c r="AS406" s="168" t="str">
        <f t="shared" si="273"/>
        <v>0.000118800782673752-0.00012802451565354i</v>
      </c>
      <c r="AT406" s="190">
        <f t="shared" si="274"/>
        <v>-75.15644594844764</v>
      </c>
      <c r="AU406" s="169">
        <f t="shared" si="275"/>
        <v>-47.14011763209183</v>
      </c>
      <c r="AV406" s="225"/>
      <c r="AX406">
        <f t="shared" si="276"/>
        <v>0</v>
      </c>
      <c r="AY406">
        <f t="shared" si="277"/>
        <v>0</v>
      </c>
    </row>
    <row r="407" spans="14:51" x14ac:dyDescent="0.3">
      <c r="N407" s="170">
        <v>89</v>
      </c>
      <c r="O407" s="199">
        <f t="shared" si="243"/>
        <v>77624.711662869129</v>
      </c>
      <c r="P407" s="189" t="str">
        <f t="shared" si="244"/>
        <v>20.7142857142857</v>
      </c>
      <c r="Q407" s="160" t="str">
        <f t="shared" si="245"/>
        <v>1+111.481245210101i</v>
      </c>
      <c r="R407" s="160">
        <f t="shared" si="253"/>
        <v>111.48573017922367</v>
      </c>
      <c r="S407" s="160">
        <f t="shared" si="254"/>
        <v>1.5618264486920777</v>
      </c>
      <c r="T407" s="160" t="str">
        <f t="shared" si="246"/>
        <v>1+0.00975460895588382i</v>
      </c>
      <c r="U407" s="160">
        <f t="shared" si="255"/>
        <v>1.0000475750662476</v>
      </c>
      <c r="V407" s="160">
        <f t="shared" si="256"/>
        <v>9.7542995820752085E-3</v>
      </c>
      <c r="W407" s="98" t="str">
        <f t="shared" si="247"/>
        <v>1-2.5605848509195i</v>
      </c>
      <c r="X407" s="160">
        <f t="shared" si="257"/>
        <v>2.7489261137321317</v>
      </c>
      <c r="Y407" s="160">
        <f t="shared" si="258"/>
        <v>-1.1984752915532872</v>
      </c>
      <c r="Z407" s="98" t="str">
        <f t="shared" si="248"/>
        <v>0.49745869679585-0.191063531186595i</v>
      </c>
      <c r="AA407" s="160">
        <f t="shared" si="259"/>
        <v>0.53288875759140986</v>
      </c>
      <c r="AB407" s="160">
        <f t="shared" si="260"/>
        <v>-0.36670664880666826</v>
      </c>
      <c r="AC407" s="171" t="str">
        <f t="shared" si="261"/>
        <v>-0.696247265202262-0.658776327148682i</v>
      </c>
      <c r="AD407" s="190">
        <f t="shared" si="262"/>
        <v>-0.36804300705398224</v>
      </c>
      <c r="AE407" s="169">
        <f t="shared" si="263"/>
        <v>-136.58401640450859</v>
      </c>
      <c r="AF407" s="98" t="str">
        <f t="shared" si="249"/>
        <v>-0.0000897803247373448</v>
      </c>
      <c r="AG407" s="98" t="str">
        <f t="shared" si="250"/>
        <v>0.975460895588383i</v>
      </c>
      <c r="AH407" s="98">
        <f t="shared" si="264"/>
        <v>0.975460895588383</v>
      </c>
      <c r="AI407" s="98">
        <f t="shared" si="265"/>
        <v>1.5707963267948966</v>
      </c>
      <c r="AJ407" s="98" t="str">
        <f t="shared" si="251"/>
        <v>1+114.616655231635i</v>
      </c>
      <c r="AK407" s="98">
        <f t="shared" si="266"/>
        <v>114.62101751636774</v>
      </c>
      <c r="AL407" s="98">
        <f t="shared" si="267"/>
        <v>1.5620718126702424</v>
      </c>
      <c r="AM407" s="98" t="str">
        <f t="shared" si="252"/>
        <v>1+229.23331046327i</v>
      </c>
      <c r="AN407" s="98">
        <f t="shared" si="268"/>
        <v>229.23549163676623</v>
      </c>
      <c r="AO407" s="98">
        <f t="shared" si="269"/>
        <v>1.5664339867203496</v>
      </c>
      <c r="AP407" s="168" t="str">
        <f t="shared" si="270"/>
        <v>-8.0295372944471E-07+0.000184070747108344i</v>
      </c>
      <c r="AQ407" s="98">
        <f t="shared" si="271"/>
        <v>-74.700221858957448</v>
      </c>
      <c r="AR407" s="169">
        <f t="shared" si="272"/>
        <v>90.249934162572629</v>
      </c>
      <c r="AS407" s="168" t="str">
        <f t="shared" si="273"/>
        <v>0.000121820505053759-0.000127629787369168i</v>
      </c>
      <c r="AT407" s="190">
        <f t="shared" si="274"/>
        <v>-75.068264866011404</v>
      </c>
      <c r="AU407" s="169">
        <f t="shared" si="275"/>
        <v>-46.33408224193591</v>
      </c>
      <c r="AV407" s="225"/>
      <c r="AX407">
        <f t="shared" si="276"/>
        <v>0</v>
      </c>
      <c r="AY407">
        <f t="shared" si="277"/>
        <v>0</v>
      </c>
    </row>
    <row r="408" spans="14:51" x14ac:dyDescent="0.3">
      <c r="N408" s="170">
        <v>90</v>
      </c>
      <c r="O408" s="199">
        <f t="shared" si="243"/>
        <v>79432.823472428237</v>
      </c>
      <c r="P408" s="189" t="str">
        <f t="shared" si="244"/>
        <v>20.7142857142857</v>
      </c>
      <c r="Q408" s="160" t="str">
        <f t="shared" si="245"/>
        <v>1+114.077976994229i</v>
      </c>
      <c r="R408" s="160">
        <f t="shared" si="253"/>
        <v>114.08235987695838</v>
      </c>
      <c r="S408" s="160">
        <f t="shared" si="254"/>
        <v>1.562030617464637</v>
      </c>
      <c r="T408" s="160" t="str">
        <f t="shared" si="246"/>
        <v>1+0.00998182298699502i</v>
      </c>
      <c r="U408" s="160">
        <f t="shared" si="255"/>
        <v>1.0000498171541974</v>
      </c>
      <c r="V408" s="160">
        <f t="shared" si="256"/>
        <v>9.9814914878784307E-3</v>
      </c>
      <c r="W408" s="98" t="str">
        <f t="shared" si="247"/>
        <v>1-2.62022853408619i</v>
      </c>
      <c r="X408" s="160">
        <f t="shared" si="257"/>
        <v>2.8045672698010766</v>
      </c>
      <c r="Y408" s="160">
        <f t="shared" si="258"/>
        <v>-1.2062117083376069</v>
      </c>
      <c r="Z408" s="98" t="str">
        <f t="shared" si="248"/>
        <v>0.47377465484023-0.195513972543659i</v>
      </c>
      <c r="AA408" s="160">
        <f t="shared" si="259"/>
        <v>0.51253110835224602</v>
      </c>
      <c r="AB408" s="160">
        <f t="shared" si="260"/>
        <v>-0.39138334941952502</v>
      </c>
      <c r="AC408" s="171" t="str">
        <f t="shared" si="261"/>
        <v>-0.710058424415406-0.695047118280011i</v>
      </c>
      <c r="AD408" s="190">
        <f t="shared" si="262"/>
        <v>-5.5625363905599301E-2</v>
      </c>
      <c r="AE408" s="169">
        <f t="shared" si="263"/>
        <v>-135.6120905090136</v>
      </c>
      <c r="AF408" s="98" t="str">
        <f t="shared" si="249"/>
        <v>-0.0000897803247373448</v>
      </c>
      <c r="AG408" s="98" t="str">
        <f t="shared" si="250"/>
        <v>0.998182298699502i</v>
      </c>
      <c r="AH408" s="98">
        <f t="shared" si="264"/>
        <v>0.99818229869950204</v>
      </c>
      <c r="AI408" s="98">
        <f t="shared" si="265"/>
        <v>1.5707963267948966</v>
      </c>
      <c r="AJ408" s="98" t="str">
        <f t="shared" si="251"/>
        <v>1+117.286420097191i</v>
      </c>
      <c r="AK408" s="98">
        <f t="shared" si="266"/>
        <v>117.29068308785131</v>
      </c>
      <c r="AL408" s="98">
        <f t="shared" si="267"/>
        <v>1.5622703971215237</v>
      </c>
      <c r="AM408" s="98" t="str">
        <f t="shared" si="252"/>
        <v>1+234.572840194384i</v>
      </c>
      <c r="AN408" s="98">
        <f t="shared" si="268"/>
        <v>234.57497171876636</v>
      </c>
      <c r="AO408" s="98">
        <f t="shared" si="269"/>
        <v>1.5665332844865001</v>
      </c>
      <c r="AP408" s="168" t="str">
        <f t="shared" si="270"/>
        <v>-7.66817485462218E-07+0.000179881093465959i</v>
      </c>
      <c r="AQ408" s="98">
        <f t="shared" si="271"/>
        <v>-74.900210700766678</v>
      </c>
      <c r="AR408" s="169">
        <f t="shared" si="272"/>
        <v>90.244245454552782</v>
      </c>
      <c r="AS408" s="168" t="str">
        <f t="shared" si="273"/>
        <v>0.000125570320862114-0.000127193111525042i</v>
      </c>
      <c r="AT408" s="190">
        <f t="shared" si="274"/>
        <v>-74.955836064672255</v>
      </c>
      <c r="AU408" s="169">
        <f t="shared" si="275"/>
        <v>-45.367845054460716</v>
      </c>
      <c r="AV408" s="225"/>
      <c r="AX408">
        <f t="shared" si="276"/>
        <v>0</v>
      </c>
      <c r="AY408">
        <f t="shared" si="277"/>
        <v>0</v>
      </c>
    </row>
    <row r="409" spans="14:51" x14ac:dyDescent="0.3">
      <c r="N409" s="170">
        <v>91</v>
      </c>
      <c r="O409" s="199">
        <f t="shared" si="243"/>
        <v>81283.051616410012</v>
      </c>
      <c r="P409" s="189" t="str">
        <f t="shared" si="244"/>
        <v>20.7142857142857</v>
      </c>
      <c r="Q409" s="160" t="str">
        <f t="shared" si="245"/>
        <v>1+116.735194431759i</v>
      </c>
      <c r="R409" s="160">
        <f t="shared" si="253"/>
        <v>116.73947755160026</v>
      </c>
      <c r="S409" s="160">
        <f t="shared" si="254"/>
        <v>1.5622301394947165</v>
      </c>
      <c r="T409" s="160" t="str">
        <f t="shared" si="246"/>
        <v>1+0.0102143295127789i</v>
      </c>
      <c r="U409" s="160">
        <f t="shared" si="255"/>
        <v>1.0000521649031093</v>
      </c>
      <c r="V409" s="160">
        <f t="shared" si="256"/>
        <v>1.0213974306076496E-2</v>
      </c>
      <c r="W409" s="98" t="str">
        <f t="shared" si="247"/>
        <v>1-2.68126149710446i</v>
      </c>
      <c r="X409" s="160">
        <f t="shared" si="257"/>
        <v>2.861671402494502</v>
      </c>
      <c r="Y409" s="160">
        <f t="shared" si="258"/>
        <v>-1.2138164246143346</v>
      </c>
      <c r="Z409" s="98" t="str">
        <f t="shared" si="248"/>
        <v>0.448974418375267-0.200068077996898i</v>
      </c>
      <c r="AA409" s="160">
        <f t="shared" si="259"/>
        <v>0.49153358398870584</v>
      </c>
      <c r="AB409" s="160">
        <f t="shared" si="260"/>
        <v>-0.41919829900662609</v>
      </c>
      <c r="AC409" s="171" t="str">
        <f t="shared" si="261"/>
        <v>-0.723493360389736-0.737460798993694i</v>
      </c>
      <c r="AD409" s="190">
        <f t="shared" si="262"/>
        <v>0.28282876759489078</v>
      </c>
      <c r="AE409" s="169">
        <f t="shared" si="263"/>
        <v>-134.45224092330588</v>
      </c>
      <c r="AF409" s="98" t="str">
        <f t="shared" si="249"/>
        <v>-0.0000897803247373448</v>
      </c>
      <c r="AG409" s="98" t="str">
        <f t="shared" si="250"/>
        <v>1.02143295127789i</v>
      </c>
      <c r="AH409" s="98">
        <f t="shared" si="264"/>
        <v>1.0214329512778899</v>
      </c>
      <c r="AI409" s="98">
        <f t="shared" si="265"/>
        <v>1.5707963267948966</v>
      </c>
      <c r="AJ409" s="98" t="str">
        <f t="shared" si="251"/>
        <v>1+120.018371775153i</v>
      </c>
      <c r="AK409" s="98">
        <f t="shared" si="266"/>
        <v>120.02253773170622</v>
      </c>
      <c r="AL409" s="98">
        <f t="shared" si="267"/>
        <v>1.562464461888619</v>
      </c>
      <c r="AM409" s="98" t="str">
        <f t="shared" si="252"/>
        <v>1+240.036743550306i</v>
      </c>
      <c r="AN409" s="98">
        <f t="shared" si="268"/>
        <v>240.03882655569572</v>
      </c>
      <c r="AO409" s="98">
        <f t="shared" si="269"/>
        <v>1.5666303220407736</v>
      </c>
      <c r="AP409" s="168" t="str">
        <f t="shared" si="270"/>
        <v>-7.32307409247434E-07+0.000175786787421113i</v>
      </c>
      <c r="AQ409" s="98">
        <f t="shared" si="271"/>
        <v>-75.100200044732631</v>
      </c>
      <c r="AR409" s="169">
        <f t="shared" si="272"/>
        <v>90.238686204760185</v>
      </c>
      <c r="AS409" s="168" t="str">
        <f t="shared" si="273"/>
        <v>0.000130165684252463-0.000126640525536285i</v>
      </c>
      <c r="AT409" s="190">
        <f t="shared" si="274"/>
        <v>-74.817371277137738</v>
      </c>
      <c r="AU409" s="169">
        <f t="shared" si="275"/>
        <v>-44.213554718545872</v>
      </c>
      <c r="AV409" s="225"/>
      <c r="AX409">
        <f t="shared" si="276"/>
        <v>0</v>
      </c>
      <c r="AY409">
        <f t="shared" si="277"/>
        <v>0</v>
      </c>
    </row>
    <row r="410" spans="14:51" x14ac:dyDescent="0.3">
      <c r="N410" s="170">
        <v>92</v>
      </c>
      <c r="O410" s="199">
        <f t="shared" si="243"/>
        <v>83176.377110267174</v>
      </c>
      <c r="P410" s="189" t="str">
        <f t="shared" si="244"/>
        <v>20.7142857142857</v>
      </c>
      <c r="Q410" s="160" t="str">
        <f t="shared" si="245"/>
        <v>1+119.454306414551i</v>
      </c>
      <c r="R410" s="160">
        <f t="shared" si="253"/>
        <v>119.45849204213755</v>
      </c>
      <c r="S410" s="160">
        <f t="shared" si="254"/>
        <v>1.5624251205079587</v>
      </c>
      <c r="T410" s="160" t="str">
        <f t="shared" si="246"/>
        <v>1+0.0104522518112732i</v>
      </c>
      <c r="U410" s="160">
        <f t="shared" si="255"/>
        <v>1.000054623292111</v>
      </c>
      <c r="V410" s="160">
        <f t="shared" si="256"/>
        <v>1.0451871201557012E-2</v>
      </c>
      <c r="W410" s="98" t="str">
        <f t="shared" si="247"/>
        <v>1-2.7437161004592i</v>
      </c>
      <c r="X410" s="160">
        <f t="shared" si="257"/>
        <v>2.9202701998135443</v>
      </c>
      <c r="Y410" s="160">
        <f t="shared" si="258"/>
        <v>-1.2212899531514356</v>
      </c>
      <c r="Z410" s="98" t="str">
        <f t="shared" si="248"/>
        <v>0.423005382774389-0.204728262193305i</v>
      </c>
      <c r="AA410" s="160">
        <f t="shared" si="259"/>
        <v>0.46994384259908972</v>
      </c>
      <c r="AB410" s="160">
        <f t="shared" si="260"/>
        <v>-0.45075372462133301</v>
      </c>
      <c r="AC410" s="171" t="str">
        <f t="shared" si="261"/>
        <v>-0.735877083976225-0.787201415759246i</v>
      </c>
      <c r="AD410" s="190">
        <f t="shared" si="262"/>
        <v>0.64907457898880794</v>
      </c>
      <c r="AE410" s="169">
        <f t="shared" si="263"/>
        <v>-133.06999095916424</v>
      </c>
      <c r="AF410" s="98" t="str">
        <f t="shared" si="249"/>
        <v>-0.0000897803247373448</v>
      </c>
      <c r="AG410" s="98" t="str">
        <f t="shared" si="250"/>
        <v>1.04522518112732i</v>
      </c>
      <c r="AH410" s="98">
        <f t="shared" si="264"/>
        <v>1.0452251811273201</v>
      </c>
      <c r="AI410" s="98">
        <f t="shared" si="265"/>
        <v>1.5707963267948966</v>
      </c>
      <c r="AJ410" s="98" t="str">
        <f t="shared" si="251"/>
        <v>1+122.81395878246i</v>
      </c>
      <c r="AK410" s="98">
        <f t="shared" si="266"/>
        <v>122.81802991344465</v>
      </c>
      <c r="AL410" s="98">
        <f t="shared" si="267"/>
        <v>1.5626541098087332</v>
      </c>
      <c r="AM410" s="98" t="str">
        <f t="shared" si="252"/>
        <v>1+245.62791756492i</v>
      </c>
      <c r="AN410" s="98">
        <f t="shared" si="268"/>
        <v>245.62995315571581</v>
      </c>
      <c r="AO410" s="98">
        <f t="shared" si="269"/>
        <v>1.5667251508264524</v>
      </c>
      <c r="AP410" s="168" t="str">
        <f t="shared" si="270"/>
        <v>-6.99350331528893E-07+0.000171785659969766i</v>
      </c>
      <c r="AQ410" s="98">
        <f t="shared" si="271"/>
        <v>-75.300189868258485</v>
      </c>
      <c r="AR410" s="169">
        <f t="shared" si="272"/>
        <v>90.233253468539957</v>
      </c>
      <c r="AS410" s="168" t="str">
        <f t="shared" si="273"/>
        <v>0.00013574455061798-0.000125862600956391i</v>
      </c>
      <c r="AT410" s="190">
        <f t="shared" si="274"/>
        <v>-74.651115289269669</v>
      </c>
      <c r="AU410" s="169">
        <f t="shared" si="275"/>
        <v>-42.836737490624088</v>
      </c>
      <c r="AV410" s="225"/>
      <c r="AX410">
        <f t="shared" si="276"/>
        <v>0</v>
      </c>
      <c r="AY410">
        <f t="shared" si="277"/>
        <v>0</v>
      </c>
    </row>
    <row r="411" spans="14:51" x14ac:dyDescent="0.3">
      <c r="N411" s="170">
        <v>93</v>
      </c>
      <c r="O411" s="199">
        <f t="shared" si="243"/>
        <v>85113.803820237721</v>
      </c>
      <c r="P411" s="189" t="str">
        <f t="shared" si="244"/>
        <v>20.7142857142857</v>
      </c>
      <c r="Q411" s="160" t="str">
        <f t="shared" si="245"/>
        <v>1+122.236754651768i</v>
      </c>
      <c r="R411" s="160">
        <f t="shared" si="253"/>
        <v>122.24084500606385</v>
      </c>
      <c r="S411" s="160">
        <f t="shared" si="254"/>
        <v>1.5626156638265416</v>
      </c>
      <c r="T411" s="160" t="str">
        <f t="shared" si="246"/>
        <v>1+0.0106957160320297i</v>
      </c>
      <c r="U411" s="160">
        <f t="shared" si="255"/>
        <v>1.0000571975349399</v>
      </c>
      <c r="V411" s="160">
        <f t="shared" si="256"/>
        <v>1.0695308202630819E-2</v>
      </c>
      <c r="W411" s="98" t="str">
        <f t="shared" si="247"/>
        <v>1-2.80762545840778i</v>
      </c>
      <c r="X411" s="160">
        <f t="shared" si="257"/>
        <v>2.9803960667501053</v>
      </c>
      <c r="Y411" s="160">
        <f t="shared" si="258"/>
        <v>-1.2286329161378304</v>
      </c>
      <c r="Z411" s="98" t="str">
        <f t="shared" si="248"/>
        <v>0.395812464231363-0.209496996024225i</v>
      </c>
      <c r="AA411" s="160">
        <f t="shared" si="259"/>
        <v>0.44783534718027579</v>
      </c>
      <c r="AB411" s="160">
        <f t="shared" si="260"/>
        <v>-0.48679902086143767</v>
      </c>
      <c r="AC411" s="171" t="str">
        <f t="shared" si="261"/>
        <v>-0.746162163715461-0.845686980747726i</v>
      </c>
      <c r="AD411" s="190">
        <f t="shared" si="262"/>
        <v>1.0446814259730302</v>
      </c>
      <c r="AE411" s="169">
        <f t="shared" si="263"/>
        <v>-131.42243781677914</v>
      </c>
      <c r="AF411" s="98" t="str">
        <f t="shared" si="249"/>
        <v>-0.0000897803247373448</v>
      </c>
      <c r="AG411" s="98" t="str">
        <f t="shared" si="250"/>
        <v>1.06957160320297i</v>
      </c>
      <c r="AH411" s="98">
        <f t="shared" si="264"/>
        <v>1.0695716032029701</v>
      </c>
      <c r="AI411" s="98">
        <f t="shared" si="265"/>
        <v>1.5707963267948966</v>
      </c>
      <c r="AJ411" s="98" t="str">
        <f t="shared" si="251"/>
        <v>1+125.674663376349i</v>
      </c>
      <c r="AK411" s="98">
        <f t="shared" si="266"/>
        <v>125.6786418400463</v>
      </c>
      <c r="AL411" s="98">
        <f t="shared" si="267"/>
        <v>1.5628394413811051</v>
      </c>
      <c r="AM411" s="98" t="str">
        <f t="shared" si="252"/>
        <v>1+251.349326752698i</v>
      </c>
      <c r="AN411" s="98">
        <f t="shared" si="268"/>
        <v>251.35131600816126</v>
      </c>
      <c r="AO411" s="98">
        <f t="shared" si="269"/>
        <v>1.5668178211161876</v>
      </c>
      <c r="AP411" s="168" t="str">
        <f t="shared" si="270"/>
        <v>-6.67876374405813E-07+0.000167875591388869i</v>
      </c>
      <c r="AQ411" s="98">
        <f t="shared" si="271"/>
        <v>-75.500180149764006</v>
      </c>
      <c r="AR411" s="169">
        <f t="shared" si="272"/>
        <v>90.227944368120603</v>
      </c>
      <c r="AS411" s="168" t="str">
        <f t="shared" si="273"/>
        <v>0.000142468546103513-0.000124697600151147i</v>
      </c>
      <c r="AT411" s="190">
        <f t="shared" si="274"/>
        <v>-74.455498723790981</v>
      </c>
      <c r="AU411" s="169">
        <f t="shared" si="275"/>
        <v>-41.194493448658413</v>
      </c>
      <c r="AV411" s="225"/>
      <c r="AX411">
        <f t="shared" si="276"/>
        <v>0</v>
      </c>
      <c r="AY411">
        <f t="shared" si="277"/>
        <v>0</v>
      </c>
    </row>
    <row r="412" spans="14:51" x14ac:dyDescent="0.3">
      <c r="N412" s="170">
        <v>94</v>
      </c>
      <c r="O412" s="199">
        <f t="shared" si="243"/>
        <v>87096.358995608127</v>
      </c>
      <c r="P412" s="189" t="str">
        <f t="shared" si="244"/>
        <v>20.7142857142857</v>
      </c>
      <c r="Q412" s="160" t="str">
        <f t="shared" si="245"/>
        <v>1+125.084014434296i</v>
      </c>
      <c r="R412" s="160">
        <f t="shared" si="253"/>
        <v>125.08801168377076</v>
      </c>
      <c r="S412" s="160">
        <f t="shared" si="254"/>
        <v>1.5628018704236795</v>
      </c>
      <c r="T412" s="160" t="str">
        <f t="shared" si="246"/>
        <v>1+0.0109448512630009i</v>
      </c>
      <c r="U412" s="160">
        <f t="shared" si="255"/>
        <v>1.0000598930909934</v>
      </c>
      <c r="V412" s="160">
        <f t="shared" si="256"/>
        <v>1.0944414267340241E-2</v>
      </c>
      <c r="W412" s="98" t="str">
        <f t="shared" si="247"/>
        <v>1-2.87302345653772i</v>
      </c>
      <c r="X412" s="160">
        <f t="shared" si="257"/>
        <v>3.0420821458034211</v>
      </c>
      <c r="Y412" s="160">
        <f t="shared" si="258"/>
        <v>-1.2358460385365029</v>
      </c>
      <c r="Z412" s="98" t="str">
        <f t="shared" si="248"/>
        <v>0.367337982920134-0.214376807935459i</v>
      </c>
      <c r="AA412" s="160">
        <f t="shared" si="259"/>
        <v>0.4253170693452466</v>
      </c>
      <c r="AB412" s="160">
        <f t="shared" si="260"/>
        <v>-0.52827006100627993</v>
      </c>
      <c r="AC412" s="171" t="str">
        <f t="shared" si="261"/>
        <v>-0.752738327737746-0.914574687348217i</v>
      </c>
      <c r="AD412" s="190">
        <f t="shared" si="262"/>
        <v>1.4707681571357456</v>
      </c>
      <c r="AE412" s="169">
        <f t="shared" si="263"/>
        <v>-129.45599984099181</v>
      </c>
      <c r="AF412" s="98" t="str">
        <f t="shared" si="249"/>
        <v>-0.0000897803247373448</v>
      </c>
      <c r="AG412" s="98" t="str">
        <f t="shared" si="250"/>
        <v>1.09448512630009i</v>
      </c>
      <c r="AH412" s="98">
        <f t="shared" si="264"/>
        <v>1.0944851263000901</v>
      </c>
      <c r="AI412" s="98">
        <f t="shared" si="265"/>
        <v>1.5707963267948966</v>
      </c>
      <c r="AJ412" s="98" t="str">
        <f t="shared" si="251"/>
        <v>1+128.60200234026i</v>
      </c>
      <c r="AK412" s="98">
        <f t="shared" si="266"/>
        <v>128.60589024583683</v>
      </c>
      <c r="AL412" s="98">
        <f t="shared" si="267"/>
        <v>1.5630205548200322</v>
      </c>
      <c r="AM412" s="98" t="str">
        <f t="shared" si="252"/>
        <v>1+257.204004680521i</v>
      </c>
      <c r="AN412" s="98">
        <f t="shared" si="268"/>
        <v>257.20594865534792</v>
      </c>
      <c r="AO412" s="98">
        <f t="shared" si="269"/>
        <v>1.5669083820386234</v>
      </c>
      <c r="AP412" s="168" t="str">
        <f t="shared" si="270"/>
        <v>-6.37818803369481E-07+0.000164054510120701i</v>
      </c>
      <c r="AQ412" s="98">
        <f t="shared" si="271"/>
        <v>-75.700170868639958</v>
      </c>
      <c r="AR412" s="169">
        <f t="shared" si="272"/>
        <v>90.222756091101346</v>
      </c>
      <c r="AS412" s="168" t="str">
        <f t="shared" si="273"/>
        <v>0.000150520212961153-0.000122906784673415i</v>
      </c>
      <c r="AT412" s="190">
        <f t="shared" si="274"/>
        <v>-74.229402711504221</v>
      </c>
      <c r="AU412" s="169">
        <f t="shared" si="275"/>
        <v>-39.233243749890427</v>
      </c>
      <c r="AV412" s="225"/>
      <c r="AX412">
        <f t="shared" si="276"/>
        <v>0</v>
      </c>
      <c r="AY412">
        <f t="shared" si="277"/>
        <v>0</v>
      </c>
    </row>
    <row r="413" spans="14:51" x14ac:dyDescent="0.3">
      <c r="N413" s="170">
        <v>95</v>
      </c>
      <c r="O413" s="199">
        <f t="shared" si="243"/>
        <v>89125.093813374609</v>
      </c>
      <c r="P413" s="189" t="str">
        <f t="shared" si="244"/>
        <v>20.7142857142857</v>
      </c>
      <c r="Q413" s="160" t="str">
        <f t="shared" si="245"/>
        <v>1+127.99759541696i</v>
      </c>
      <c r="R413" s="160">
        <f t="shared" si="253"/>
        <v>128.00150168073725</v>
      </c>
      <c r="S413" s="160">
        <f t="shared" si="254"/>
        <v>1.5629838389768944</v>
      </c>
      <c r="T413" s="160" t="str">
        <f t="shared" si="246"/>
        <v>1+0.011199789598984i</v>
      </c>
      <c r="U413" s="160">
        <f t="shared" si="255"/>
        <v>1.0000627156769026</v>
      </c>
      <c r="V413" s="160">
        <f t="shared" si="256"/>
        <v>1.119932135128324E-2</v>
      </c>
      <c r="W413" s="98" t="str">
        <f t="shared" si="247"/>
        <v>1-2.93994476973328i</v>
      </c>
      <c r="X413" s="160">
        <f t="shared" si="257"/>
        <v>3.1053623378089181</v>
      </c>
      <c r="Y413" s="160">
        <f t="shared" si="258"/>
        <v>-1.2429301415569862</v>
      </c>
      <c r="Z413" s="98" t="str">
        <f t="shared" si="248"/>
        <v>0.337521540648208-0.219370285267872i</v>
      </c>
      <c r="AA413" s="160">
        <f t="shared" si="259"/>
        <v>0.40254703136409714</v>
      </c>
      <c r="AB413" s="160">
        <f t="shared" si="260"/>
        <v>-0.57633623771918552</v>
      </c>
      <c r="AC413" s="171" t="str">
        <f t="shared" si="261"/>
        <v>-0.753151179889941-0.995709955698389i</v>
      </c>
      <c r="AD413" s="190">
        <f t="shared" si="262"/>
        <v>1.9275557405723962</v>
      </c>
      <c r="AE413" s="169">
        <f t="shared" si="263"/>
        <v>-127.10372091274722</v>
      </c>
      <c r="AF413" s="98" t="str">
        <f t="shared" si="249"/>
        <v>-0.0000897803247373448</v>
      </c>
      <c r="AG413" s="98" t="str">
        <f t="shared" si="250"/>
        <v>1.1199789598984i</v>
      </c>
      <c r="AH413" s="98">
        <f t="shared" si="264"/>
        <v>1.1199789598984</v>
      </c>
      <c r="AI413" s="98">
        <f t="shared" si="265"/>
        <v>1.5707963267948966</v>
      </c>
      <c r="AJ413" s="98" t="str">
        <f t="shared" si="251"/>
        <v>1+131.597527788062i</v>
      </c>
      <c r="AK413" s="98">
        <f t="shared" si="266"/>
        <v>131.60132719668806</v>
      </c>
      <c r="AL413" s="98">
        <f t="shared" si="267"/>
        <v>1.5631975461067031</v>
      </c>
      <c r="AM413" s="98" t="str">
        <f t="shared" si="252"/>
        <v>1+263.195055576124i</v>
      </c>
      <c r="AN413" s="98">
        <f t="shared" si="268"/>
        <v>263.19695530100461</v>
      </c>
      <c r="AO413" s="98">
        <f t="shared" si="269"/>
        <v>1.5669968816044142</v>
      </c>
      <c r="AP413" s="168" t="str">
        <f t="shared" si="270"/>
        <v>-6.09113885970788E-07+0.000160320391682191i</v>
      </c>
      <c r="AQ413" s="98">
        <f t="shared" si="271"/>
        <v>-75.900162005204479</v>
      </c>
      <c r="AR413" s="169">
        <f t="shared" si="272"/>
        <v>90.217685888973079</v>
      </c>
      <c r="AS413" s="168" t="str">
        <f t="shared" si="273"/>
        <v>0.000160091364941329-0.000120138991395444i</v>
      </c>
      <c r="AT413" s="190">
        <f t="shared" si="274"/>
        <v>-73.972606264632091</v>
      </c>
      <c r="AU413" s="169">
        <f t="shared" si="275"/>
        <v>-36.886035023774056</v>
      </c>
      <c r="AV413" s="225"/>
      <c r="AX413">
        <f t="shared" si="276"/>
        <v>0</v>
      </c>
      <c r="AY413">
        <f t="shared" si="277"/>
        <v>0</v>
      </c>
    </row>
    <row r="414" spans="14:51" x14ac:dyDescent="0.3">
      <c r="N414" s="170">
        <v>96</v>
      </c>
      <c r="O414" s="199">
        <f t="shared" si="243"/>
        <v>91201.083935591028</v>
      </c>
      <c r="P414" s="189" t="str">
        <f t="shared" si="244"/>
        <v>20.7142857142857</v>
      </c>
      <c r="Q414" s="160" t="str">
        <f t="shared" si="245"/>
        <v>1+130.979042418962i</v>
      </c>
      <c r="R414" s="160">
        <f t="shared" si="253"/>
        <v>130.98285976794156</v>
      </c>
      <c r="S414" s="160">
        <f t="shared" si="254"/>
        <v>1.5631616659200906</v>
      </c>
      <c r="T414" s="160" t="str">
        <f t="shared" si="246"/>
        <v>1+0.0114606662116592i</v>
      </c>
      <c r="U414" s="160">
        <f t="shared" si="255"/>
        <v>1.0000656712786491</v>
      </c>
      <c r="V414" s="160">
        <f t="shared" si="256"/>
        <v>1.1460164476987644E-2</v>
      </c>
      <c r="W414" s="98" t="str">
        <f t="shared" si="247"/>
        <v>1-3.00842488056052i</v>
      </c>
      <c r="X414" s="160">
        <f t="shared" si="257"/>
        <v>3.170271323085073</v>
      </c>
      <c r="Y414" s="160">
        <f t="shared" si="258"/>
        <v>-1.2498861362664164</v>
      </c>
      <c r="Z414" s="98" t="str">
        <f t="shared" si="248"/>
        <v>0.306299892743961-0.224480075629244i</v>
      </c>
      <c r="AA414" s="160">
        <f t="shared" si="259"/>
        <v>0.37975114041892372</v>
      </c>
      <c r="AB414" s="160">
        <f t="shared" si="260"/>
        <v>-0.63245187134901659</v>
      </c>
      <c r="AC414" s="171" t="str">
        <f t="shared" si="261"/>
        <v>-0.743701893170363-1.09094899758683i</v>
      </c>
      <c r="AD414" s="190">
        <f t="shared" si="262"/>
        <v>2.4136271853427775</v>
      </c>
      <c r="AE414" s="169">
        <f t="shared" si="263"/>
        <v>-124.28232460333233</v>
      </c>
      <c r="AF414" s="98" t="str">
        <f t="shared" si="249"/>
        <v>-0.0000897803247373448</v>
      </c>
      <c r="AG414" s="98" t="str">
        <f t="shared" si="250"/>
        <v>1.14606662116592i</v>
      </c>
      <c r="AH414" s="98">
        <f t="shared" si="264"/>
        <v>1.1460666211659201</v>
      </c>
      <c r="AI414" s="98">
        <f t="shared" si="265"/>
        <v>1.5707963267948966</v>
      </c>
      <c r="AJ414" s="98" t="str">
        <f t="shared" si="251"/>
        <v>1+134.662827986995i</v>
      </c>
      <c r="AK414" s="98">
        <f t="shared" si="266"/>
        <v>134.66654091293429</v>
      </c>
      <c r="AL414" s="98">
        <f t="shared" si="267"/>
        <v>1.5633705090398597</v>
      </c>
      <c r="AM414" s="98" t="str">
        <f t="shared" si="252"/>
        <v>1+269.325655973991i</v>
      </c>
      <c r="AN414" s="98">
        <f t="shared" si="268"/>
        <v>269.32751245615543</v>
      </c>
      <c r="AO414" s="98">
        <f t="shared" si="269"/>
        <v>1.567083366731653</v>
      </c>
      <c r="AP414" s="168" t="str">
        <f t="shared" si="270"/>
        <v>-5.81700756836238E-07+0.000156671257598695i</v>
      </c>
      <c r="AQ414" s="98">
        <f t="shared" si="271"/>
        <v>-76.100153540661097</v>
      </c>
      <c r="AR414" s="169">
        <f t="shared" si="272"/>
        <v>90.212731075672437</v>
      </c>
      <c r="AS414" s="168" t="str">
        <f t="shared" si="273"/>
        <v>0.000171352963382082-0.000115882105023965i</v>
      </c>
      <c r="AT414" s="190">
        <f t="shared" si="274"/>
        <v>-73.686526355318321</v>
      </c>
      <c r="AU414" s="169">
        <f t="shared" si="275"/>
        <v>-34.069593527659876</v>
      </c>
      <c r="AV414" s="225"/>
      <c r="AX414">
        <f t="shared" si="276"/>
        <v>0</v>
      </c>
      <c r="AY414">
        <f t="shared" si="277"/>
        <v>0</v>
      </c>
    </row>
    <row r="415" spans="14:51" x14ac:dyDescent="0.3">
      <c r="N415" s="170">
        <v>97</v>
      </c>
      <c r="O415" s="199">
        <f t="shared" si="243"/>
        <v>93325.430079699145</v>
      </c>
      <c r="P415" s="189" t="str">
        <f t="shared" si="244"/>
        <v>20.7142857142857</v>
      </c>
      <c r="Q415" s="160" t="str">
        <f t="shared" si="245"/>
        <v>1+134.029936242967i</v>
      </c>
      <c r="R415" s="160">
        <f t="shared" si="253"/>
        <v>134.03366670092183</v>
      </c>
      <c r="S415" s="160">
        <f t="shared" si="254"/>
        <v>1.5633354454944548</v>
      </c>
      <c r="T415" s="160" t="str">
        <f t="shared" si="246"/>
        <v>1+0.0117276194212596i</v>
      </c>
      <c r="U415" s="160">
        <f t="shared" si="255"/>
        <v>1.0000687661642522</v>
      </c>
      <c r="V415" s="160">
        <f t="shared" si="256"/>
        <v>1.172708180486947E-2</v>
      </c>
      <c r="W415" s="98" t="str">
        <f t="shared" si="247"/>
        <v>1-3.07850009808065i</v>
      </c>
      <c r="X415" s="160">
        <f t="shared" si="257"/>
        <v>3.2368445829051744</v>
      </c>
      <c r="Y415" s="160">
        <f t="shared" si="258"/>
        <v>-1.2567150173557962</v>
      </c>
      <c r="Z415" s="98" t="str">
        <f t="shared" si="248"/>
        <v>0.27360681390623-0.229708888298059i</v>
      </c>
      <c r="AA415" s="160">
        <f t="shared" si="259"/>
        <v>0.35724901956345312</v>
      </c>
      <c r="AB415" s="160">
        <f t="shared" si="260"/>
        <v>-0.6984008338307881</v>
      </c>
      <c r="AC415" s="171" t="str">
        <f t="shared" si="261"/>
        <v>-0.718920791957759-1.20172135769721i</v>
      </c>
      <c r="AD415" s="190">
        <f t="shared" si="262"/>
        <v>2.9247345814030186</v>
      </c>
      <c r="AE415" s="169">
        <f t="shared" si="263"/>
        <v>-120.88965705488845</v>
      </c>
      <c r="AF415" s="98" t="str">
        <f t="shared" si="249"/>
        <v>-0.0000897803247373448</v>
      </c>
      <c r="AG415" s="98" t="str">
        <f t="shared" si="250"/>
        <v>1.17276194212596i</v>
      </c>
      <c r="AH415" s="98">
        <f t="shared" si="264"/>
        <v>1.1727619421259601</v>
      </c>
      <c r="AI415" s="98">
        <f t="shared" si="265"/>
        <v>1.5707963267948966</v>
      </c>
      <c r="AJ415" s="98" t="str">
        <f t="shared" si="251"/>
        <v>1+137.799528199801i</v>
      </c>
      <c r="AK415" s="98">
        <f t="shared" si="266"/>
        <v>137.80315661147878</v>
      </c>
      <c r="AL415" s="98">
        <f t="shared" si="267"/>
        <v>1.5635395352853196</v>
      </c>
      <c r="AM415" s="98" t="str">
        <f t="shared" si="252"/>
        <v>1+275.599056399602i</v>
      </c>
      <c r="AN415" s="98">
        <f t="shared" si="268"/>
        <v>275.60087062335447</v>
      </c>
      <c r="AO415" s="98">
        <f t="shared" si="269"/>
        <v>1.5671678832707212</v>
      </c>
      <c r="AP415" s="168" t="str">
        <f t="shared" si="270"/>
        <v>-5.55521288747635E-07+0.000153105174361676i</v>
      </c>
      <c r="AQ415" s="98">
        <f t="shared" si="271"/>
        <v>-76.300145457059386</v>
      </c>
      <c r="AR415" s="169">
        <f t="shared" si="272"/>
        <v>90.207889026168303</v>
      </c>
      <c r="AS415" s="168" t="str">
        <f t="shared" si="273"/>
        <v>0.000184389133809237-0.000109402911407583i</v>
      </c>
      <c r="AT415" s="190">
        <f t="shared" si="274"/>
        <v>-73.375410875656371</v>
      </c>
      <c r="AU415" s="169">
        <f t="shared" si="275"/>
        <v>-30.681768028720057</v>
      </c>
      <c r="AV415" s="225"/>
      <c r="AX415">
        <f t="shared" si="276"/>
        <v>0</v>
      </c>
      <c r="AY415">
        <f t="shared" si="277"/>
        <v>0</v>
      </c>
    </row>
    <row r="416" spans="14:51" x14ac:dyDescent="0.3">
      <c r="N416" s="170">
        <v>98</v>
      </c>
      <c r="O416" s="199">
        <f t="shared" si="243"/>
        <v>95499.258602143804</v>
      </c>
      <c r="P416" s="189" t="str">
        <f t="shared" si="244"/>
        <v>20.7142857142857</v>
      </c>
      <c r="Q416" s="160" t="str">
        <f t="shared" si="245"/>
        <v>1+137.151894513265i</v>
      </c>
      <c r="R416" s="160">
        <f t="shared" si="253"/>
        <v>137.15554005791299</v>
      </c>
      <c r="S416" s="160">
        <f t="shared" si="254"/>
        <v>1.5635052697982095</v>
      </c>
      <c r="T416" s="160" t="str">
        <f t="shared" si="246"/>
        <v>1+0.0120007907699107i</v>
      </c>
      <c r="U416" s="160">
        <f t="shared" si="255"/>
        <v>1.000072006897055</v>
      </c>
      <c r="V416" s="160">
        <f t="shared" si="256"/>
        <v>1.2000214705810008E-2</v>
      </c>
      <c r="W416" s="98" t="str">
        <f t="shared" si="247"/>
        <v>1-3.15020757710154i</v>
      </c>
      <c r="X416" s="160">
        <f t="shared" si="257"/>
        <v>3.3051184213017173</v>
      </c>
      <c r="Y416" s="160">
        <f t="shared" si="258"/>
        <v>-1.2634178570756731</v>
      </c>
      <c r="Z416" s="98" t="str">
        <f t="shared" si="248"/>
        <v>0.239372957731563-0.235059495660007i</v>
      </c>
      <c r="AA416" s="160">
        <f t="shared" si="259"/>
        <v>0.3354882701274271</v>
      </c>
      <c r="AB416" s="160">
        <f t="shared" si="260"/>
        <v>-0.7763065778741014</v>
      </c>
      <c r="AC416" s="171" t="str">
        <f t="shared" si="261"/>
        <v>-0.670992804985893-1.32810312903791i</v>
      </c>
      <c r="AD416" s="190">
        <f t="shared" si="262"/>
        <v>3.451951263985217</v>
      </c>
      <c r="AE416" s="169">
        <f t="shared" si="263"/>
        <v>-116.80411200147562</v>
      </c>
      <c r="AF416" s="98" t="str">
        <f t="shared" si="249"/>
        <v>-0.0000897803247373448</v>
      </c>
      <c r="AG416" s="98" t="str">
        <f t="shared" si="250"/>
        <v>1.20007907699107i</v>
      </c>
      <c r="AH416" s="98">
        <f t="shared" si="264"/>
        <v>1.2000790769910701</v>
      </c>
      <c r="AI416" s="98">
        <f t="shared" si="265"/>
        <v>1.5707963267948966</v>
      </c>
      <c r="AJ416" s="98" t="str">
        <f t="shared" si="251"/>
        <v>1+141.00929154645i</v>
      </c>
      <c r="AK416" s="98">
        <f t="shared" si="266"/>
        <v>141.01283736749548</v>
      </c>
      <c r="AL416" s="98">
        <f t="shared" si="267"/>
        <v>1.563704714424381</v>
      </c>
      <c r="AM416" s="98" t="str">
        <f t="shared" si="252"/>
        <v>1+282.018583092902i</v>
      </c>
      <c r="AN416" s="98">
        <f t="shared" si="268"/>
        <v>282.02035602014274</v>
      </c>
      <c r="AO416" s="98">
        <f t="shared" si="269"/>
        <v>1.5672504760285737</v>
      </c>
      <c r="AP416" s="168" t="str">
        <f t="shared" si="270"/>
        <v>-5.3051996951373E-07+0.000149620252409798i</v>
      </c>
      <c r="AQ416" s="98">
        <f t="shared" si="271"/>
        <v>-76.500137737256068</v>
      </c>
      <c r="AR416" s="169">
        <f t="shared" si="272"/>
        <v>90.203157175079781</v>
      </c>
      <c r="AS416" s="168" t="str">
        <f t="shared" si="273"/>
        <v>0.00019906710047534-0.0000996895276156194i</v>
      </c>
      <c r="AT416" s="190">
        <f t="shared" si="274"/>
        <v>-73.048186473270846</v>
      </c>
      <c r="AU416" s="169">
        <f t="shared" si="275"/>
        <v>-26.600954826395789</v>
      </c>
      <c r="AV416" s="225"/>
      <c r="AX416">
        <f t="shared" si="276"/>
        <v>0</v>
      </c>
      <c r="AY416">
        <f t="shared" si="277"/>
        <v>0</v>
      </c>
    </row>
    <row r="417" spans="14:51" x14ac:dyDescent="0.3">
      <c r="N417" s="170">
        <v>99</v>
      </c>
      <c r="O417" s="199">
        <f t="shared" si="243"/>
        <v>97723.722095581266</v>
      </c>
      <c r="P417" s="189" t="str">
        <f t="shared" si="244"/>
        <v>20.7142857142857</v>
      </c>
      <c r="Q417" s="160" t="str">
        <f t="shared" si="245"/>
        <v>1+140.346572533453i</v>
      </c>
      <c r="R417" s="160">
        <f t="shared" si="253"/>
        <v>140.35013509750459</v>
      </c>
      <c r="S417" s="160">
        <f t="shared" si="254"/>
        <v>1.5636712288352435</v>
      </c>
      <c r="T417" s="160" t="str">
        <f t="shared" si="246"/>
        <v>1+0.0122803250966771i</v>
      </c>
      <c r="U417" s="160">
        <f t="shared" si="255"/>
        <v>1.0000754003496337</v>
      </c>
      <c r="V417" s="160">
        <f t="shared" si="256"/>
        <v>1.2279707835385614E-2</v>
      </c>
      <c r="W417" s="98" t="str">
        <f t="shared" si="247"/>
        <v>1-3.22358533787774i</v>
      </c>
      <c r="X417" s="160">
        <f t="shared" si="257"/>
        <v>3.3751299872123952</v>
      </c>
      <c r="Y417" s="160">
        <f t="shared" si="258"/>
        <v>-1.2699957993531892</v>
      </c>
      <c r="Z417" s="98" t="str">
        <f t="shared" si="248"/>
        <v>0.203525709621202-0.240534734677933i</v>
      </c>
      <c r="AA417" s="160">
        <f t="shared" si="259"/>
        <v>0.31508677068927765</v>
      </c>
      <c r="AB417" s="160">
        <f t="shared" si="260"/>
        <v>-0.86854831417349276</v>
      </c>
      <c r="AC417" s="171" t="str">
        <f t="shared" si="261"/>
        <v>-0.589448023520475-1.4670797882868i</v>
      </c>
      <c r="AD417" s="190">
        <f t="shared" si="262"/>
        <v>3.9790041269633014</v>
      </c>
      <c r="AE417" s="169">
        <f t="shared" si="263"/>
        <v>-111.88943312261055</v>
      </c>
      <c r="AF417" s="98" t="str">
        <f t="shared" si="249"/>
        <v>-0.0000897803247373448</v>
      </c>
      <c r="AG417" s="98" t="str">
        <f t="shared" si="250"/>
        <v>1.22803250966771i</v>
      </c>
      <c r="AH417" s="98">
        <f t="shared" si="264"/>
        <v>1.22803250966771</v>
      </c>
      <c r="AI417" s="98">
        <f t="shared" si="265"/>
        <v>1.5707963267948966</v>
      </c>
      <c r="AJ417" s="98" t="str">
        <f t="shared" si="251"/>
        <v>1+144.293819885956i</v>
      </c>
      <c r="AK417" s="98">
        <f t="shared" si="266"/>
        <v>144.29728499622129</v>
      </c>
      <c r="AL417" s="98">
        <f t="shared" si="267"/>
        <v>1.5638661340011348</v>
      </c>
      <c r="AM417" s="98" t="str">
        <f t="shared" si="252"/>
        <v>1+288.587639771913i</v>
      </c>
      <c r="AN417" s="98">
        <f t="shared" si="268"/>
        <v>288.58937234264783</v>
      </c>
      <c r="AO417" s="98">
        <f t="shared" si="269"/>
        <v>1.5673311887924744</v>
      </c>
      <c r="AP417" s="168" t="str">
        <f t="shared" si="270"/>
        <v>-5.06643784373849E-07+0.000146214645132873i</v>
      </c>
      <c r="AQ417" s="98">
        <f t="shared" si="271"/>
        <v>-76.700130364879925</v>
      </c>
      <c r="AR417" s="169">
        <f t="shared" si="272"/>
        <v>90.198533015325339</v>
      </c>
      <c r="AS417" s="168" t="str">
        <f t="shared" si="273"/>
        <v>0.000214807190803293-0.0000854426467274036i</v>
      </c>
      <c r="AT417" s="190">
        <f t="shared" si="274"/>
        <v>-72.721126237916621</v>
      </c>
      <c r="AU417" s="169">
        <f t="shared" si="275"/>
        <v>-21.690900107285227</v>
      </c>
      <c r="AV417" s="225"/>
      <c r="AX417">
        <f t="shared" si="276"/>
        <v>0</v>
      </c>
      <c r="AY417">
        <f t="shared" si="277"/>
        <v>0</v>
      </c>
    </row>
    <row r="418" spans="14:51" x14ac:dyDescent="0.3">
      <c r="N418" s="170">
        <v>100</v>
      </c>
      <c r="O418" s="199">
        <f t="shared" si="243"/>
        <v>100000</v>
      </c>
      <c r="P418" s="189" t="str">
        <f t="shared" si="244"/>
        <v>20.7142857142857</v>
      </c>
      <c r="Q418" s="160" t="str">
        <f t="shared" si="245"/>
        <v>1+143.615664164105i</v>
      </c>
      <c r="R418" s="160">
        <f t="shared" si="253"/>
        <v>143.61914563628693</v>
      </c>
      <c r="S418" s="160">
        <f t="shared" si="254"/>
        <v>1.5638334105626466</v>
      </c>
      <c r="T418" s="160" t="str">
        <f t="shared" si="246"/>
        <v>1+0.0125663706143592i</v>
      </c>
      <c r="U418" s="160">
        <f t="shared" si="255"/>
        <v>1.0000789537183639</v>
      </c>
      <c r="V418" s="160">
        <f t="shared" si="256"/>
        <v>1.2565709209789116E-2</v>
      </c>
      <c r="W418" s="98" t="str">
        <f t="shared" si="247"/>
        <v>1-3.29867228626928i</v>
      </c>
      <c r="X418" s="160">
        <f t="shared" si="257"/>
        <v>3.446917296977257</v>
      </c>
      <c r="Y418" s="160">
        <f t="shared" si="258"/>
        <v>-1.276450054100279</v>
      </c>
      <c r="Z418" s="98" t="str">
        <f t="shared" si="248"/>
        <v>0.16598903275578-0.246137508396039i</v>
      </c>
      <c r="AA418" s="160">
        <f t="shared" si="259"/>
        <v>0.29687713289273321</v>
      </c>
      <c r="AB418" s="160">
        <f t="shared" si="260"/>
        <v>-0.9774760122444841</v>
      </c>
      <c r="AC418" s="171" t="str">
        <f t="shared" si="261"/>
        <v>-0.461929722704861-1.60976934895633i</v>
      </c>
      <c r="AD418" s="190">
        <f t="shared" si="262"/>
        <v>4.478920547884778</v>
      </c>
      <c r="AE418" s="169">
        <f t="shared" si="263"/>
        <v>-106.01104296478405</v>
      </c>
      <c r="AF418" s="98" t="str">
        <f t="shared" si="249"/>
        <v>-0.0000897803247373448</v>
      </c>
      <c r="AG418" s="98" t="str">
        <f t="shared" si="250"/>
        <v>1.25663706143592i</v>
      </c>
      <c r="AH418" s="98">
        <f t="shared" si="264"/>
        <v>1.2566370614359199</v>
      </c>
      <c r="AI418" s="98">
        <f t="shared" si="265"/>
        <v>1.5707963267948966</v>
      </c>
      <c r="AJ418" s="98" t="str">
        <f t="shared" si="251"/>
        <v>1+147.65485471872i</v>
      </c>
      <c r="AK418" s="98">
        <f t="shared" si="266"/>
        <v>147.65824095527586</v>
      </c>
      <c r="AL418" s="98">
        <f t="shared" si="267"/>
        <v>1.56402387956871</v>
      </c>
      <c r="AM418" s="98" t="str">
        <f t="shared" si="252"/>
        <v>1+295.309709437441i</v>
      </c>
      <c r="AN418" s="98">
        <f t="shared" si="268"/>
        <v>295.31140257027971</v>
      </c>
      <c r="AO418" s="98">
        <f t="shared" si="269"/>
        <v>1.5674100643531901</v>
      </c>
      <c r="AP418" s="168" t="str">
        <f t="shared" si="270"/>
        <v>-4.83842103685677E-07+0.000142886547898228i</v>
      </c>
      <c r="AQ418" s="98">
        <f t="shared" si="271"/>
        <v>-76.900123324295933</v>
      </c>
      <c r="AR418" s="169">
        <f t="shared" si="272"/>
        <v>90.194014096802107</v>
      </c>
      <c r="AS418" s="168" t="str">
        <f t="shared" si="273"/>
        <v>0.000230237886233536-0.0000652246692606356i</v>
      </c>
      <c r="AT418" s="190">
        <f t="shared" si="274"/>
        <v>-72.421202776411178</v>
      </c>
      <c r="AU418" s="169">
        <f t="shared" si="275"/>
        <v>-15.817028867981989</v>
      </c>
      <c r="AV418" s="225"/>
      <c r="AX418">
        <f t="shared" si="276"/>
        <v>0</v>
      </c>
      <c r="AY418">
        <f t="shared" si="277"/>
        <v>0</v>
      </c>
    </row>
    <row r="419" spans="14:51" x14ac:dyDescent="0.3">
      <c r="N419" s="170">
        <v>1</v>
      </c>
      <c r="O419" s="199">
        <f>10^(5+(N419/100))</f>
        <v>102329.29922807543</v>
      </c>
      <c r="P419" s="189" t="str">
        <f t="shared" si="244"/>
        <v>20.7142857142857</v>
      </c>
      <c r="Q419" s="160" t="str">
        <f t="shared" si="245"/>
        <v>1+146.960902720875i</v>
      </c>
      <c r="R419" s="160">
        <f t="shared" si="253"/>
        <v>146.96430494693087</v>
      </c>
      <c r="S419" s="160">
        <f t="shared" si="254"/>
        <v>1.563991900937171</v>
      </c>
      <c r="T419" s="160" t="str">
        <f t="shared" si="246"/>
        <v>1+0.0128590789880765i</v>
      </c>
      <c r="U419" s="160">
        <f t="shared" si="255"/>
        <v>1.0000826745386711</v>
      </c>
      <c r="V419" s="160">
        <f t="shared" si="256"/>
        <v>1.2858370283475277E-2</v>
      </c>
      <c r="W419" s="98" t="str">
        <f t="shared" si="247"/>
        <v>1-3.37550823437008i</v>
      </c>
      <c r="X419" s="160">
        <f t="shared" si="257"/>
        <v>3.5205192571977526</v>
      </c>
      <c r="Y419" s="160">
        <f t="shared" si="258"/>
        <v>-1.2827818917208516</v>
      </c>
      <c r="Z419" s="98" t="str">
        <f t="shared" si="248"/>
        <v>0.126683306811034-0.251870787479112i</v>
      </c>
      <c r="AA419" s="160">
        <f t="shared" si="259"/>
        <v>0.28193537168990801</v>
      </c>
      <c r="AB419" s="160">
        <f t="shared" si="260"/>
        <v>-1.104775995239607</v>
      </c>
      <c r="AC419" s="171" t="str">
        <f t="shared" si="261"/>
        <v>-0.277545361305667-1.7381362712687i</v>
      </c>
      <c r="AD419" s="190">
        <f t="shared" si="262"/>
        <v>4.9110231808477556</v>
      </c>
      <c r="AE419" s="169">
        <f t="shared" si="263"/>
        <v>-99.072391364500973</v>
      </c>
      <c r="AF419" s="98" t="str">
        <f t="shared" si="249"/>
        <v>-0.0000897803247373448</v>
      </c>
      <c r="AG419" s="98" t="str">
        <f t="shared" si="250"/>
        <v>1.28590789880765i</v>
      </c>
      <c r="AH419" s="98">
        <f t="shared" si="264"/>
        <v>1.28590789880765</v>
      </c>
      <c r="AI419" s="98">
        <f t="shared" si="265"/>
        <v>1.5707963267948966</v>
      </c>
      <c r="AJ419" s="98" t="str">
        <f t="shared" si="251"/>
        <v>1+151.094178109899i</v>
      </c>
      <c r="AK419" s="98">
        <f t="shared" si="266"/>
        <v>151.09748726800814</v>
      </c>
      <c r="AL419" s="98">
        <f t="shared" si="267"/>
        <v>1.5641780347344745</v>
      </c>
      <c r="AM419" s="98" t="str">
        <f t="shared" si="252"/>
        <v>1+302.188356219799i</v>
      </c>
      <c r="AN419" s="98">
        <f t="shared" si="268"/>
        <v>302.19001081244255</v>
      </c>
      <c r="AO419" s="98">
        <f t="shared" si="269"/>
        <v>1.567487144527659</v>
      </c>
      <c r="AP419" s="168" t="str">
        <f t="shared" si="270"/>
        <v>-4.62066575659793E-07+0.000139634197098943i</v>
      </c>
      <c r="AQ419" s="98">
        <f t="shared" si="271"/>
        <v>-77.100116600572562</v>
      </c>
      <c r="AR419" s="169">
        <f t="shared" si="272"/>
        <v>90.189598025094881</v>
      </c>
      <c r="AS419" s="168" t="str">
        <f t="shared" si="273"/>
        <v>0.000242831507121844-0.0000379516890095576i</v>
      </c>
      <c r="AT419" s="190">
        <f t="shared" si="274"/>
        <v>-72.189093419724813</v>
      </c>
      <c r="AU419" s="169">
        <f t="shared" si="275"/>
        <v>-8.8827933394060974</v>
      </c>
      <c r="AV419" s="225"/>
      <c r="AX419">
        <f t="shared" si="276"/>
        <v>0</v>
      </c>
      <c r="AY419">
        <f t="shared" si="277"/>
        <v>0</v>
      </c>
    </row>
    <row r="420" spans="14:51" x14ac:dyDescent="0.3">
      <c r="N420" s="170">
        <v>2</v>
      </c>
      <c r="O420" s="199">
        <f t="shared" ref="O420:O483" si="278">10^(5+(N420/100))</f>
        <v>104712.85480508996</v>
      </c>
      <c r="P420" s="189" t="str">
        <f t="shared" si="244"/>
        <v>20.7142857142857</v>
      </c>
      <c r="Q420" s="160" t="str">
        <f t="shared" si="245"/>
        <v>1+150.384061893525i</v>
      </c>
      <c r="R420" s="160">
        <f t="shared" si="253"/>
        <v>150.38738667719298</v>
      </c>
      <c r="S420" s="160">
        <f t="shared" si="254"/>
        <v>1.5641467839606438</v>
      </c>
      <c r="T420" s="160" t="str">
        <f t="shared" si="246"/>
        <v>1+0.0131586054156834i</v>
      </c>
      <c r="U420" s="160">
        <f t="shared" si="255"/>
        <v>1.0000865707009996</v>
      </c>
      <c r="V420" s="160">
        <f t="shared" si="256"/>
        <v>1.3157846028571724E-2</v>
      </c>
      <c r="W420" s="98" t="str">
        <f t="shared" si="247"/>
        <v>1-3.45413392161689i</v>
      </c>
      <c r="X420" s="160">
        <f t="shared" si="257"/>
        <v>3.595975687969049</v>
      </c>
      <c r="Y420" s="160">
        <f t="shared" si="258"/>
        <v>-1.2889926378229295</v>
      </c>
      <c r="Z420" s="98" t="str">
        <f t="shared" si="248"/>
        <v>0.085525159072424-0.25773761178761i</v>
      </c>
      <c r="AA420" s="160">
        <f t="shared" si="259"/>
        <v>0.27155704624322347</v>
      </c>
      <c r="AB420" s="160">
        <f t="shared" si="260"/>
        <v>-1.2503990767453448</v>
      </c>
      <c r="AC420" s="171" t="str">
        <f t="shared" si="261"/>
        <v>-0.0342660914527677-1.82379145151015i</v>
      </c>
      <c r="AD420" s="190">
        <f t="shared" si="262"/>
        <v>5.2210363183793627</v>
      </c>
      <c r="AE420" s="169">
        <f t="shared" si="263"/>
        <v>-91.076368381111763</v>
      </c>
      <c r="AF420" s="98" t="str">
        <f t="shared" si="249"/>
        <v>-0.0000897803247373448</v>
      </c>
      <c r="AG420" s="98" t="str">
        <f t="shared" si="250"/>
        <v>1.31586054156834i</v>
      </c>
      <c r="AH420" s="98">
        <f t="shared" si="264"/>
        <v>1.31586054156834</v>
      </c>
      <c r="AI420" s="98">
        <f t="shared" si="265"/>
        <v>1.5707963267948966</v>
      </c>
      <c r="AJ420" s="98" t="str">
        <f t="shared" si="251"/>
        <v>1+154.61361363428i</v>
      </c>
      <c r="AK420" s="98">
        <f t="shared" si="266"/>
        <v>154.61684746834808</v>
      </c>
      <c r="AL420" s="98">
        <f t="shared" si="267"/>
        <v>1.5643286812042139</v>
      </c>
      <c r="AM420" s="98" t="str">
        <f t="shared" si="252"/>
        <v>1+309.227227268561i</v>
      </c>
      <c r="AN420" s="98">
        <f t="shared" si="268"/>
        <v>309.22884419827699</v>
      </c>
      <c r="AO420" s="98">
        <f t="shared" si="269"/>
        <v>1.5675624701811444</v>
      </c>
      <c r="AP420" s="168" t="str">
        <f t="shared" si="270"/>
        <v>-4.4127102391474E-07+0.000136455869223501i</v>
      </c>
      <c r="AQ420" s="98">
        <f t="shared" si="271"/>
        <v>-77.300110179450428</v>
      </c>
      <c r="AR420" s="169">
        <f t="shared" si="272"/>
        <v>90.18528246021404</v>
      </c>
      <c r="AS420" s="168" t="str">
        <f t="shared" si="273"/>
        <v>0.000248882168431469-3.87102297286456E-06i</v>
      </c>
      <c r="AT420" s="190">
        <f t="shared" si="274"/>
        <v>-72.079073861071066</v>
      </c>
      <c r="AU420" s="169">
        <f t="shared" si="275"/>
        <v>-0.89108592089771033</v>
      </c>
      <c r="AV420" s="225"/>
      <c r="AX420">
        <f t="shared" si="276"/>
        <v>0</v>
      </c>
      <c r="AY420">
        <f t="shared" si="277"/>
        <v>0</v>
      </c>
    </row>
    <row r="421" spans="14:51" x14ac:dyDescent="0.3">
      <c r="N421" s="170">
        <v>3</v>
      </c>
      <c r="O421" s="199">
        <f t="shared" si="278"/>
        <v>107151.93052376082</v>
      </c>
      <c r="P421" s="189" t="str">
        <f t="shared" si="244"/>
        <v>20.7142857142857</v>
      </c>
      <c r="Q421" s="160" t="str">
        <f t="shared" si="245"/>
        <v>1+153.886956686359i</v>
      </c>
      <c r="R421" s="160">
        <f t="shared" si="253"/>
        <v>153.89020579032746</v>
      </c>
      <c r="S421" s="160">
        <f t="shared" si="254"/>
        <v>1.5642981417243533</v>
      </c>
      <c r="T421" s="160" t="str">
        <f t="shared" si="246"/>
        <v>1+0.0134651087100564i</v>
      </c>
      <c r="U421" s="160">
        <f t="shared" si="255"/>
        <v>1.0000906504675331</v>
      </c>
      <c r="V421" s="160">
        <f t="shared" si="256"/>
        <v>1.3464295016089487E-2</v>
      </c>
      <c r="W421" s="98" t="str">
        <f t="shared" si="247"/>
        <v>1-3.53459103638981i</v>
      </c>
      <c r="X421" s="160">
        <f t="shared" si="257"/>
        <v>3.6733273464976128</v>
      </c>
      <c r="Y421" s="160">
        <f t="shared" si="258"/>
        <v>-1.2950836681400288</v>
      </c>
      <c r="Z421" s="98" t="str">
        <f t="shared" si="248"/>
        <v>0.042427287590427-0.263741091989439i</v>
      </c>
      <c r="AA421" s="160">
        <f t="shared" si="259"/>
        <v>0.26713187442920872</v>
      </c>
      <c r="AB421" s="160">
        <f t="shared" si="260"/>
        <v>-1.4112956379428976</v>
      </c>
      <c r="AC421" s="171" t="str">
        <f t="shared" si="261"/>
        <v>0.251295577986135-1.83397367356445i</v>
      </c>
      <c r="AD421" s="190">
        <f t="shared" si="262"/>
        <v>5.3486453891195591</v>
      </c>
      <c r="AE421" s="169">
        <f t="shared" si="263"/>
        <v>-82.197778743815803</v>
      </c>
      <c r="AF421" s="98" t="str">
        <f t="shared" si="249"/>
        <v>-0.0000897803247373448</v>
      </c>
      <c r="AG421" s="98" t="str">
        <f t="shared" si="250"/>
        <v>1.34651087100564i</v>
      </c>
      <c r="AH421" s="98">
        <f t="shared" si="264"/>
        <v>1.3465108710056399</v>
      </c>
      <c r="AI421" s="98">
        <f t="shared" si="265"/>
        <v>1.5707963267948966</v>
      </c>
      <c r="AJ421" s="98" t="str">
        <f t="shared" si="251"/>
        <v>1+158.215027343163i</v>
      </c>
      <c r="AK421" s="98">
        <f t="shared" si="266"/>
        <v>158.21818756766814</v>
      </c>
      <c r="AL421" s="98">
        <f t="shared" si="267"/>
        <v>1.5644758988253142</v>
      </c>
      <c r="AM421" s="98" t="str">
        <f t="shared" si="252"/>
        <v>1+316.430054686327i</v>
      </c>
      <c r="AN421" s="98">
        <f t="shared" si="268"/>
        <v>316.43163481041512</v>
      </c>
      <c r="AO421" s="98">
        <f t="shared" si="269"/>
        <v>1.5676360812488834</v>
      </c>
      <c r="AP421" s="168" t="str">
        <f t="shared" si="270"/>
        <v>-4.2141134963628E-07+0.000133349879946396i</v>
      </c>
      <c r="AQ421" s="98">
        <f t="shared" si="271"/>
        <v>-77.500104047311623</v>
      </c>
      <c r="AR421" s="169">
        <f t="shared" si="272"/>
        <v>90.181065115361932</v>
      </c>
      <c r="AS421" s="168" t="str">
        <f t="shared" si="273"/>
        <v>0.000244454270385994+0.0000342830924764855i</v>
      </c>
      <c r="AT421" s="190">
        <f t="shared" si="274"/>
        <v>-72.151458658192055</v>
      </c>
      <c r="AU421" s="169">
        <f t="shared" si="275"/>
        <v>7.9832863715461277</v>
      </c>
      <c r="AV421" s="225"/>
      <c r="AX421">
        <f t="shared" si="276"/>
        <v>0</v>
      </c>
      <c r="AY421">
        <f t="shared" si="277"/>
        <v>0</v>
      </c>
    </row>
    <row r="422" spans="14:51" x14ac:dyDescent="0.3">
      <c r="N422" s="170">
        <v>4</v>
      </c>
      <c r="O422" s="199">
        <f t="shared" si="278"/>
        <v>109647.81961431868</v>
      </c>
      <c r="P422" s="189" t="str">
        <f t="shared" si="244"/>
        <v>20.7142857142857</v>
      </c>
      <c r="Q422" s="160" t="str">
        <f t="shared" si="245"/>
        <v>1+157.471444380563i</v>
      </c>
      <c r="R422" s="160">
        <f t="shared" si="253"/>
        <v>157.47461952740434</v>
      </c>
      <c r="S422" s="160">
        <f t="shared" si="254"/>
        <v>1.5644460544524337</v>
      </c>
      <c r="T422" s="160" t="str">
        <f t="shared" si="246"/>
        <v>1+0.0137787513832993i</v>
      </c>
      <c r="U422" s="160">
        <f t="shared" si="255"/>
        <v>1.0000949224897018</v>
      </c>
      <c r="V422" s="160">
        <f t="shared" si="256"/>
        <v>1.3777879498974587E-2</v>
      </c>
      <c r="W422" s="98" t="str">
        <f t="shared" si="247"/>
        <v>1-3.61692223811606i</v>
      </c>
      <c r="X422" s="160">
        <f t="shared" si="257"/>
        <v>3.7526159511170989</v>
      </c>
      <c r="Y422" s="160">
        <f t="shared" si="258"/>
        <v>-1.3010564036645536</v>
      </c>
      <c r="Z422" s="98" t="str">
        <f t="shared" si="248"/>
        <v>-0.00270172399860003-0.269884411209267i</v>
      </c>
      <c r="AA422" s="160">
        <f t="shared" si="259"/>
        <v>0.26989793390527711</v>
      </c>
      <c r="AB422" s="160">
        <f t="shared" si="260"/>
        <v>-1.5808066632280182</v>
      </c>
      <c r="AC422" s="171" t="str">
        <f t="shared" si="261"/>
        <v>0.540320713919956-1.74746253803514i</v>
      </c>
      <c r="AD422" s="190">
        <f t="shared" si="262"/>
        <v>5.244703542434193</v>
      </c>
      <c r="AE422" s="169">
        <f t="shared" si="263"/>
        <v>-72.818232659411294</v>
      </c>
      <c r="AF422" s="98" t="str">
        <f t="shared" si="249"/>
        <v>-0.0000897803247373448</v>
      </c>
      <c r="AG422" s="98" t="str">
        <f t="shared" si="250"/>
        <v>1.37787513832993i</v>
      </c>
      <c r="AH422" s="98">
        <f t="shared" si="264"/>
        <v>1.3778751383299299</v>
      </c>
      <c r="AI422" s="98">
        <f t="shared" si="265"/>
        <v>1.5707963267948966</v>
      </c>
      <c r="AJ422" s="98" t="str">
        <f t="shared" si="251"/>
        <v>1+161.900328753767i</v>
      </c>
      <c r="AK422" s="98">
        <f t="shared" si="266"/>
        <v>161.90341704416815</v>
      </c>
      <c r="AL422" s="98">
        <f t="shared" si="267"/>
        <v>1.5646197656289673</v>
      </c>
      <c r="AM422" s="98" t="str">
        <f t="shared" si="252"/>
        <v>1+323.800657507534i</v>
      </c>
      <c r="AN422" s="98">
        <f t="shared" si="268"/>
        <v>323.80220166378018</v>
      </c>
      <c r="AO422" s="98">
        <f t="shared" si="269"/>
        <v>1.5677080167572461</v>
      </c>
      <c r="AP422" s="168" t="str">
        <f t="shared" si="270"/>
        <v>-4.0244543813411E-07+0.000130314583239208i</v>
      </c>
      <c r="AQ422" s="98">
        <f t="shared" si="271"/>
        <v>-77.700098191151156</v>
      </c>
      <c r="AR422" s="169">
        <f t="shared" si="272"/>
        <v>90.176943755726896</v>
      </c>
      <c r="AS422" s="168" t="str">
        <f t="shared" si="273"/>
        <v>0.000227502402763731+0.0000711149269767329i</v>
      </c>
      <c r="AT422" s="190">
        <f t="shared" si="274"/>
        <v>-72.455394648716975</v>
      </c>
      <c r="AU422" s="169">
        <f t="shared" si="275"/>
        <v>17.358711096315645</v>
      </c>
      <c r="AV422" s="225"/>
      <c r="AX422">
        <f t="shared" si="276"/>
        <v>0</v>
      </c>
      <c r="AY422">
        <f t="shared" si="277"/>
        <v>0</v>
      </c>
    </row>
    <row r="423" spans="14:51" x14ac:dyDescent="0.3">
      <c r="N423" s="170">
        <v>5</v>
      </c>
      <c r="O423" s="199">
        <f t="shared" si="278"/>
        <v>112201.84543019651</v>
      </c>
      <c r="P423" s="189" t="str">
        <f t="shared" si="244"/>
        <v>20.7142857142857</v>
      </c>
      <c r="Q423" s="160" t="str">
        <f t="shared" si="245"/>
        <v>1+161.139425518959i</v>
      </c>
      <c r="R423" s="160">
        <f t="shared" si="253"/>
        <v>161.14252839204224</v>
      </c>
      <c r="S423" s="160">
        <f t="shared" si="254"/>
        <v>1.5645906005442676</v>
      </c>
      <c r="T423" s="160" t="str">
        <f t="shared" si="246"/>
        <v>1+0.0140996997329089i</v>
      </c>
      <c r="U423" s="160">
        <f t="shared" si="255"/>
        <v>1.0000993958265139</v>
      </c>
      <c r="V423" s="160">
        <f t="shared" si="256"/>
        <v>1.4098765497037712E-2</v>
      </c>
      <c r="W423" s="98" t="str">
        <f t="shared" si="247"/>
        <v>1-3.70117117988858i</v>
      </c>
      <c r="X423" s="160">
        <f t="shared" si="257"/>
        <v>3.8338842057158975</v>
      </c>
      <c r="Y423" s="160">
        <f t="shared" si="258"/>
        <v>-1.3069123059945575</v>
      </c>
      <c r="Z423" s="98" t="str">
        <f t="shared" si="248"/>
        <v>-0.0499576003787801-0.27617082671626i</v>
      </c>
      <c r="AA423" s="160">
        <f t="shared" si="259"/>
        <v>0.28065296607153184</v>
      </c>
      <c r="AB423" s="160">
        <f t="shared" si="260"/>
        <v>-1.7497549149862177</v>
      </c>
      <c r="AC423" s="171" t="str">
        <f t="shared" si="261"/>
        <v>0.78460721712594-1.57117991386451i</v>
      </c>
      <c r="AD423" s="190">
        <f t="shared" si="262"/>
        <v>4.8914461782297458</v>
      </c>
      <c r="AE423" s="169">
        <f t="shared" si="263"/>
        <v>-63.463625833916211</v>
      </c>
      <c r="AF423" s="98" t="str">
        <f t="shared" si="249"/>
        <v>-0.0000897803247373448</v>
      </c>
      <c r="AG423" s="98" t="str">
        <f t="shared" si="250"/>
        <v>1.40996997329089i</v>
      </c>
      <c r="AH423" s="98">
        <f t="shared" si="264"/>
        <v>1.4099699732908899</v>
      </c>
      <c r="AI423" s="98">
        <f t="shared" si="265"/>
        <v>1.5707963267948966</v>
      </c>
      <c r="AJ423" s="98" t="str">
        <f t="shared" si="251"/>
        <v>1+165.67147186168i</v>
      </c>
      <c r="AK423" s="98">
        <f t="shared" si="266"/>
        <v>165.67448985530461</v>
      </c>
      <c r="AL423" s="98">
        <f t="shared" si="267"/>
        <v>1.5647603578714211</v>
      </c>
      <c r="AM423" s="98" t="str">
        <f t="shared" si="252"/>
        <v>1+331.34294372336i</v>
      </c>
      <c r="AN423" s="98">
        <f t="shared" si="268"/>
        <v>331.34445273048061</v>
      </c>
      <c r="AO423" s="98">
        <f t="shared" si="269"/>
        <v>1.5677783148444113</v>
      </c>
      <c r="AP423" s="168" t="str">
        <f t="shared" si="270"/>
        <v>-3.84333069598744E-07+0.00012734837050172i</v>
      </c>
      <c r="AQ423" s="98">
        <f t="shared" si="271"/>
        <v>-77.900092598548923</v>
      </c>
      <c r="AR423" s="169">
        <f t="shared" si="272"/>
        <v>90.172916197304403</v>
      </c>
      <c r="AS423" s="168" t="str">
        <f t="shared" si="273"/>
        <v>0.000199785651295491+0.000100522306984065i</v>
      </c>
      <c r="AT423" s="190">
        <f t="shared" si="274"/>
        <v>-73.008646420319181</v>
      </c>
      <c r="AU423" s="169">
        <f t="shared" si="275"/>
        <v>26.70929036338816</v>
      </c>
      <c r="AV423" s="225"/>
      <c r="AX423">
        <f t="shared" si="276"/>
        <v>0</v>
      </c>
      <c r="AY423">
        <f t="shared" si="277"/>
        <v>0</v>
      </c>
    </row>
    <row r="424" spans="14:51" x14ac:dyDescent="0.3">
      <c r="N424" s="170">
        <v>6</v>
      </c>
      <c r="O424" s="199">
        <f t="shared" si="278"/>
        <v>114815.36214968823</v>
      </c>
      <c r="P424" s="189" t="str">
        <f t="shared" si="244"/>
        <v>20.7142857142857</v>
      </c>
      <c r="Q424" s="160" t="str">
        <f t="shared" si="245"/>
        <v>1+164.892844913697i</v>
      </c>
      <c r="R424" s="160">
        <f t="shared" si="253"/>
        <v>164.89587715807974</v>
      </c>
      <c r="S424" s="160">
        <f t="shared" si="254"/>
        <v>1.5647318566159321</v>
      </c>
      <c r="T424" s="160" t="str">
        <f t="shared" si="246"/>
        <v>1+0.0144281239299485i</v>
      </c>
      <c r="U424" s="160">
        <f t="shared" si="255"/>
        <v>1.0001040799637495</v>
      </c>
      <c r="V424" s="160">
        <f t="shared" si="256"/>
        <v>1.4427122883803359E-2</v>
      </c>
      <c r="W424" s="98" t="str">
        <f t="shared" si="247"/>
        <v>1-3.78738253161147i</v>
      </c>
      <c r="X424" s="160">
        <f t="shared" si="257"/>
        <v>3.9171758245904296</v>
      </c>
      <c r="Y424" s="160">
        <f t="shared" si="258"/>
        <v>-1.3126528728939852</v>
      </c>
      <c r="Z424" s="98" t="str">
        <f t="shared" si="248"/>
        <v>-0.0994405775996401-0.282603671651131i</v>
      </c>
      <c r="AA424" s="160">
        <f t="shared" si="259"/>
        <v>0.29958849060678266</v>
      </c>
      <c r="AB424" s="160">
        <f t="shared" si="260"/>
        <v>-1.9091386915540385</v>
      </c>
      <c r="AC424" s="171" t="str">
        <f t="shared" si="261"/>
        <v>0.950410192140558-1.33982170930464i</v>
      </c>
      <c r="AD424" s="190">
        <f t="shared" si="262"/>
        <v>4.3110660919917532</v>
      </c>
      <c r="AE424" s="169">
        <f t="shared" si="263"/>
        <v>-54.649798253377078</v>
      </c>
      <c r="AF424" s="98" t="str">
        <f t="shared" si="249"/>
        <v>-0.0000897803247373448</v>
      </c>
      <c r="AG424" s="98" t="str">
        <f t="shared" si="250"/>
        <v>1.44281239299485i</v>
      </c>
      <c r="AH424" s="98">
        <f t="shared" si="264"/>
        <v>1.44281239299485</v>
      </c>
      <c r="AI424" s="98">
        <f t="shared" si="265"/>
        <v>1.5707963267948966</v>
      </c>
      <c r="AJ424" s="98" t="str">
        <f t="shared" si="251"/>
        <v>1+169.530456176895i</v>
      </c>
      <c r="AK424" s="98">
        <f t="shared" si="266"/>
        <v>169.5334054738066</v>
      </c>
      <c r="AL424" s="98">
        <f t="shared" si="267"/>
        <v>1.5648977500742991</v>
      </c>
      <c r="AM424" s="98" t="str">
        <f t="shared" si="252"/>
        <v>1+339.06091235379i</v>
      </c>
      <c r="AN424" s="98">
        <f t="shared" si="268"/>
        <v>339.06238701186612</v>
      </c>
      <c r="AO424" s="98">
        <f t="shared" si="269"/>
        <v>1.5678470127805744</v>
      </c>
      <c r="AP424" s="168" t="str">
        <f t="shared" si="270"/>
        <v>-3.67035833869931E-07+0.000124449669712607i</v>
      </c>
      <c r="AQ424" s="98">
        <f t="shared" si="271"/>
        <v>-78.100087257644091</v>
      </c>
      <c r="AR424" s="169">
        <f t="shared" si="272"/>
        <v>90.16898030574491</v>
      </c>
      <c r="AS424" s="168" t="str">
        <f t="shared" si="273"/>
        <v>0.000166391534599352+0.000118769997081699i</v>
      </c>
      <c r="AT424" s="190">
        <f t="shared" si="274"/>
        <v>-73.789021165652372</v>
      </c>
      <c r="AU424" s="169">
        <f t="shared" si="275"/>
        <v>35.519182052367768</v>
      </c>
      <c r="AV424" s="225"/>
      <c r="AX424">
        <f t="shared" si="276"/>
        <v>0</v>
      </c>
      <c r="AY424">
        <f t="shared" si="277"/>
        <v>0</v>
      </c>
    </row>
    <row r="425" spans="14:51" x14ac:dyDescent="0.3">
      <c r="N425" s="170">
        <v>7</v>
      </c>
      <c r="O425" s="199">
        <f t="shared" si="278"/>
        <v>117489.75549395311</v>
      </c>
      <c r="P425" s="189" t="str">
        <f t="shared" si="244"/>
        <v>20.7142857142857</v>
      </c>
      <c r="Q425" s="160" t="str">
        <f t="shared" si="245"/>
        <v>1+168.733692677424i</v>
      </c>
      <c r="R425" s="160">
        <f t="shared" si="253"/>
        <v>168.73665590072409</v>
      </c>
      <c r="S425" s="160">
        <f t="shared" si="254"/>
        <v>1.5648698975407045</v>
      </c>
      <c r="T425" s="160" t="str">
        <f t="shared" si="246"/>
        <v>1+0.0147641981092746i</v>
      </c>
      <c r="U425" s="160">
        <f t="shared" si="255"/>
        <v>1.0001089848340579</v>
      </c>
      <c r="V425" s="160">
        <f t="shared" si="256"/>
        <v>1.4763125475317584E-2</v>
      </c>
      <c r="W425" s="98" t="str">
        <f t="shared" si="247"/>
        <v>1-3.87560200368456i</v>
      </c>
      <c r="X425" s="160">
        <f t="shared" si="257"/>
        <v>4.0025355577388408</v>
      </c>
      <c r="Y425" s="160">
        <f t="shared" si="258"/>
        <v>-1.318279634065384</v>
      </c>
      <c r="Z425" s="98" t="str">
        <f t="shared" si="248"/>
        <v>-0.15125561569015-0.289186356793414i</v>
      </c>
      <c r="AA425" s="160">
        <f t="shared" si="259"/>
        <v>0.32635411784326251</v>
      </c>
      <c r="AB425" s="160">
        <f t="shared" si="260"/>
        <v>-2.0527044569055626</v>
      </c>
      <c r="AC425" s="171" t="str">
        <f t="shared" si="261"/>
        <v>1.03200140644278-1.09647958115816i</v>
      </c>
      <c r="AD425" s="190">
        <f t="shared" si="262"/>
        <v>3.5550791053234838</v>
      </c>
      <c r="AE425" s="169">
        <f t="shared" si="263"/>
        <v>-46.735133115608676</v>
      </c>
      <c r="AF425" s="98" t="str">
        <f t="shared" si="249"/>
        <v>-0.0000897803247373448</v>
      </c>
      <c r="AG425" s="98" t="str">
        <f t="shared" si="250"/>
        <v>1.47641981092746i</v>
      </c>
      <c r="AH425" s="98">
        <f t="shared" si="264"/>
        <v>1.47641981092746</v>
      </c>
      <c r="AI425" s="98">
        <f t="shared" si="265"/>
        <v>1.5707963267948966</v>
      </c>
      <c r="AJ425" s="98" t="str">
        <f t="shared" si="251"/>
        <v>1+173.479327783976i</v>
      </c>
      <c r="AK425" s="98">
        <f t="shared" si="266"/>
        <v>173.48220994782201</v>
      </c>
      <c r="AL425" s="98">
        <f t="shared" si="267"/>
        <v>1.5650320150640058</v>
      </c>
      <c r="AM425" s="98" t="str">
        <f t="shared" si="252"/>
        <v>1+346.958655567953i</v>
      </c>
      <c r="AN425" s="98">
        <f t="shared" si="268"/>
        <v>346.96009665885413</v>
      </c>
      <c r="AO425" s="98">
        <f t="shared" si="269"/>
        <v>1.5679141469876954</v>
      </c>
      <c r="AP425" s="168" t="str">
        <f t="shared" si="270"/>
        <v>-3.50517049036586E-07+0.000121616944599296i</v>
      </c>
      <c r="AQ425" s="98">
        <f t="shared" si="271"/>
        <v>-78.300082157109387</v>
      </c>
      <c r="AR425" s="169">
        <f t="shared" si="272"/>
        <v>90.165133995227322</v>
      </c>
      <c r="AS425" s="168" t="str">
        <f t="shared" si="273"/>
        <v>0.000132988762388383+0.000125893192660864i</v>
      </c>
      <c r="AT425" s="190">
        <f t="shared" si="274"/>
        <v>-74.745003051785901</v>
      </c>
      <c r="AU425" s="169">
        <f t="shared" si="275"/>
        <v>43.430000879618824</v>
      </c>
      <c r="AV425" s="225"/>
      <c r="AX425">
        <f t="shared" si="276"/>
        <v>0</v>
      </c>
      <c r="AY425">
        <f t="shared" si="277"/>
        <v>0</v>
      </c>
    </row>
    <row r="426" spans="14:51" x14ac:dyDescent="0.3">
      <c r="N426" s="170">
        <v>8</v>
      </c>
      <c r="O426" s="199">
        <f t="shared" si="278"/>
        <v>120226.44346174144</v>
      </c>
      <c r="P426" s="189" t="str">
        <f t="shared" si="244"/>
        <v>20.7142857142857</v>
      </c>
      <c r="Q426" s="160" t="str">
        <f t="shared" si="245"/>
        <v>1+172.664005278462i</v>
      </c>
      <c r="R426" s="160">
        <f t="shared" si="253"/>
        <v>172.66690105170926</v>
      </c>
      <c r="S426" s="160">
        <f t="shared" si="254"/>
        <v>1.5650047964886553</v>
      </c>
      <c r="T426" s="160" t="str">
        <f t="shared" si="246"/>
        <v>1+0.0151081004618654i</v>
      </c>
      <c r="U426" s="160">
        <f t="shared" si="255"/>
        <v>1.000114120838</v>
      </c>
      <c r="V426" s="160">
        <f t="shared" si="256"/>
        <v>1.5106951120956127E-2</v>
      </c>
      <c r="W426" s="98" t="str">
        <f t="shared" si="247"/>
        <v>1-3.96587637123966i</v>
      </c>
      <c r="X426" s="160">
        <f t="shared" si="257"/>
        <v>4.0900092166102819</v>
      </c>
      <c r="Y426" s="160">
        <f t="shared" si="258"/>
        <v>-1.3237941471330901</v>
      </c>
      <c r="Z426" s="98" t="str">
        <f t="shared" si="248"/>
        <v>-0.20551262129308-0.295922372369903i</v>
      </c>
      <c r="AA426" s="160">
        <f t="shared" si="259"/>
        <v>0.36028528693215384</v>
      </c>
      <c r="AB426" s="160">
        <f t="shared" si="260"/>
        <v>-2.1778090086856086</v>
      </c>
      <c r="AC426" s="171" t="str">
        <f t="shared" si="261"/>
        <v>1.04534525779392-0.873150582164838i</v>
      </c>
      <c r="AD426" s="190">
        <f t="shared" si="262"/>
        <v>2.6837637294408729</v>
      </c>
      <c r="AE426" s="169">
        <f t="shared" si="263"/>
        <v>-39.871158007580313</v>
      </c>
      <c r="AF426" s="98" t="str">
        <f t="shared" si="249"/>
        <v>-0.0000897803247373448</v>
      </c>
      <c r="AG426" s="98" t="str">
        <f t="shared" si="250"/>
        <v>1.51081004618654i</v>
      </c>
      <c r="AH426" s="98">
        <f t="shared" si="264"/>
        <v>1.5108100461865399</v>
      </c>
      <c r="AI426" s="98">
        <f t="shared" si="265"/>
        <v>1.5707963267948966</v>
      </c>
      <c r="AJ426" s="98" t="str">
        <f t="shared" si="251"/>
        <v>1+177.520180426919i</v>
      </c>
      <c r="AK426" s="98">
        <f t="shared" si="266"/>
        <v>177.52299698575925</v>
      </c>
      <c r="AL426" s="98">
        <f t="shared" si="267"/>
        <v>1.5651632240102418</v>
      </c>
      <c r="AM426" s="98" t="str">
        <f t="shared" si="252"/>
        <v>1+355.040360853838i</v>
      </c>
      <c r="AN426" s="98">
        <f t="shared" si="268"/>
        <v>355.04176914163708</v>
      </c>
      <c r="AO426" s="98">
        <f t="shared" si="269"/>
        <v>1.5679797530587976</v>
      </c>
      <c r="AP426" s="168" t="str">
        <f t="shared" si="270"/>
        <v>-3.34741683696122E-07+0.000118848693826548i</v>
      </c>
      <c r="AQ426" s="98">
        <f t="shared" si="271"/>
        <v>-78.500077286127137</v>
      </c>
      <c r="AR426" s="169">
        <f t="shared" si="272"/>
        <v>90.161375227358235</v>
      </c>
      <c r="AS426" s="168" t="str">
        <f t="shared" si="273"/>
        <v>0.000103422885572543+0.000124530198382578i</v>
      </c>
      <c r="AT426" s="190">
        <f t="shared" si="274"/>
        <v>-75.816313556686254</v>
      </c>
      <c r="AU426" s="169">
        <f t="shared" si="275"/>
        <v>50.2902172197781</v>
      </c>
      <c r="AV426" s="225"/>
      <c r="AX426">
        <f t="shared" si="276"/>
        <v>0</v>
      </c>
      <c r="AY426">
        <f t="shared" si="277"/>
        <v>0</v>
      </c>
    </row>
    <row r="427" spans="14:51" x14ac:dyDescent="0.3">
      <c r="N427" s="170">
        <v>9</v>
      </c>
      <c r="O427" s="199">
        <f t="shared" si="278"/>
        <v>123026.87708123829</v>
      </c>
      <c r="P427" s="189" t="str">
        <f t="shared" si="244"/>
        <v>20.7142857142857</v>
      </c>
      <c r="Q427" s="160" t="str">
        <f t="shared" si="245"/>
        <v>1+176.685866620577i</v>
      </c>
      <c r="R427" s="160">
        <f t="shared" si="253"/>
        <v>176.68869647904569</v>
      </c>
      <c r="S427" s="160">
        <f t="shared" si="254"/>
        <v>1.565136624965342</v>
      </c>
      <c r="T427" s="160" t="str">
        <f t="shared" si="246"/>
        <v>1+0.0154600133293005i</v>
      </c>
      <c r="U427" s="160">
        <f t="shared" si="255"/>
        <v>1.0001194988660815</v>
      </c>
      <c r="V427" s="160">
        <f t="shared" si="256"/>
        <v>1.5458781796275195E-2</v>
      </c>
      <c r="W427" s="98" t="str">
        <f t="shared" si="247"/>
        <v>1-4.05825349894137i</v>
      </c>
      <c r="X427" s="160">
        <f t="shared" si="257"/>
        <v>4.1796437003254079</v>
      </c>
      <c r="Y427" s="160">
        <f t="shared" si="258"/>
        <v>-1.3291979938340199</v>
      </c>
      <c r="Z427" s="98" t="str">
        <f t="shared" si="248"/>
        <v>-0.26232668079165-0.302815289905217i</v>
      </c>
      <c r="AA427" s="160">
        <f t="shared" si="259"/>
        <v>0.40063997211404762</v>
      </c>
      <c r="AB427" s="160">
        <f t="shared" si="260"/>
        <v>-2.2846734369819193</v>
      </c>
      <c r="AC427" s="171" t="str">
        <f t="shared" si="261"/>
        <v>1.01353917239692-0.684807077966696i</v>
      </c>
      <c r="AD427" s="190">
        <f t="shared" si="262"/>
        <v>1.7499614881610623</v>
      </c>
      <c r="AE427" s="169">
        <f t="shared" si="263"/>
        <v>-34.045289697757227</v>
      </c>
      <c r="AF427" s="98" t="str">
        <f t="shared" si="249"/>
        <v>-0.0000897803247373448</v>
      </c>
      <c r="AG427" s="98" t="str">
        <f t="shared" si="250"/>
        <v>1.54600133293005i</v>
      </c>
      <c r="AH427" s="98">
        <f t="shared" si="264"/>
        <v>1.5460013329300499</v>
      </c>
      <c r="AI427" s="98">
        <f t="shared" si="265"/>
        <v>1.5707963267948966</v>
      </c>
      <c r="AJ427" s="98" t="str">
        <f t="shared" si="251"/>
        <v>1+181.655156619281i</v>
      </c>
      <c r="AK427" s="98">
        <f t="shared" si="266"/>
        <v>181.65790906639742</v>
      </c>
      <c r="AL427" s="98">
        <f t="shared" si="267"/>
        <v>1.5652914464636458</v>
      </c>
      <c r="AM427" s="98" t="str">
        <f t="shared" si="252"/>
        <v>1+363.310313238563i</v>
      </c>
      <c r="AN427" s="98">
        <f t="shared" si="268"/>
        <v>363.31168946994097</v>
      </c>
      <c r="AO427" s="98">
        <f t="shared" si="269"/>
        <v>1.5680438657768279</v>
      </c>
      <c r="AP427" s="168" t="str">
        <f t="shared" si="270"/>
        <v>-3.19676282708859E-07+0.000116143450203351i</v>
      </c>
      <c r="AQ427" s="98">
        <f t="shared" si="271"/>
        <v>-78.700072634366776</v>
      </c>
      <c r="AR427" s="169">
        <f t="shared" si="272"/>
        <v>90.157702010095633</v>
      </c>
      <c r="AS427" s="168" t="str">
        <f t="shared" si="273"/>
        <v>0.0000792118523237156+0.000117934852979484i</v>
      </c>
      <c r="AT427" s="190">
        <f t="shared" si="274"/>
        <v>-76.950111146205728</v>
      </c>
      <c r="AU427" s="169">
        <f t="shared" si="275"/>
        <v>56.112412312338321</v>
      </c>
      <c r="AV427" s="225"/>
      <c r="AX427">
        <f t="shared" si="276"/>
        <v>0</v>
      </c>
      <c r="AY427">
        <f t="shared" si="277"/>
        <v>0</v>
      </c>
    </row>
    <row r="428" spans="14:51" x14ac:dyDescent="0.3">
      <c r="N428" s="170">
        <v>10</v>
      </c>
      <c r="O428" s="199">
        <f t="shared" si="278"/>
        <v>125892.54117941685</v>
      </c>
      <c r="P428" s="189" t="str">
        <f t="shared" si="244"/>
        <v>20.7142857142857</v>
      </c>
      <c r="Q428" s="160" t="str">
        <f t="shared" si="245"/>
        <v>1+180.801409147889i</v>
      </c>
      <c r="R428" s="160">
        <f t="shared" si="253"/>
        <v>180.80417459191133</v>
      </c>
      <c r="S428" s="160">
        <f t="shared" si="254"/>
        <v>1.5652654528496293</v>
      </c>
      <c r="T428" s="160" t="str">
        <f t="shared" si="246"/>
        <v>1+0.0158201233004403i</v>
      </c>
      <c r="U428" s="160">
        <f t="shared" si="255"/>
        <v>1.0001251303218219</v>
      </c>
      <c r="V428" s="160">
        <f t="shared" si="256"/>
        <v>1.5818803697945499E-2</v>
      </c>
      <c r="W428" s="98" t="str">
        <f t="shared" si="247"/>
        <v>1-4.15278236636556i</v>
      </c>
      <c r="X428" s="160">
        <f t="shared" si="257"/>
        <v>4.2714870223842123</v>
      </c>
      <c r="Y428" s="160">
        <f t="shared" si="258"/>
        <v>-1.3344927764124388</v>
      </c>
      <c r="Z428" s="98" t="str">
        <f t="shared" si="248"/>
        <v>-0.32181830442327-0.309868764115474i</v>
      </c>
      <c r="AA428" s="160">
        <f t="shared" si="259"/>
        <v>0.44675012259239472</v>
      </c>
      <c r="AB428" s="160">
        <f t="shared" si="260"/>
        <v>-2.3751091012970513</v>
      </c>
      <c r="AC428" s="171" t="str">
        <f t="shared" si="261"/>
        <v>0.956755877969783-0.533701460328994i</v>
      </c>
      <c r="AD428" s="190">
        <f t="shared" si="262"/>
        <v>0.79260518830945026</v>
      </c>
      <c r="AE428" s="169">
        <f t="shared" si="263"/>
        <v>-29.153830068776237</v>
      </c>
      <c r="AF428" s="98" t="str">
        <f t="shared" si="249"/>
        <v>-0.0000897803247373448</v>
      </c>
      <c r="AG428" s="98" t="str">
        <f t="shared" si="250"/>
        <v>1.58201233004403i</v>
      </c>
      <c r="AH428" s="98">
        <f t="shared" si="264"/>
        <v>1.5820123300440301</v>
      </c>
      <c r="AI428" s="98">
        <f t="shared" si="265"/>
        <v>1.5707963267948966</v>
      </c>
      <c r="AJ428" s="98" t="str">
        <f t="shared" si="251"/>
        <v>1+185.886448780173i</v>
      </c>
      <c r="AK428" s="98">
        <f t="shared" si="266"/>
        <v>185.88913857486102</v>
      </c>
      <c r="AL428" s="98">
        <f t="shared" si="267"/>
        <v>1.5654167503925851</v>
      </c>
      <c r="AM428" s="98" t="str">
        <f t="shared" si="252"/>
        <v>1+371.772897560347i</v>
      </c>
      <c r="AN428" s="98">
        <f t="shared" si="268"/>
        <v>371.77424246498879</v>
      </c>
      <c r="AO428" s="98">
        <f t="shared" si="269"/>
        <v>1.5681065191330885</v>
      </c>
      <c r="AP428" s="168" t="str">
        <f t="shared" si="270"/>
        <v>-3.05288896290577E-07+0.000113499779907733i</v>
      </c>
      <c r="AQ428" s="98">
        <f t="shared" si="271"/>
        <v>-78.90006819196239</v>
      </c>
      <c r="AR428" s="169">
        <f t="shared" si="272"/>
        <v>90.154112396697059</v>
      </c>
      <c r="AS428" s="168" t="str">
        <f t="shared" si="273"/>
        <v>0.0000602829113377716+0.000108754514704773i</v>
      </c>
      <c r="AT428" s="190">
        <f t="shared" si="274"/>
        <v>-78.107463003652924</v>
      </c>
      <c r="AU428" s="169">
        <f t="shared" si="275"/>
        <v>61.000282327920893</v>
      </c>
      <c r="AV428" s="225"/>
      <c r="AX428">
        <f t="shared" si="276"/>
        <v>0</v>
      </c>
      <c r="AY428">
        <f t="shared" si="277"/>
        <v>0</v>
      </c>
    </row>
    <row r="429" spans="14:51" x14ac:dyDescent="0.3">
      <c r="N429" s="170">
        <v>11</v>
      </c>
      <c r="O429" s="199">
        <f t="shared" si="278"/>
        <v>128824.95516931375</v>
      </c>
      <c r="P429" s="189" t="str">
        <f t="shared" si="244"/>
        <v>20.7142857142857</v>
      </c>
      <c r="Q429" s="160" t="str">
        <f t="shared" si="245"/>
        <v>1+185.01281497552i</v>
      </c>
      <c r="R429" s="160">
        <f t="shared" si="253"/>
        <v>185.0155174712813</v>
      </c>
      <c r="S429" s="160">
        <f t="shared" si="254"/>
        <v>1.5653913484306521</v>
      </c>
      <c r="T429" s="160" t="str">
        <f t="shared" si="246"/>
        <v>1+0.016188621310358i</v>
      </c>
      <c r="U429" s="160">
        <f t="shared" si="255"/>
        <v>1.0001310271459085</v>
      </c>
      <c r="V429" s="160">
        <f t="shared" si="256"/>
        <v>1.6187207340814292E-2</v>
      </c>
      <c r="W429" s="98" t="str">
        <f t="shared" si="247"/>
        <v>1-4.24951309396897i</v>
      </c>
      <c r="X429" s="160">
        <f t="shared" si="257"/>
        <v>4.3655883378776936</v>
      </c>
      <c r="Y429" s="160">
        <f t="shared" si="258"/>
        <v>-1.3396801142144339</v>
      </c>
      <c r="Z429" s="98" t="str">
        <f t="shared" si="248"/>
        <v>-0.38411368189785-0.317086534846063i</v>
      </c>
      <c r="AA429" s="160">
        <f t="shared" si="259"/>
        <v>0.49808351829969866</v>
      </c>
      <c r="AB429" s="160">
        <f t="shared" si="260"/>
        <v>-2.4514941044923417</v>
      </c>
      <c r="AC429" s="171" t="str">
        <f t="shared" si="261"/>
        <v>0.889038370611067-0.415710920441625i</v>
      </c>
      <c r="AD429" s="190">
        <f t="shared" si="262"/>
        <v>-0.16281364631978312</v>
      </c>
      <c r="AE429" s="169">
        <f t="shared" si="263"/>
        <v>-25.060609642114219</v>
      </c>
      <c r="AF429" s="98" t="str">
        <f t="shared" si="249"/>
        <v>-0.0000897803247373448</v>
      </c>
      <c r="AG429" s="98" t="str">
        <f t="shared" si="250"/>
        <v>1.6188621310358i</v>
      </c>
      <c r="AH429" s="98">
        <f t="shared" si="264"/>
        <v>1.6188621310358</v>
      </c>
      <c r="AI429" s="98">
        <f t="shared" si="265"/>
        <v>1.5707963267948966</v>
      </c>
      <c r="AJ429" s="98" t="str">
        <f t="shared" si="251"/>
        <v>1+190.216300396707i</v>
      </c>
      <c r="AK429" s="98">
        <f t="shared" si="266"/>
        <v>190.21892896504878</v>
      </c>
      <c r="AL429" s="98">
        <f t="shared" si="267"/>
        <v>1.5655392022191135</v>
      </c>
      <c r="AM429" s="98" t="str">
        <f t="shared" si="252"/>
        <v>1+380.432600793414i</v>
      </c>
      <c r="AN429" s="98">
        <f t="shared" si="268"/>
        <v>380.43391508439555</v>
      </c>
      <c r="AO429" s="98">
        <f t="shared" si="269"/>
        <v>1.5681677463452497</v>
      </c>
      <c r="AP429" s="168" t="str">
        <f t="shared" si="270"/>
        <v>-2.91549012293267E-07+0.000110916281729076i</v>
      </c>
      <c r="AQ429" s="98">
        <f t="shared" si="271"/>
        <v>-79.100063949492053</v>
      </c>
      <c r="AR429" s="169">
        <f t="shared" si="272"/>
        <v>90.150604484691513</v>
      </c>
      <c r="AS429" s="168" t="str">
        <f t="shared" si="273"/>
        <v>0.0000458499113107143+0.0000987300304909101i</v>
      </c>
      <c r="AT429" s="190">
        <f t="shared" si="274"/>
        <v>-79.262877595811844</v>
      </c>
      <c r="AU429" s="169">
        <f t="shared" si="275"/>
        <v>65.089994842577298</v>
      </c>
      <c r="AV429" s="225"/>
      <c r="AX429">
        <f t="shared" si="276"/>
        <v>0</v>
      </c>
      <c r="AY429">
        <f t="shared" si="277"/>
        <v>0</v>
      </c>
    </row>
    <row r="430" spans="14:51" x14ac:dyDescent="0.3">
      <c r="N430" s="170">
        <v>12</v>
      </c>
      <c r="O430" s="199">
        <f t="shared" si="278"/>
        <v>131825.67385564081</v>
      </c>
      <c r="P430" s="189" t="str">
        <f t="shared" si="244"/>
        <v>20.7142857142857</v>
      </c>
      <c r="Q430" s="160" t="str">
        <f t="shared" si="245"/>
        <v>1+189.322317046585i</v>
      </c>
      <c r="R430" s="160">
        <f t="shared" si="253"/>
        <v>189.32495802690053</v>
      </c>
      <c r="S430" s="160">
        <f t="shared" si="254"/>
        <v>1.5655143784439414</v>
      </c>
      <c r="T430" s="160" t="str">
        <f t="shared" si="246"/>
        <v>1+0.0165657027415762i</v>
      </c>
      <c r="U430" s="160">
        <f t="shared" si="255"/>
        <v>1.0001372018414885</v>
      </c>
      <c r="V430" s="160">
        <f t="shared" si="256"/>
        <v>1.6564187657138376E-2</v>
      </c>
      <c r="W430" s="98" t="str">
        <f t="shared" si="247"/>
        <v>1-4.34849696966374i</v>
      </c>
      <c r="X430" s="160">
        <f t="shared" si="257"/>
        <v>4.4619979712203737</v>
      </c>
      <c r="Y430" s="160">
        <f t="shared" si="258"/>
        <v>-1.3447616404772669</v>
      </c>
      <c r="Z430" s="98" t="str">
        <f t="shared" si="248"/>
        <v>-0.44934495006307-0.324472429054562i</v>
      </c>
      <c r="AA430" s="160">
        <f t="shared" si="259"/>
        <v>0.55425016135654004</v>
      </c>
      <c r="AB430" s="160">
        <f t="shared" si="260"/>
        <v>-2.5161872980484334</v>
      </c>
      <c r="AC430" s="171" t="str">
        <f t="shared" si="261"/>
        <v>0.818902094725806-0.324731671630814i</v>
      </c>
      <c r="AD430" s="190">
        <f t="shared" si="262"/>
        <v>-1.1010956963182619</v>
      </c>
      <c r="AE430" s="169">
        <f t="shared" si="263"/>
        <v>-21.630562415902425</v>
      </c>
      <c r="AF430" s="98" t="str">
        <f t="shared" si="249"/>
        <v>-0.0000897803247373448</v>
      </c>
      <c r="AG430" s="98" t="str">
        <f t="shared" si="250"/>
        <v>1.65657027415762i</v>
      </c>
      <c r="AH430" s="98">
        <f t="shared" si="264"/>
        <v>1.65657027415762</v>
      </c>
      <c r="AI430" s="98">
        <f t="shared" si="265"/>
        <v>1.5707963267948966</v>
      </c>
      <c r="AJ430" s="98" t="str">
        <f t="shared" si="251"/>
        <v>1+194.64700721352i</v>
      </c>
      <c r="AK430" s="98">
        <f t="shared" si="266"/>
        <v>194.64957594914026</v>
      </c>
      <c r="AL430" s="98">
        <f t="shared" si="267"/>
        <v>1.5656588668541125</v>
      </c>
      <c r="AM430" s="98" t="str">
        <f t="shared" si="252"/>
        <v>1+389.294014427042i</v>
      </c>
      <c r="AN430" s="98">
        <f t="shared" si="268"/>
        <v>389.29529880120816</v>
      </c>
      <c r="AO430" s="98">
        <f t="shared" si="269"/>
        <v>1.5682275798749525</v>
      </c>
      <c r="AP430" s="168" t="str">
        <f t="shared" si="270"/>
        <v>-2.7842749153083E-07+0.000108391586327555i</v>
      </c>
      <c r="AQ430" s="98">
        <f t="shared" si="271"/>
        <v>-79.300059897957823</v>
      </c>
      <c r="AR430" s="169">
        <f t="shared" si="272"/>
        <v>90.147176414874437</v>
      </c>
      <c r="AS430" s="168" t="str">
        <f t="shared" si="273"/>
        <v>0.0000349701761628188+0.0000888525113190406i</v>
      </c>
      <c r="AT430" s="190">
        <f t="shared" si="274"/>
        <v>-80.401155594276076</v>
      </c>
      <c r="AU430" s="169">
        <f t="shared" si="275"/>
        <v>68.516613998972005</v>
      </c>
      <c r="AV430" s="225"/>
      <c r="AX430">
        <f t="shared" si="276"/>
        <v>0</v>
      </c>
      <c r="AY430">
        <f t="shared" si="277"/>
        <v>0</v>
      </c>
    </row>
    <row r="431" spans="14:51" x14ac:dyDescent="0.3">
      <c r="N431" s="170">
        <v>13</v>
      </c>
      <c r="O431" s="199">
        <f t="shared" si="278"/>
        <v>134896.28825916545</v>
      </c>
      <c r="P431" s="189" t="str">
        <f t="shared" si="244"/>
        <v>20.7142857142857</v>
      </c>
      <c r="Q431" s="160" t="str">
        <f t="shared" si="245"/>
        <v>1+193.732200316126i</v>
      </c>
      <c r="R431" s="160">
        <f t="shared" si="253"/>
        <v>193.7347811812003</v>
      </c>
      <c r="S431" s="160">
        <f t="shared" si="254"/>
        <v>1.5656346081067323</v>
      </c>
      <c r="T431" s="160" t="str">
        <f t="shared" si="246"/>
        <v>1+0.016951567527661i</v>
      </c>
      <c r="U431" s="160">
        <f t="shared" si="255"/>
        <v>1.0001436675006472</v>
      </c>
      <c r="V431" s="160">
        <f t="shared" si="256"/>
        <v>1.6949944098031539E-2</v>
      </c>
      <c r="W431" s="98" t="str">
        <f t="shared" si="247"/>
        <v>1-4.449786476011i</v>
      </c>
      <c r="X431" s="160">
        <f t="shared" si="257"/>
        <v>4.5607674444209927</v>
      </c>
      <c r="Y431" s="160">
        <f t="shared" si="258"/>
        <v>-1.3497389993083202</v>
      </c>
      <c r="Z431" s="98" t="str">
        <f t="shared" si="248"/>
        <v>-0.51765047318445-0.332030362839848i</v>
      </c>
      <c r="AA431" s="160">
        <f t="shared" si="259"/>
        <v>0.61498469431006664</v>
      </c>
      <c r="AB431" s="160">
        <f t="shared" si="260"/>
        <v>-2.5712741076311016</v>
      </c>
      <c r="AC431" s="171" t="str">
        <f t="shared" si="261"/>
        <v>0.750984552282098-0.254841424238594i</v>
      </c>
      <c r="AD431" s="190">
        <f t="shared" si="262"/>
        <v>-2.0140324819979196</v>
      </c>
      <c r="AE431" s="169">
        <f t="shared" si="263"/>
        <v>-18.74428881038331</v>
      </c>
      <c r="AF431" s="98" t="str">
        <f t="shared" si="249"/>
        <v>-0.0000897803247373448</v>
      </c>
      <c r="AG431" s="98" t="str">
        <f t="shared" si="250"/>
        <v>1.6951567527661i</v>
      </c>
      <c r="AH431" s="98">
        <f t="shared" si="264"/>
        <v>1.6951567527661</v>
      </c>
      <c r="AI431" s="98">
        <f t="shared" si="265"/>
        <v>1.5707963267948966</v>
      </c>
      <c r="AJ431" s="98" t="str">
        <f t="shared" si="251"/>
        <v>1+199.180918450017i</v>
      </c>
      <c r="AK431" s="98">
        <f t="shared" si="266"/>
        <v>199.18342871482139</v>
      </c>
      <c r="AL431" s="98">
        <f t="shared" si="267"/>
        <v>1.5657758077316397</v>
      </c>
      <c r="AM431" s="98" t="str">
        <f t="shared" si="252"/>
        <v>1+398.361836900034i</v>
      </c>
      <c r="AN431" s="98">
        <f t="shared" si="268"/>
        <v>398.36309203836799</v>
      </c>
      <c r="AO431" s="98">
        <f t="shared" si="269"/>
        <v>1.5682860514450117</v>
      </c>
      <c r="AP431" s="168" t="str">
        <f t="shared" si="270"/>
        <v>-2.65896506012947E-07+0.000105924355510312i</v>
      </c>
      <c r="AQ431" s="98">
        <f t="shared" si="271"/>
        <v>-79.500056028766835</v>
      </c>
      <c r="AR431" s="169">
        <f t="shared" si="272"/>
        <v>90.143826370325456</v>
      </c>
      <c r="AS431" s="168" t="str">
        <f t="shared" si="273"/>
        <v>0.0000267942294512816+0.0000796153161429738i</v>
      </c>
      <c r="AT431" s="190">
        <f t="shared" si="274"/>
        <v>-81.514088510764751</v>
      </c>
      <c r="AU431" s="169">
        <f t="shared" si="275"/>
        <v>71.399537559942118</v>
      </c>
      <c r="AV431" s="225"/>
      <c r="AX431">
        <f t="shared" si="276"/>
        <v>0</v>
      </c>
      <c r="AY431">
        <f t="shared" si="277"/>
        <v>0</v>
      </c>
    </row>
    <row r="432" spans="14:51" x14ac:dyDescent="0.3">
      <c r="N432" s="170">
        <v>14</v>
      </c>
      <c r="O432" s="199">
        <f t="shared" si="278"/>
        <v>138038.42646028858</v>
      </c>
      <c r="P432" s="189" t="str">
        <f t="shared" si="244"/>
        <v>20.7142857142857</v>
      </c>
      <c r="Q432" s="160" t="str">
        <f t="shared" si="245"/>
        <v>1+198.244802962623i</v>
      </c>
      <c r="R432" s="160">
        <f t="shared" si="253"/>
        <v>198.247325080792</v>
      </c>
      <c r="S432" s="160">
        <f t="shared" si="254"/>
        <v>1.565752101152472</v>
      </c>
      <c r="T432" s="160" t="str">
        <f t="shared" si="246"/>
        <v>1+0.0173464202592295i</v>
      </c>
      <c r="U432" s="160">
        <f t="shared" si="255"/>
        <v>1.0001504378321342</v>
      </c>
      <c r="V432" s="160">
        <f t="shared" si="256"/>
        <v>1.7344680737172102E-2</v>
      </c>
      <c r="W432" s="98" t="str">
        <f t="shared" si="247"/>
        <v>1-4.55343531804773i</v>
      </c>
      <c r="X432" s="160">
        <f t="shared" si="257"/>
        <v>4.6619495059089209</v>
      </c>
      <c r="Y432" s="160">
        <f t="shared" si="258"/>
        <v>-1.3546138428479688</v>
      </c>
      <c r="Z432" s="98" t="str">
        <f t="shared" si="248"/>
        <v>-0.58917513643439-0.339764343518452i</v>
      </c>
      <c r="AA432" s="160">
        <f t="shared" si="259"/>
        <v>0.68012289368834411</v>
      </c>
      <c r="AB432" s="160">
        <f t="shared" si="260"/>
        <v>-2.6184982213209098</v>
      </c>
      <c r="AC432" s="171" t="str">
        <f t="shared" si="261"/>
        <v>0.687522477515376-0.201071295850308i</v>
      </c>
      <c r="AD432" s="190">
        <f t="shared" si="262"/>
        <v>-2.8978374628521548</v>
      </c>
      <c r="AE432" s="169">
        <f t="shared" si="263"/>
        <v>-16.301969477520817</v>
      </c>
      <c r="AF432" s="98" t="str">
        <f t="shared" si="249"/>
        <v>-0.0000897803247373448</v>
      </c>
      <c r="AG432" s="98" t="str">
        <f t="shared" si="250"/>
        <v>1.73464202592295i</v>
      </c>
      <c r="AH432" s="98">
        <f t="shared" si="264"/>
        <v>1.73464202592295</v>
      </c>
      <c r="AI432" s="98">
        <f t="shared" si="265"/>
        <v>1.5707963267948966</v>
      </c>
      <c r="AJ432" s="98" t="str">
        <f t="shared" si="251"/>
        <v>1+203.820438045947i</v>
      </c>
      <c r="AK432" s="98">
        <f t="shared" si="266"/>
        <v>203.822891170844</v>
      </c>
      <c r="AL432" s="98">
        <f t="shared" si="267"/>
        <v>1.5658900868424952</v>
      </c>
      <c r="AM432" s="98" t="str">
        <f t="shared" si="252"/>
        <v>1+407.640876091894i</v>
      </c>
      <c r="AN432" s="98">
        <f t="shared" si="268"/>
        <v>407.64210265987839</v>
      </c>
      <c r="AO432" s="98">
        <f t="shared" si="269"/>
        <v>1.5683431920562276</v>
      </c>
      <c r="AP432" s="168" t="str">
        <f t="shared" si="270"/>
        <v>-2.53929479956553E-07+0.000103513281524005i</v>
      </c>
      <c r="AQ432" s="98">
        <f t="shared" si="271"/>
        <v>-79.700052333712762</v>
      </c>
      <c r="AR432" s="169">
        <f t="shared" si="272"/>
        <v>90.140552575448396</v>
      </c>
      <c r="AS432" s="168" t="str">
        <f t="shared" si="273"/>
        <v>0.0000206389674285755+0.00007121876569872i</v>
      </c>
      <c r="AT432" s="190">
        <f t="shared" si="274"/>
        <v>-82.597889796564914</v>
      </c>
      <c r="AU432" s="169">
        <f t="shared" si="275"/>
        <v>73.838583097927597</v>
      </c>
      <c r="AV432" s="225"/>
      <c r="AX432">
        <f t="shared" si="276"/>
        <v>0</v>
      </c>
      <c r="AY432">
        <f t="shared" si="277"/>
        <v>0</v>
      </c>
    </row>
    <row r="433" spans="14:51" x14ac:dyDescent="0.3">
      <c r="N433" s="170">
        <v>15</v>
      </c>
      <c r="O433" s="199">
        <f t="shared" si="278"/>
        <v>141253.75446227577</v>
      </c>
      <c r="P433" s="189" t="str">
        <f t="shared" si="244"/>
        <v>20.7142857142857</v>
      </c>
      <c r="Q433" s="160" t="str">
        <f t="shared" si="245"/>
        <v>1+202.862517627731i</v>
      </c>
      <c r="R433" s="160">
        <f t="shared" si="253"/>
        <v>202.86498233618701</v>
      </c>
      <c r="S433" s="160">
        <f t="shared" si="254"/>
        <v>1.5658669198645454</v>
      </c>
      <c r="T433" s="160" t="str">
        <f t="shared" si="246"/>
        <v>1+0.0177504702924265i</v>
      </c>
      <c r="U433" s="160">
        <f t="shared" si="255"/>
        <v>1.0001575271903933</v>
      </c>
      <c r="V433" s="160">
        <f t="shared" si="256"/>
        <v>1.7748606376815333E-2</v>
      </c>
      <c r="W433" s="98" t="str">
        <f t="shared" si="247"/>
        <v>1-4.65949845176194i</v>
      </c>
      <c r="X433" s="160">
        <f t="shared" si="257"/>
        <v>4.7655981599345862</v>
      </c>
      <c r="Y433" s="160">
        <f t="shared" si="258"/>
        <v>-1.3593878286104237</v>
      </c>
      <c r="Z433" s="98" t="str">
        <f t="shared" si="248"/>
        <v>-0.66407065321314-0.347678471749304i</v>
      </c>
      <c r="AA433" s="160">
        <f t="shared" si="259"/>
        <v>0.74957998384219005</v>
      </c>
      <c r="AB433" s="160">
        <f t="shared" si="260"/>
        <v>-2.6592779679712315</v>
      </c>
      <c r="AC433" s="171" t="str">
        <f t="shared" si="261"/>
        <v>0.629377195441891-0.159519064373535i</v>
      </c>
      <c r="AD433" s="190">
        <f t="shared" si="262"/>
        <v>-3.751385581299493</v>
      </c>
      <c r="AE433" s="169">
        <f t="shared" si="263"/>
        <v>-14.222426733711108</v>
      </c>
      <c r="AF433" s="98" t="str">
        <f t="shared" si="249"/>
        <v>-0.0000897803247373448</v>
      </c>
      <c r="AG433" s="98" t="str">
        <f t="shared" si="250"/>
        <v>1.77504702924265i</v>
      </c>
      <c r="AH433" s="98">
        <f t="shared" si="264"/>
        <v>1.7750470292426499</v>
      </c>
      <c r="AI433" s="98">
        <f t="shared" si="265"/>
        <v>1.5707963267948966</v>
      </c>
      <c r="AJ433" s="98" t="str">
        <f t="shared" si="251"/>
        <v>1+208.568025936011i</v>
      </c>
      <c r="AK433" s="98">
        <f t="shared" si="266"/>
        <v>208.57042322161726</v>
      </c>
      <c r="AL433" s="98">
        <f t="shared" si="267"/>
        <v>1.5660017647670299</v>
      </c>
      <c r="AM433" s="98" t="str">
        <f t="shared" si="252"/>
        <v>1+417.136051872023i</v>
      </c>
      <c r="AN433" s="98">
        <f t="shared" si="268"/>
        <v>417.13725051999262</v>
      </c>
      <c r="AO433" s="98">
        <f t="shared" si="269"/>
        <v>1.568399032003815</v>
      </c>
      <c r="AP433" s="168" t="str">
        <f t="shared" si="270"/>
        <v>-2.42501033449944E-07+0.00010115708636335i</v>
      </c>
      <c r="AQ433" s="98">
        <f t="shared" si="271"/>
        <v>-79.900048804958686</v>
      </c>
      <c r="AR433" s="169">
        <f t="shared" si="272"/>
        <v>90.137353295032767</v>
      </c>
      <c r="AS433" s="168" t="str">
        <f t="shared" si="273"/>
        <v>0.00001598385915111+0.0000637046468524039i</v>
      </c>
      <c r="AT433" s="190">
        <f t="shared" si="274"/>
        <v>-83.651434386258188</v>
      </c>
      <c r="AU433" s="169">
        <f t="shared" si="275"/>
        <v>75.914926561321636</v>
      </c>
      <c r="AV433" s="225"/>
      <c r="AX433">
        <f t="shared" si="276"/>
        <v>0</v>
      </c>
      <c r="AY433">
        <f t="shared" si="277"/>
        <v>0</v>
      </c>
    </row>
    <row r="434" spans="14:51" x14ac:dyDescent="0.3">
      <c r="N434" s="170">
        <v>16</v>
      </c>
      <c r="O434" s="199">
        <f t="shared" si="278"/>
        <v>144543.97707459307</v>
      </c>
      <c r="P434" s="189" t="str">
        <f t="shared" si="244"/>
        <v>20.7142857142857</v>
      </c>
      <c r="Q434" s="160" t="str">
        <f t="shared" si="245"/>
        <v>1+207.587792684888i</v>
      </c>
      <c r="R434" s="160">
        <f t="shared" si="253"/>
        <v>207.59020129038856</v>
      </c>
      <c r="S434" s="160">
        <f t="shared" si="254"/>
        <v>1.565979125109237</v>
      </c>
      <c r="T434" s="160" t="str">
        <f t="shared" si="246"/>
        <v>1+0.0181639318599277i</v>
      </c>
      <c r="U434" s="160">
        <f t="shared" si="255"/>
        <v>1.0001649506059549</v>
      </c>
      <c r="V434" s="160">
        <f t="shared" si="256"/>
        <v>1.8161934656156481E-2</v>
      </c>
      <c r="W434" s="98" t="str">
        <f t="shared" si="247"/>
        <v>1-4.76803211323101i</v>
      </c>
      <c r="X434" s="160">
        <f t="shared" si="257"/>
        <v>4.8717686965620786</v>
      </c>
      <c r="Y434" s="160">
        <f t="shared" si="258"/>
        <v>-1.3640626169963461</v>
      </c>
      <c r="Z434" s="98" t="str">
        <f t="shared" si="248"/>
        <v>-0.74249588695319-0.355776943707945i</v>
      </c>
      <c r="AA434" s="160">
        <f t="shared" si="259"/>
        <v>0.82333308922730086</v>
      </c>
      <c r="AB434" s="160">
        <f t="shared" si="260"/>
        <v>-2.6947527431849534</v>
      </c>
      <c r="AC434" s="171" t="str">
        <f t="shared" si="261"/>
        <v>0.576669717443345-0.127216079564285i</v>
      </c>
      <c r="AD434" s="190">
        <f t="shared" si="262"/>
        <v>-4.5750833160808044</v>
      </c>
      <c r="AE434" s="169">
        <f t="shared" si="263"/>
        <v>-12.440464400420073</v>
      </c>
      <c r="AF434" s="98" t="str">
        <f t="shared" si="249"/>
        <v>-0.0000897803247373448</v>
      </c>
      <c r="AG434" s="98" t="str">
        <f t="shared" si="250"/>
        <v>1.81639318599277i</v>
      </c>
      <c r="AH434" s="98">
        <f t="shared" si="264"/>
        <v>1.81639318599277</v>
      </c>
      <c r="AI434" s="98">
        <f t="shared" si="265"/>
        <v>1.5707963267948966</v>
      </c>
      <c r="AJ434" s="98" t="str">
        <f t="shared" si="251"/>
        <v>1+213.426199354151i</v>
      </c>
      <c r="AK434" s="98">
        <f t="shared" si="266"/>
        <v>213.42854207148068</v>
      </c>
      <c r="AL434" s="98">
        <f t="shared" si="267"/>
        <v>1.5661109007072085</v>
      </c>
      <c r="AM434" s="98" t="str">
        <f t="shared" si="252"/>
        <v>1+426.852398708302i</v>
      </c>
      <c r="AN434" s="98">
        <f t="shared" si="268"/>
        <v>426.85357007178851</v>
      </c>
      <c r="AO434" s="98">
        <f t="shared" si="269"/>
        <v>1.5684536008934595</v>
      </c>
      <c r="AP434" s="168" t="str">
        <f t="shared" si="270"/>
        <v>-2.31586928650457E-07+0.0000988545210953133i</v>
      </c>
      <c r="AQ434" s="98">
        <f t="shared" si="271"/>
        <v>-80.100045435020135</v>
      </c>
      <c r="AR434" s="169">
        <f t="shared" si="272"/>
        <v>90.134226833336712</v>
      </c>
      <c r="AS434" s="168" t="str">
        <f t="shared" si="273"/>
        <v>0.0000124423354522422+0.0000570358703291728i</v>
      </c>
      <c r="AT434" s="190">
        <f t="shared" si="274"/>
        <v>-84.675128751100942</v>
      </c>
      <c r="AU434" s="169">
        <f t="shared" si="275"/>
        <v>77.693762432916671</v>
      </c>
      <c r="AV434" s="225"/>
      <c r="AX434">
        <f t="shared" si="276"/>
        <v>0</v>
      </c>
      <c r="AY434">
        <f t="shared" si="277"/>
        <v>0</v>
      </c>
    </row>
    <row r="435" spans="14:51" x14ac:dyDescent="0.3">
      <c r="N435" s="170">
        <v>17</v>
      </c>
      <c r="O435" s="199">
        <f t="shared" si="278"/>
        <v>147910.83881682079</v>
      </c>
      <c r="P435" s="189" t="str">
        <f t="shared" si="244"/>
        <v>20.7142857142857</v>
      </c>
      <c r="Q435" s="160" t="str">
        <f t="shared" si="245"/>
        <v>1+212.423133537476i</v>
      </c>
      <c r="R435" s="160">
        <f t="shared" si="253"/>
        <v>212.4254873170363</v>
      </c>
      <c r="S435" s="160">
        <f t="shared" si="254"/>
        <v>1.566088776367945</v>
      </c>
      <c r="T435" s="160" t="str">
        <f t="shared" si="246"/>
        <v>1+0.0185870241845291i</v>
      </c>
      <c r="U435" s="160">
        <f t="shared" si="255"/>
        <v>1.0001727238172595</v>
      </c>
      <c r="V435" s="160">
        <f t="shared" si="256"/>
        <v>1.8584884162091444E-2</v>
      </c>
      <c r="W435" s="98" t="str">
        <f t="shared" si="247"/>
        <v>1-4.87909384843888i</v>
      </c>
      <c r="X435" s="160">
        <f t="shared" si="257"/>
        <v>4.980517722272868</v>
      </c>
      <c r="Y435" s="160">
        <f t="shared" si="258"/>
        <v>-1.3686398689708783</v>
      </c>
      <c r="Z435" s="98" t="str">
        <f t="shared" si="248"/>
        <v>-0.82461718808995-0.364064053311403i</v>
      </c>
      <c r="AA435" s="160">
        <f t="shared" si="259"/>
        <v>0.90140786651044047</v>
      </c>
      <c r="AB435" s="160">
        <f t="shared" si="260"/>
        <v>-2.7258342729267868</v>
      </c>
      <c r="AC435" s="171" t="str">
        <f t="shared" si="261"/>
        <v>0.529150220217575-0.101935917475917i</v>
      </c>
      <c r="AD435" s="190">
        <f t="shared" si="262"/>
        <v>-5.3701701697480022</v>
      </c>
      <c r="AE435" s="169">
        <f t="shared" si="263"/>
        <v>-10.90393047801629</v>
      </c>
      <c r="AF435" s="98" t="str">
        <f t="shared" si="249"/>
        <v>-0.0000897803247373448</v>
      </c>
      <c r="AG435" s="98" t="str">
        <f t="shared" si="250"/>
        <v>1.85870241845291i</v>
      </c>
      <c r="AH435" s="98">
        <f t="shared" si="264"/>
        <v>1.85870241845291</v>
      </c>
      <c r="AI435" s="98">
        <f t="shared" si="265"/>
        <v>1.5707963267948966</v>
      </c>
      <c r="AJ435" s="98" t="str">
        <f t="shared" si="251"/>
        <v>1+218.397534168217i</v>
      </c>
      <c r="AK435" s="98">
        <f t="shared" si="266"/>
        <v>218.39982355935521</v>
      </c>
      <c r="AL435" s="98">
        <f t="shared" si="267"/>
        <v>1.5662175525179458</v>
      </c>
      <c r="AM435" s="98" t="str">
        <f t="shared" si="252"/>
        <v>1+436.795068336435i</v>
      </c>
      <c r="AN435" s="98">
        <f t="shared" si="268"/>
        <v>436.7962130365039</v>
      </c>
      <c r="AO435" s="98">
        <f t="shared" si="269"/>
        <v>1.5685069276570085</v>
      </c>
      <c r="AP435" s="168" t="str">
        <f t="shared" si="270"/>
        <v>-2.21164018401843E-07+0.0000966043651985889i</v>
      </c>
      <c r="AQ435" s="98">
        <f t="shared" si="271"/>
        <v>-80.300042216749731</v>
      </c>
      <c r="AR435" s="169">
        <f t="shared" si="272"/>
        <v>90.131171533190468</v>
      </c>
      <c r="AS435" s="168" t="str">
        <f t="shared" si="273"/>
        <v>9.73042560965517E-06+0.0000511407656759408i</v>
      </c>
      <c r="AT435" s="190">
        <f t="shared" si="274"/>
        <v>-85.670212386497738</v>
      </c>
      <c r="AU435" s="169">
        <f t="shared" si="275"/>
        <v>79.227241055174176</v>
      </c>
      <c r="AV435" s="225"/>
      <c r="AX435">
        <f t="shared" si="276"/>
        <v>0</v>
      </c>
      <c r="AY435">
        <f t="shared" si="277"/>
        <v>0</v>
      </c>
    </row>
    <row r="436" spans="14:51" x14ac:dyDescent="0.3">
      <c r="N436" s="170">
        <v>18</v>
      </c>
      <c r="O436" s="199">
        <f t="shared" si="278"/>
        <v>151356.12484362084</v>
      </c>
      <c r="P436" s="189" t="str">
        <f t="shared" si="244"/>
        <v>20.7142857142857</v>
      </c>
      <c r="Q436" s="160" t="str">
        <f t="shared" si="245"/>
        <v>1+217.371103947218i</v>
      </c>
      <c r="R436" s="160">
        <f t="shared" si="253"/>
        <v>217.37340414878781</v>
      </c>
      <c r="S436" s="160">
        <f t="shared" si="254"/>
        <v>1.5661959317686651</v>
      </c>
      <c r="T436" s="160" t="str">
        <f t="shared" si="246"/>
        <v>1+0.0190199715953816i</v>
      </c>
      <c r="U436" s="160">
        <f t="shared" si="255"/>
        <v>1.0001808633039773</v>
      </c>
      <c r="V436" s="160">
        <f t="shared" si="256"/>
        <v>1.9017678542420643E-2</v>
      </c>
      <c r="W436" s="98" t="str">
        <f t="shared" si="247"/>
        <v>1-4.99274254378765i</v>
      </c>
      <c r="X436" s="160">
        <f t="shared" si="257"/>
        <v>5.091903191199453</v>
      </c>
      <c r="Y436" s="160">
        <f t="shared" si="258"/>
        <v>-1.3731212439006077</v>
      </c>
      <c r="Z436" s="98" t="str">
        <f t="shared" si="248"/>
        <v>-0.91060874691334-0.372544194494886i</v>
      </c>
      <c r="AA436" s="160">
        <f t="shared" si="259"/>
        <v>0.98386862273726716</v>
      </c>
      <c r="AB436" s="160">
        <f t="shared" si="260"/>
        <v>-2.75325283088713</v>
      </c>
      <c r="AC436" s="171" t="str">
        <f t="shared" si="261"/>
        <v>0.486404212334767-0.0820165040230139i</v>
      </c>
      <c r="AD436" s="190">
        <f t="shared" si="262"/>
        <v>-6.1382975171695806</v>
      </c>
      <c r="AE436" s="169">
        <f t="shared" si="263"/>
        <v>-9.5710689572666592</v>
      </c>
      <c r="AF436" s="98" t="str">
        <f t="shared" si="249"/>
        <v>-0.0000897803247373448</v>
      </c>
      <c r="AG436" s="98" t="str">
        <f t="shared" si="250"/>
        <v>1.90199715953816i</v>
      </c>
      <c r="AH436" s="98">
        <f t="shared" si="264"/>
        <v>1.90199715953816</v>
      </c>
      <c r="AI436" s="98">
        <f t="shared" si="265"/>
        <v>1.5707963267948966</v>
      </c>
      <c r="AJ436" s="98" t="str">
        <f t="shared" si="251"/>
        <v>1+223.484666245733i</v>
      </c>
      <c r="AK436" s="98">
        <f t="shared" si="266"/>
        <v>223.48690352449441</v>
      </c>
      <c r="AL436" s="98">
        <f t="shared" si="267"/>
        <v>1.5663217767377331</v>
      </c>
      <c r="AM436" s="98" t="str">
        <f t="shared" si="252"/>
        <v>1+446.969332491468i</v>
      </c>
      <c r="AN436" s="98">
        <f t="shared" si="268"/>
        <v>446.97045113504805</v>
      </c>
      <c r="AO436" s="98">
        <f t="shared" si="269"/>
        <v>1.5685590405678034</v>
      </c>
      <c r="AP436" s="168" t="str">
        <f t="shared" si="270"/>
        <v>-2.11210197162538E-07+0.0000944054259180376i</v>
      </c>
      <c r="AQ436" s="98">
        <f t="shared" si="271"/>
        <v>-80.500039143321729</v>
      </c>
      <c r="AR436" s="169">
        <f t="shared" si="272"/>
        <v>90.128185775120301</v>
      </c>
      <c r="AS436" s="168" t="str">
        <f t="shared" si="273"/>
        <v>7.64006946501316E-06+0.0000459365195557766i</v>
      </c>
      <c r="AT436" s="190">
        <f t="shared" si="274"/>
        <v>-86.638336660491305</v>
      </c>
      <c r="AU436" s="169">
        <f t="shared" si="275"/>
        <v>80.55711681785364</v>
      </c>
      <c r="AV436" s="225"/>
      <c r="AX436">
        <f t="shared" si="276"/>
        <v>0</v>
      </c>
      <c r="AY436">
        <f t="shared" si="277"/>
        <v>0</v>
      </c>
    </row>
    <row r="437" spans="14:51" x14ac:dyDescent="0.3">
      <c r="N437" s="170">
        <v>19</v>
      </c>
      <c r="O437" s="199">
        <f t="shared" si="278"/>
        <v>154881.66189124843</v>
      </c>
      <c r="P437" s="189" t="str">
        <f t="shared" si="244"/>
        <v>20.7142857142857</v>
      </c>
      <c r="Q437" s="160" t="str">
        <f t="shared" si="245"/>
        <v>1+222.43432739352i</v>
      </c>
      <c r="R437" s="160">
        <f t="shared" si="253"/>
        <v>222.43657523664498</v>
      </c>
      <c r="S437" s="160">
        <f t="shared" si="254"/>
        <v>1.5663006481167603</v>
      </c>
      <c r="T437" s="160" t="str">
        <f t="shared" si="246"/>
        <v>1+0.019463003646933i</v>
      </c>
      <c r="U437" s="160">
        <f t="shared" si="255"/>
        <v>1.0001893863218909</v>
      </c>
      <c r="V437" s="160">
        <f t="shared" si="256"/>
        <v>1.9460546621544002E-2</v>
      </c>
      <c r="W437" s="98" t="str">
        <f t="shared" si="247"/>
        <v>1-5.10903845731989i</v>
      </c>
      <c r="X437" s="160">
        <f t="shared" si="257"/>
        <v>5.2059844370083939</v>
      </c>
      <c r="Y437" s="160">
        <f t="shared" si="258"/>
        <v>-1.3775083975429339</v>
      </c>
      <c r="Z437" s="98" t="str">
        <f t="shared" si="248"/>
        <v>-1.00065296304873-0.381221863541496i</v>
      </c>
      <c r="AA437" s="160">
        <f t="shared" si="259"/>
        <v>1.0708111232613593</v>
      </c>
      <c r="AB437" s="160">
        <f t="shared" si="260"/>
        <v>-2.7775956020310346</v>
      </c>
      <c r="AC437" s="171" t="str">
        <f t="shared" si="261"/>
        <v>0.447963407930246-0.0662159631994958i</v>
      </c>
      <c r="AD437" s="190">
        <f t="shared" si="262"/>
        <v>-6.8812800863643986</v>
      </c>
      <c r="AE437" s="169">
        <f t="shared" si="263"/>
        <v>-8.4083216298257053</v>
      </c>
      <c r="AF437" s="98" t="str">
        <f t="shared" si="249"/>
        <v>-0.0000897803247373448</v>
      </c>
      <c r="AG437" s="98" t="str">
        <f t="shared" si="250"/>
        <v>1.9463003646933i</v>
      </c>
      <c r="AH437" s="98">
        <f t="shared" si="264"/>
        <v>1.9463003646932999</v>
      </c>
      <c r="AI437" s="98">
        <f t="shared" si="265"/>
        <v>1.5707963267948966</v>
      </c>
      <c r="AJ437" s="98" t="str">
        <f t="shared" si="251"/>
        <v>1+228.690292851463i</v>
      </c>
      <c r="AK437" s="98">
        <f t="shared" si="266"/>
        <v>228.69247920403487</v>
      </c>
      <c r="AL437" s="98">
        <f t="shared" si="267"/>
        <v>1.5664236286185689</v>
      </c>
      <c r="AM437" s="98" t="str">
        <f t="shared" si="252"/>
        <v>1+457.380585702926i</v>
      </c>
      <c r="AN437" s="98">
        <f t="shared" si="268"/>
        <v>457.38167888313109</v>
      </c>
      <c r="AO437" s="98">
        <f t="shared" si="269"/>
        <v>1.5686099672556668</v>
      </c>
      <c r="AP437" s="168" t="str">
        <f t="shared" si="270"/>
        <v>-2.01704354141034E-07+0.00009225653763374i</v>
      </c>
      <c r="AQ437" s="98">
        <f t="shared" si="271"/>
        <v>-80.700036208217369</v>
      </c>
      <c r="AR437" s="169">
        <f t="shared" si="272"/>
        <v>90.125267976492083</v>
      </c>
      <c r="AS437" s="168" t="str">
        <f t="shared" si="273"/>
        <v>6.01849933099324E-06+0.0000413409090503461i</v>
      </c>
      <c r="AT437" s="190">
        <f t="shared" si="274"/>
        <v>-87.581316294581768</v>
      </c>
      <c r="AU437" s="169">
        <f t="shared" si="275"/>
        <v>81.716946346666361</v>
      </c>
      <c r="AV437" s="225"/>
      <c r="AX437">
        <f t="shared" si="276"/>
        <v>0</v>
      </c>
      <c r="AY437">
        <f t="shared" si="277"/>
        <v>0</v>
      </c>
    </row>
    <row r="438" spans="14:51" x14ac:dyDescent="0.3">
      <c r="N438" s="170">
        <v>20</v>
      </c>
      <c r="O438" s="199">
        <f t="shared" si="278"/>
        <v>158489.31924611164</v>
      </c>
      <c r="P438" s="189" t="str">
        <f t="shared" si="244"/>
        <v>20.7142857142857</v>
      </c>
      <c r="Q438" s="160" t="str">
        <f t="shared" si="245"/>
        <v>1+227.615488464472i</v>
      </c>
      <c r="R438" s="160">
        <f t="shared" si="253"/>
        <v>227.61768514094021</v>
      </c>
      <c r="S438" s="160">
        <f t="shared" si="254"/>
        <v>1.5664029809250328</v>
      </c>
      <c r="T438" s="160" t="str">
        <f t="shared" si="246"/>
        <v>1+0.0199163552406413i</v>
      </c>
      <c r="U438" s="160">
        <f t="shared" si="255"/>
        <v>1.0001983109394215</v>
      </c>
      <c r="V438" s="160">
        <f t="shared" si="256"/>
        <v>1.9913722518695331E-2</v>
      </c>
      <c r="W438" s="98" t="str">
        <f t="shared" si="247"/>
        <v>1-5.22804325066832i</v>
      </c>
      <c r="X438" s="160">
        <f t="shared" si="257"/>
        <v>5.3228222054525336</v>
      </c>
      <c r="Y438" s="160">
        <f t="shared" si="258"/>
        <v>-1.3818029801812852</v>
      </c>
      <c r="Z438" s="98" t="str">
        <f t="shared" si="248"/>
        <v>-1.09494083235094-0.390101661466222i</v>
      </c>
      <c r="AA438" s="160">
        <f t="shared" si="259"/>
        <v>1.162357403137295</v>
      </c>
      <c r="AB438" s="160">
        <f t="shared" si="260"/>
        <v>-2.7993372979254647</v>
      </c>
      <c r="AC438" s="171" t="str">
        <f t="shared" si="261"/>
        <v>0.413362689901887-0.053602617109915i</v>
      </c>
      <c r="AD438" s="190">
        <f t="shared" si="262"/>
        <v>-7.600952985649915</v>
      </c>
      <c r="AE438" s="169">
        <f t="shared" si="263"/>
        <v>-7.3885738473016627</v>
      </c>
      <c r="AF438" s="98" t="str">
        <f t="shared" si="249"/>
        <v>-0.0000897803247373448</v>
      </c>
      <c r="AG438" s="98" t="str">
        <f t="shared" si="250"/>
        <v>1.99163552406413i</v>
      </c>
      <c r="AH438" s="98">
        <f t="shared" si="264"/>
        <v>1.9916355240641299</v>
      </c>
      <c r="AI438" s="98">
        <f t="shared" si="265"/>
        <v>1.5707963267948966</v>
      </c>
      <c r="AJ438" s="98" t="str">
        <f t="shared" si="251"/>
        <v>1+234.017174077535i</v>
      </c>
      <c r="AK438" s="98">
        <f t="shared" si="266"/>
        <v>234.01931066310598</v>
      </c>
      <c r="AL438" s="98">
        <f t="shared" si="267"/>
        <v>1.5665231621552111</v>
      </c>
      <c r="AM438" s="98" t="str">
        <f t="shared" si="252"/>
        <v>1+468.034348155071i</v>
      </c>
      <c r="AN438" s="98">
        <f t="shared" si="268"/>
        <v>468.03541645151404</v>
      </c>
      <c r="AO438" s="98">
        <f t="shared" si="269"/>
        <v>1.5686597347215452</v>
      </c>
      <c r="AP438" s="168" t="str">
        <f t="shared" si="270"/>
        <v>-1.92626328539116E-07+0.0000901565612443354i</v>
      </c>
      <c r="AQ438" s="98">
        <f t="shared" si="271"/>
        <v>-80.90003340521136</v>
      </c>
      <c r="AR438" s="169">
        <f t="shared" si="272"/>
        <v>90.122416590674376</v>
      </c>
      <c r="AS438" s="168" t="str">
        <f t="shared" si="273"/>
        <v>4.75300309501586E-06+0.0000372776839435967i</v>
      </c>
      <c r="AT438" s="190">
        <f t="shared" si="274"/>
        <v>-88.500986390861272</v>
      </c>
      <c r="AU438" s="169">
        <f t="shared" si="275"/>
        <v>82.733842743372719</v>
      </c>
      <c r="AV438" s="225"/>
      <c r="AX438">
        <f t="shared" si="276"/>
        <v>0</v>
      </c>
      <c r="AY438">
        <f t="shared" si="277"/>
        <v>0</v>
      </c>
    </row>
    <row r="439" spans="14:51" x14ac:dyDescent="0.3">
      <c r="N439" s="170">
        <v>21</v>
      </c>
      <c r="O439" s="199">
        <f t="shared" si="278"/>
        <v>162181.00973589328</v>
      </c>
      <c r="P439" s="189" t="str">
        <f t="shared" si="244"/>
        <v>20.7142857142857</v>
      </c>
      <c r="Q439" s="160" t="str">
        <f t="shared" si="245"/>
        <v>1+232.917334280254i</v>
      </c>
      <c r="R439" s="160">
        <f t="shared" si="253"/>
        <v>232.91948095472733</v>
      </c>
      <c r="S439" s="160">
        <f t="shared" si="254"/>
        <v>1.5665029844431146</v>
      </c>
      <c r="T439" s="160" t="str">
        <f t="shared" si="246"/>
        <v>1+0.0203802667495222i</v>
      </c>
      <c r="U439" s="160">
        <f t="shared" si="255"/>
        <v>1.0002076560758679</v>
      </c>
      <c r="V439" s="160">
        <f t="shared" si="256"/>
        <v>2.0377445768762669E-2</v>
      </c>
      <c r="W439" s="98" t="str">
        <f t="shared" si="247"/>
        <v>1-5.34982002174956i</v>
      </c>
      <c r="X439" s="160">
        <f t="shared" si="257"/>
        <v>5.4424786876121489</v>
      </c>
      <c r="Y439" s="160">
        <f t="shared" si="258"/>
        <v>-1.3860066348996491</v>
      </c>
      <c r="Z439" s="98" t="str">
        <f t="shared" si="248"/>
        <v>-1.19367235203217-0.399188296455463i</v>
      </c>
      <c r="AA439" s="160">
        <f t="shared" si="259"/>
        <v>1.258652048833603</v>
      </c>
      <c r="AB439" s="160">
        <f t="shared" si="260"/>
        <v>-2.8188641255087679</v>
      </c>
      <c r="AC439" s="171" t="str">
        <f t="shared" si="261"/>
        <v>0.382167254425838-0.0434734143944934i</v>
      </c>
      <c r="AD439" s="190">
        <f t="shared" si="262"/>
        <v>-8.2990925387802719</v>
      </c>
      <c r="AE439" s="169">
        <f t="shared" si="263"/>
        <v>-6.4897811078228385</v>
      </c>
      <c r="AF439" s="98" t="str">
        <f t="shared" si="249"/>
        <v>-0.0000897803247373448</v>
      </c>
      <c r="AG439" s="98" t="str">
        <f t="shared" si="250"/>
        <v>2.03802667495223i</v>
      </c>
      <c r="AH439" s="98">
        <f t="shared" si="264"/>
        <v>2.03802667495223</v>
      </c>
      <c r="AI439" s="98">
        <f t="shared" si="265"/>
        <v>1.5707963267948966</v>
      </c>
      <c r="AJ439" s="98" t="str">
        <f t="shared" si="251"/>
        <v>1+239.468134306886i</v>
      </c>
      <c r="AK439" s="98">
        <f t="shared" si="266"/>
        <v>239.47022225826072</v>
      </c>
      <c r="AL439" s="98">
        <f t="shared" si="267"/>
        <v>1.5666204301137652</v>
      </c>
      <c r="AM439" s="98" t="str">
        <f t="shared" si="252"/>
        <v>1+478.936268613773i</v>
      </c>
      <c r="AN439" s="98">
        <f t="shared" si="268"/>
        <v>478.93731259287387</v>
      </c>
      <c r="AO439" s="98">
        <f t="shared" si="269"/>
        <v>1.5687083693518213</v>
      </c>
      <c r="AP439" s="168" t="str">
        <f t="shared" si="270"/>
        <v>-1.83956866808197E-07+0.0000881043835643333i</v>
      </c>
      <c r="AQ439" s="98">
        <f t="shared" si="271"/>
        <v>-81.100030728358632</v>
      </c>
      <c r="AR439" s="169">
        <f t="shared" si="272"/>
        <v>90.119630106220384</v>
      </c>
      <c r="AS439" s="168" t="str">
        <f t="shared" si="273"/>
        <v>3.75989608594279E-06+0.0000336786076027636i</v>
      </c>
      <c r="AT439" s="190">
        <f t="shared" si="274"/>
        <v>-89.399123267138918</v>
      </c>
      <c r="AU439" s="169">
        <f t="shared" si="275"/>
        <v>83.629848998397534</v>
      </c>
      <c r="AV439" s="225"/>
      <c r="AX439">
        <f t="shared" si="276"/>
        <v>0</v>
      </c>
      <c r="AY439">
        <f t="shared" si="277"/>
        <v>0</v>
      </c>
    </row>
    <row r="440" spans="14:51" x14ac:dyDescent="0.3">
      <c r="N440" s="170">
        <v>22</v>
      </c>
      <c r="O440" s="199">
        <f t="shared" si="278"/>
        <v>165958.69074375604</v>
      </c>
      <c r="P440" s="189" t="str">
        <f t="shared" si="244"/>
        <v>20.7142857142857</v>
      </c>
      <c r="Q440" s="160" t="str">
        <f t="shared" si="245"/>
        <v>1+238.342675949698i</v>
      </c>
      <c r="R440" s="160">
        <f t="shared" si="253"/>
        <v>238.3447737603297</v>
      </c>
      <c r="S440" s="160">
        <f t="shared" si="254"/>
        <v>1.5666007116861889</v>
      </c>
      <c r="T440" s="160" t="str">
        <f t="shared" si="246"/>
        <v>1+0.0208549841455986i</v>
      </c>
      <c r="U440" s="160">
        <f t="shared" si="255"/>
        <v>1.0002174415414447</v>
      </c>
      <c r="V440" s="160">
        <f t="shared" si="256"/>
        <v>2.0851961445744541E-2</v>
      </c>
      <c r="W440" s="98" t="str">
        <f t="shared" si="247"/>
        <v>1-5.47443333821962i</v>
      </c>
      <c r="X440" s="160">
        <f t="shared" si="257"/>
        <v>5.5650175538456663</v>
      </c>
      <c r="Y440" s="160">
        <f t="shared" si="258"/>
        <v>-1.3901209959899425</v>
      </c>
      <c r="Z440" s="98" t="str">
        <f t="shared" si="248"/>
        <v>-1.29705694488285-0.408486586363369i</v>
      </c>
      <c r="AA440" s="160">
        <f t="shared" si="259"/>
        <v>1.3598595550672248</v>
      </c>
      <c r="AB440" s="160">
        <f t="shared" si="260"/>
        <v>-2.8364923953233285</v>
      </c>
      <c r="AC440" s="171" t="str">
        <f t="shared" si="261"/>
        <v>0.35398363046361-0.0352942189249257i</v>
      </c>
      <c r="AD440" s="190">
        <f t="shared" si="262"/>
        <v>-8.9773753297594325</v>
      </c>
      <c r="AE440" s="169">
        <f t="shared" si="263"/>
        <v>-5.693902786164954</v>
      </c>
      <c r="AF440" s="98" t="str">
        <f t="shared" si="249"/>
        <v>-0.0000897803247373448</v>
      </c>
      <c r="AG440" s="98" t="str">
        <f t="shared" si="250"/>
        <v>2.08549841455986i</v>
      </c>
      <c r="AH440" s="98">
        <f t="shared" si="264"/>
        <v>2.0854984145598601</v>
      </c>
      <c r="AI440" s="98">
        <f t="shared" si="265"/>
        <v>1.5707963267948966</v>
      </c>
      <c r="AJ440" s="98" t="str">
        <f t="shared" si="251"/>
        <v>1+245.046063710784i</v>
      </c>
      <c r="AK440" s="98">
        <f t="shared" si="266"/>
        <v>245.04810413498328</v>
      </c>
      <c r="AL440" s="98">
        <f t="shared" si="267"/>
        <v>1.5667154840596238</v>
      </c>
      <c r="AM440" s="98" t="str">
        <f t="shared" si="252"/>
        <v>1+490.092127421568i</v>
      </c>
      <c r="AN440" s="98">
        <f t="shared" si="268"/>
        <v>490.09314763685325</v>
      </c>
      <c r="AO440" s="98">
        <f t="shared" si="269"/>
        <v>1.568755896932299</v>
      </c>
      <c r="AP440" s="168" t="str">
        <f t="shared" si="270"/>
        <v>-1.7567758182832E-07+0.0000860989167350813i</v>
      </c>
      <c r="AQ440" s="98">
        <f t="shared" si="271"/>
        <v>-81.300028171981538</v>
      </c>
      <c r="AR440" s="169">
        <f t="shared" si="272"/>
        <v>90.116907046068448</v>
      </c>
      <c r="AS440" s="168" t="str">
        <f t="shared" si="273"/>
        <v>2.97660702824025E-06+0.0000304838075279014i</v>
      </c>
      <c r="AT440" s="190">
        <f t="shared" si="274"/>
        <v>-90.277403501740963</v>
      </c>
      <c r="AU440" s="169">
        <f t="shared" si="275"/>
        <v>84.423004259903522</v>
      </c>
      <c r="AV440" s="225"/>
      <c r="AX440">
        <f t="shared" si="276"/>
        <v>0</v>
      </c>
      <c r="AY440">
        <f t="shared" si="277"/>
        <v>0</v>
      </c>
    </row>
    <row r="441" spans="14:51" x14ac:dyDescent="0.3">
      <c r="N441" s="170">
        <v>23</v>
      </c>
      <c r="O441" s="199">
        <f t="shared" si="278"/>
        <v>169824.36524617471</v>
      </c>
      <c r="P441" s="189" t="str">
        <f t="shared" si="244"/>
        <v>20.7142857142857</v>
      </c>
      <c r="Q441" s="160" t="str">
        <f t="shared" si="245"/>
        <v>1+243.894390060768i</v>
      </c>
      <c r="R441" s="160">
        <f t="shared" si="253"/>
        <v>243.89644011980587</v>
      </c>
      <c r="S441" s="160">
        <f t="shared" si="254"/>
        <v>1.5666962144630623</v>
      </c>
      <c r="T441" s="160" t="str">
        <f t="shared" si="246"/>
        <v>1+0.0213407591303172i</v>
      </c>
      <c r="U441" s="160">
        <f t="shared" si="255"/>
        <v>1.0002276880791985</v>
      </c>
      <c r="V441" s="160">
        <f t="shared" si="256"/>
        <v>2.1337520288888353E-2</v>
      </c>
      <c r="W441" s="98" t="str">
        <f t="shared" si="247"/>
        <v>1-5.60194927170825i</v>
      </c>
      <c r="X441" s="160">
        <f t="shared" si="257"/>
        <v>5.690503988469966</v>
      </c>
      <c r="Y441" s="160">
        <f t="shared" si="258"/>
        <v>-1.3941476874858134</v>
      </c>
      <c r="Z441" s="98" t="str">
        <f t="shared" si="248"/>
        <v>-1.4053139034854-0.418001461266321i</v>
      </c>
      <c r="AA441" s="160">
        <f t="shared" si="259"/>
        <v>1.4661624701751688</v>
      </c>
      <c r="AB441" s="160">
        <f t="shared" si="260"/>
        <v>-2.8524829352997569</v>
      </c>
      <c r="AC441" s="171" t="str">
        <f t="shared" si="261"/>
        <v>0.328462242365625-0.0286562916765863i</v>
      </c>
      <c r="AD441" s="190">
        <f t="shared" si="262"/>
        <v>-9.6373598655547319</v>
      </c>
      <c r="AE441" s="169">
        <f t="shared" si="263"/>
        <v>-4.9860761951243653</v>
      </c>
      <c r="AF441" s="98" t="str">
        <f t="shared" si="249"/>
        <v>-0.0000897803247373448</v>
      </c>
      <c r="AG441" s="98" t="str">
        <f t="shared" si="250"/>
        <v>2.13407591303173i</v>
      </c>
      <c r="AH441" s="98">
        <f t="shared" si="264"/>
        <v>2.1340759130317299</v>
      </c>
      <c r="AI441" s="98">
        <f t="shared" si="265"/>
        <v>1.5707963267948966</v>
      </c>
      <c r="AJ441" s="98" t="str">
        <f t="shared" si="251"/>
        <v>1+250.753919781227i</v>
      </c>
      <c r="AK441" s="98">
        <f t="shared" si="266"/>
        <v>250.75591376007472</v>
      </c>
      <c r="AL441" s="98">
        <f t="shared" si="267"/>
        <v>1.5668083743847727</v>
      </c>
      <c r="AM441" s="98" t="str">
        <f t="shared" si="252"/>
        <v>1+501.507839562455i</v>
      </c>
      <c r="AN441" s="98">
        <f t="shared" si="268"/>
        <v>501.50883655485188</v>
      </c>
      <c r="AO441" s="98">
        <f t="shared" si="269"/>
        <v>1.5688023426618711</v>
      </c>
      <c r="AP441" s="168" t="str">
        <f t="shared" si="270"/>
        <v>-1.67770913923339E-07+0.0000841390976490793i</v>
      </c>
      <c r="AQ441" s="98">
        <f t="shared" si="271"/>
        <v>-81.500025730657981</v>
      </c>
      <c r="AR441" s="169">
        <f t="shared" si="272"/>
        <v>90.114245966760706</v>
      </c>
      <c r="AS441" s="168" t="str">
        <f t="shared" si="273"/>
        <v>0.0000023560081130458+0.0000276413243766811i</v>
      </c>
      <c r="AT441" s="190">
        <f t="shared" si="274"/>
        <v>-91.13738559621271</v>
      </c>
      <c r="AU441" s="169">
        <f t="shared" si="275"/>
        <v>85.128169771636365</v>
      </c>
      <c r="AV441" s="225"/>
      <c r="AX441">
        <f t="shared" si="276"/>
        <v>0</v>
      </c>
      <c r="AY441">
        <f t="shared" si="277"/>
        <v>0</v>
      </c>
    </row>
    <row r="442" spans="14:51" x14ac:dyDescent="0.3">
      <c r="N442" s="170">
        <v>24</v>
      </c>
      <c r="O442" s="199">
        <f t="shared" si="278"/>
        <v>173780.0828749378</v>
      </c>
      <c r="P442" s="189" t="str">
        <f t="shared" si="244"/>
        <v>20.7142857142857</v>
      </c>
      <c r="Q442" s="160" t="str">
        <f t="shared" si="245"/>
        <v>1+249.575420205774i</v>
      </c>
      <c r="R442" s="160">
        <f t="shared" si="253"/>
        <v>249.5774236001499</v>
      </c>
      <c r="S442" s="160">
        <f t="shared" si="254"/>
        <v>1.5667895434035992</v>
      </c>
      <c r="T442" s="160" t="str">
        <f t="shared" si="246"/>
        <v>1+0.0218378492680052i</v>
      </c>
      <c r="U442" s="160">
        <f t="shared" si="255"/>
        <v>1.0002384174088956</v>
      </c>
      <c r="V442" s="160">
        <f t="shared" si="256"/>
        <v>2.1834378831563583E-2</v>
      </c>
      <c r="W442" s="98" t="str">
        <f t="shared" si="247"/>
        <v>1-5.73243543285135i</v>
      </c>
      <c r="X442" s="160">
        <f t="shared" si="257"/>
        <v>5.8190047251922419</v>
      </c>
      <c r="Y442" s="160">
        <f t="shared" si="258"/>
        <v>-1.3980883218166233</v>
      </c>
      <c r="Z442" s="98" t="str">
        <f t="shared" si="248"/>
        <v>-1.51867285536334-0.427737966076943i</v>
      </c>
      <c r="AA442" s="160">
        <f t="shared" si="259"/>
        <v>1.5777601241130035</v>
      </c>
      <c r="AB442" s="160">
        <f t="shared" si="260"/>
        <v>-2.8670522707344119</v>
      </c>
      <c r="AC442" s="171" t="str">
        <f t="shared" si="261"/>
        <v>0.305295757378968-0.0232445561457404i</v>
      </c>
      <c r="AD442" s="190">
        <f t="shared" si="262"/>
        <v>-10.280481393647305</v>
      </c>
      <c r="AE442" s="169">
        <f t="shared" si="263"/>
        <v>-4.3539759370568554</v>
      </c>
      <c r="AF442" s="98" t="str">
        <f t="shared" si="249"/>
        <v>-0.0000897803247373448</v>
      </c>
      <c r="AG442" s="98" t="str">
        <f t="shared" si="250"/>
        <v>2.18378492680052i</v>
      </c>
      <c r="AH442" s="98">
        <f t="shared" si="264"/>
        <v>2.1837849268005201</v>
      </c>
      <c r="AI442" s="98">
        <f t="shared" si="265"/>
        <v>1.5707963267948966</v>
      </c>
      <c r="AJ442" s="98" t="str">
        <f t="shared" si="251"/>
        <v>1+256.594728899061i</v>
      </c>
      <c r="AK442" s="98">
        <f t="shared" si="266"/>
        <v>256.59667748975744</v>
      </c>
      <c r="AL442" s="98">
        <f t="shared" si="267"/>
        <v>1.566899150334476</v>
      </c>
      <c r="AM442" s="98" t="str">
        <f t="shared" si="252"/>
        <v>1+513.189457798123i</v>
      </c>
      <c r="AN442" s="98">
        <f t="shared" si="268"/>
        <v>513.1904320962459</v>
      </c>
      <c r="AO442" s="98">
        <f t="shared" si="269"/>
        <v>1.5688477311658764</v>
      </c>
      <c r="AP442" s="168" t="str">
        <f t="shared" si="270"/>
        <v>-1.6022009362973E-07+0.000082223887387344i</v>
      </c>
      <c r="AQ442" s="98">
        <f t="shared" si="271"/>
        <v>-81.700023399209968</v>
      </c>
      <c r="AR442" s="169">
        <f t="shared" si="272"/>
        <v>90.111645457679316</v>
      </c>
      <c r="AS442" s="168" t="str">
        <f t="shared" si="273"/>
        <v>1.86234325206414E-06+0.0000251063282195242i</v>
      </c>
      <c r="AT442" s="190">
        <f t="shared" si="274"/>
        <v>-91.980504792857275</v>
      </c>
      <c r="AU442" s="169">
        <f t="shared" si="275"/>
        <v>85.757669520622471</v>
      </c>
      <c r="AV442" s="225"/>
      <c r="AX442">
        <f t="shared" si="276"/>
        <v>0</v>
      </c>
      <c r="AY442">
        <f t="shared" si="277"/>
        <v>0</v>
      </c>
    </row>
    <row r="443" spans="14:51" x14ac:dyDescent="0.3">
      <c r="N443" s="170">
        <v>25</v>
      </c>
      <c r="O443" s="199">
        <f t="shared" si="278"/>
        <v>177827.94100389251</v>
      </c>
      <c r="P443" s="189" t="str">
        <f t="shared" si="244"/>
        <v>20.7142857142857</v>
      </c>
      <c r="Q443" s="160" t="str">
        <f t="shared" si="245"/>
        <v>1+255.388778542094i</v>
      </c>
      <c r="R443" s="160">
        <f t="shared" si="253"/>
        <v>255.39073633400008</v>
      </c>
      <c r="S443" s="160">
        <f t="shared" si="254"/>
        <v>1.5668807479855318</v>
      </c>
      <c r="T443" s="160" t="str">
        <f t="shared" si="246"/>
        <v>1+0.0223465181224332i</v>
      </c>
      <c r="U443" s="160">
        <f t="shared" si="255"/>
        <v>1.0002496522729694</v>
      </c>
      <c r="V443" s="160">
        <f t="shared" si="256"/>
        <v>2.2342799532914123E-2</v>
      </c>
      <c r="W443" s="98" t="str">
        <f t="shared" si="247"/>
        <v>1-5.8659610071387i</v>
      </c>
      <c r="X443" s="160">
        <f t="shared" si="257"/>
        <v>5.950588083313419</v>
      </c>
      <c r="Y443" s="160">
        <f t="shared" si="258"/>
        <v>-1.4019444985754124</v>
      </c>
      <c r="Z443" s="98" t="str">
        <f t="shared" si="248"/>
        <v>-1.63737425005185-0.43770126321896i</v>
      </c>
      <c r="AA443" s="160">
        <f t="shared" si="259"/>
        <v>1.6948677914682111</v>
      </c>
      <c r="AB443" s="160">
        <f t="shared" si="260"/>
        <v>-2.8803813267555136</v>
      </c>
      <c r="AC443" s="171" t="str">
        <f t="shared" si="261"/>
        <v>0.284215531319376-0.0188143752520407i</v>
      </c>
      <c r="AD443" s="190">
        <f t="shared" si="262"/>
        <v>-10.90805414772182</v>
      </c>
      <c r="AE443" s="169">
        <f t="shared" si="263"/>
        <v>-3.7873152127018903</v>
      </c>
      <c r="AF443" s="98" t="str">
        <f t="shared" si="249"/>
        <v>-0.0000897803247373448</v>
      </c>
      <c r="AG443" s="98" t="str">
        <f t="shared" si="250"/>
        <v>2.23465181224331i</v>
      </c>
      <c r="AH443" s="98">
        <f t="shared" si="264"/>
        <v>2.2346518122433099</v>
      </c>
      <c r="AI443" s="98">
        <f t="shared" si="265"/>
        <v>1.5707963267948966</v>
      </c>
      <c r="AJ443" s="98" t="str">
        <f t="shared" si="251"/>
        <v>1+262.57158793859i</v>
      </c>
      <c r="AK443" s="98">
        <f t="shared" si="266"/>
        <v>262.57349217427242</v>
      </c>
      <c r="AL443" s="98">
        <f t="shared" si="267"/>
        <v>1.5669878600333564</v>
      </c>
      <c r="AM443" s="98" t="str">
        <f t="shared" si="252"/>
        <v>1+525.143175877182i</v>
      </c>
      <c r="AN443" s="98">
        <f t="shared" si="268"/>
        <v>525.14412799761249</v>
      </c>
      <c r="AO443" s="98">
        <f t="shared" si="269"/>
        <v>1.5688920865091518</v>
      </c>
      <c r="AP443" s="168" t="str">
        <f t="shared" si="270"/>
        <v>-1.53009106140248E-07+0.0000803522706695306i</v>
      </c>
      <c r="AQ443" s="98">
        <f t="shared" si="271"/>
        <v>-81.900021172692448</v>
      </c>
      <c r="AR443" s="169">
        <f t="shared" si="272"/>
        <v>90.109104140300147</v>
      </c>
      <c r="AS443" s="168" t="str">
        <f t="shared" si="273"/>
        <v>1.46829020833174E-06+0.0000228402420717989i</v>
      </c>
      <c r="AT443" s="190">
        <f t="shared" si="274"/>
        <v>-92.808075320414247</v>
      </c>
      <c r="AU443" s="169">
        <f t="shared" si="275"/>
        <v>86.321788927598263</v>
      </c>
      <c r="AV443" s="225"/>
      <c r="AX443">
        <f t="shared" si="276"/>
        <v>0</v>
      </c>
      <c r="AY443">
        <f t="shared" si="277"/>
        <v>0</v>
      </c>
    </row>
    <row r="444" spans="14:51" x14ac:dyDescent="0.3">
      <c r="N444" s="170">
        <v>26</v>
      </c>
      <c r="O444" s="199">
        <f t="shared" si="278"/>
        <v>181970.08586099857</v>
      </c>
      <c r="P444" s="189" t="str">
        <f t="shared" si="244"/>
        <v>20.7142857142857</v>
      </c>
      <c r="Q444" s="160" t="str">
        <f t="shared" si="245"/>
        <v>1+261.337547389264i</v>
      </c>
      <c r="R444" s="160">
        <f t="shared" si="253"/>
        <v>261.33946061671554</v>
      </c>
      <c r="S444" s="160">
        <f t="shared" si="254"/>
        <v>1.5669698765606639</v>
      </c>
      <c r="T444" s="160" t="str">
        <f t="shared" si="246"/>
        <v>1+0.0228670353965606i</v>
      </c>
      <c r="U444" s="160">
        <f t="shared" si="255"/>
        <v>1.0002614164846246</v>
      </c>
      <c r="V444" s="160">
        <f t="shared" si="256"/>
        <v>2.2863050912342787E-2</v>
      </c>
      <c r="W444" s="98" t="str">
        <f t="shared" si="247"/>
        <v>1-6.00259679159714i</v>
      </c>
      <c r="X444" s="160">
        <f t="shared" si="257"/>
        <v>6.0853240047258188</v>
      </c>
      <c r="Y444" s="160">
        <f t="shared" si="258"/>
        <v>-1.4057178033948845</v>
      </c>
      <c r="Z444" s="98" t="str">
        <f t="shared" si="248"/>
        <v>-1.76166986912358-0.447896635364393i</v>
      </c>
      <c r="AA444" s="160">
        <f t="shared" si="259"/>
        <v>1.8177161834974775</v>
      </c>
      <c r="AB444" s="160">
        <f t="shared" si="260"/>
        <v>-2.8926222352270363</v>
      </c>
      <c r="AC444" s="171" t="str">
        <f t="shared" si="261"/>
        <v>0.264987387282292-0.0151744673568287i</v>
      </c>
      <c r="AD444" s="190">
        <f t="shared" si="262"/>
        <v>-11.521277570933343</v>
      </c>
      <c r="AE444" s="169">
        <f t="shared" si="263"/>
        <v>-3.2774557437117391</v>
      </c>
      <c r="AF444" s="98" t="str">
        <f t="shared" si="249"/>
        <v>-0.0000897803247373448</v>
      </c>
      <c r="AG444" s="98" t="str">
        <f t="shared" si="250"/>
        <v>2.28670353965607i</v>
      </c>
      <c r="AH444" s="98">
        <f t="shared" si="264"/>
        <v>2.2867035396560702</v>
      </c>
      <c r="AI444" s="98">
        <f t="shared" si="265"/>
        <v>1.5707963267948966</v>
      </c>
      <c r="AJ444" s="98" t="str">
        <f t="shared" si="251"/>
        <v>1+268.687665909587i</v>
      </c>
      <c r="AK444" s="98">
        <f t="shared" si="266"/>
        <v>268.68952679987706</v>
      </c>
      <c r="AL444" s="98">
        <f t="shared" si="267"/>
        <v>1.5670745505108821</v>
      </c>
      <c r="AM444" s="98" t="str">
        <f t="shared" si="252"/>
        <v>1+537.375331819175i</v>
      </c>
      <c r="AN444" s="98">
        <f t="shared" si="268"/>
        <v>537.3762622667366</v>
      </c>
      <c r="AO444" s="98">
        <f t="shared" si="269"/>
        <v>1.5689354322087887</v>
      </c>
      <c r="AP444" s="168" t="str">
        <f t="shared" si="270"/>
        <v>-1.46122657347049E-07+0.0000785232553165211i</v>
      </c>
      <c r="AQ444" s="98">
        <f t="shared" si="271"/>
        <v>-82.100019046382982</v>
      </c>
      <c r="AR444" s="169">
        <f t="shared" si="272"/>
        <v>90.10662066746319</v>
      </c>
      <c r="AS444" s="168" t="str">
        <f t="shared" si="273"/>
        <v>1.15282791335934E-06+0.0000208098896007193i</v>
      </c>
      <c r="AT444" s="190">
        <f t="shared" si="274"/>
        <v>-93.621296617316318</v>
      </c>
      <c r="AU444" s="169">
        <f t="shared" si="275"/>
        <v>86.829164923751449</v>
      </c>
      <c r="AV444" s="225"/>
      <c r="AX444">
        <f t="shared" si="276"/>
        <v>0</v>
      </c>
      <c r="AY444">
        <f t="shared" si="277"/>
        <v>0</v>
      </c>
    </row>
    <row r="445" spans="14:51" x14ac:dyDescent="0.3">
      <c r="N445" s="170">
        <v>27</v>
      </c>
      <c r="O445" s="199">
        <f t="shared" si="278"/>
        <v>186208.71366628664</v>
      </c>
      <c r="P445" s="189" t="str">
        <f t="shared" si="244"/>
        <v>20.7142857142857</v>
      </c>
      <c r="Q445" s="160" t="str">
        <f t="shared" si="245"/>
        <v>1+267.424880863273i</v>
      </c>
      <c r="R445" s="160">
        <f t="shared" si="253"/>
        <v>267.42675054065882</v>
      </c>
      <c r="S445" s="160">
        <f t="shared" si="254"/>
        <v>1.5670569763804785</v>
      </c>
      <c r="T445" s="160" t="str">
        <f t="shared" si="246"/>
        <v>1+0.0233996770755364i</v>
      </c>
      <c r="U445" s="160">
        <f t="shared" si="255"/>
        <v>1.0002737349782005</v>
      </c>
      <c r="V445" s="160">
        <f t="shared" si="256"/>
        <v>2.3395407686875893E-2</v>
      </c>
      <c r="W445" s="98" t="str">
        <f t="shared" si="247"/>
        <v>1-6.14241523232829i</v>
      </c>
      <c r="X445" s="160">
        <f t="shared" si="257"/>
        <v>6.2232840917266978</v>
      </c>
      <c r="Y445" s="160">
        <f t="shared" si="258"/>
        <v>-1.4094098069255532</v>
      </c>
      <c r="Z445" s="98" t="str">
        <f t="shared" si="248"/>
        <v>-1.89182336025128-0.458329488234511i</v>
      </c>
      <c r="AA445" s="160">
        <f t="shared" si="259"/>
        <v>1.9465511927965706</v>
      </c>
      <c r="AB445" s="160">
        <f t="shared" si="260"/>
        <v>-2.9039036889081946</v>
      </c>
      <c r="AC445" s="171" t="str">
        <f t="shared" si="261"/>
        <v>0.24740736312612-0.0121742595691915i</v>
      </c>
      <c r="AD445" s="190">
        <f t="shared" si="262"/>
        <v>-12.121244453902468</v>
      </c>
      <c r="AE445" s="169">
        <f t="shared" si="263"/>
        <v>-2.8171009369595561</v>
      </c>
      <c r="AF445" s="98" t="str">
        <f t="shared" si="249"/>
        <v>-0.0000897803247373448</v>
      </c>
      <c r="AG445" s="98" t="str">
        <f t="shared" si="250"/>
        <v>2.33996770755365i</v>
      </c>
      <c r="AH445" s="98">
        <f t="shared" si="264"/>
        <v>2.33996770755365</v>
      </c>
      <c r="AI445" s="98">
        <f t="shared" si="265"/>
        <v>1.5707963267948966</v>
      </c>
      <c r="AJ445" s="98" t="str">
        <f t="shared" si="251"/>
        <v>1+274.946205637553i</v>
      </c>
      <c r="AK445" s="98">
        <f t="shared" si="266"/>
        <v>274.94802416909198</v>
      </c>
      <c r="AL445" s="98">
        <f t="shared" si="267"/>
        <v>1.5671592677262771</v>
      </c>
      <c r="AM445" s="98" t="str">
        <f t="shared" si="252"/>
        <v>1+549.892411275107i</v>
      </c>
      <c r="AN445" s="98">
        <f t="shared" si="268"/>
        <v>549.89332054313172</v>
      </c>
      <c r="AO445" s="98">
        <f t="shared" si="269"/>
        <v>1.5689777912465996</v>
      </c>
      <c r="AP445" s="168" t="str">
        <f t="shared" si="270"/>
        <v>-1.39546141412409E-07+0.0000767358717252031i</v>
      </c>
      <c r="AQ445" s="98">
        <f t="shared" si="271"/>
        <v>-82.300017015771573</v>
      </c>
      <c r="AR445" s="169">
        <f t="shared" si="272"/>
        <v>90.104193722659744</v>
      </c>
      <c r="AS445" s="168" t="str">
        <f t="shared" si="273"/>
        <v>8.99677677769537E-07+0.0000189867185516641i</v>
      </c>
      <c r="AT445" s="190">
        <f t="shared" si="274"/>
        <v>-94.42126146967405</v>
      </c>
      <c r="AU445" s="169">
        <f t="shared" si="275"/>
        <v>87.287092785700196</v>
      </c>
      <c r="AV445" s="225"/>
      <c r="AX445">
        <f t="shared" si="276"/>
        <v>0</v>
      </c>
      <c r="AY445">
        <f t="shared" si="277"/>
        <v>0</v>
      </c>
    </row>
    <row r="446" spans="14:51" x14ac:dyDescent="0.3">
      <c r="N446" s="170">
        <v>28</v>
      </c>
      <c r="O446" s="199">
        <f t="shared" si="278"/>
        <v>190546.07179632492</v>
      </c>
      <c r="P446" s="189" t="str">
        <f t="shared" si="244"/>
        <v>20.7142857142857</v>
      </c>
      <c r="Q446" s="160" t="str">
        <f t="shared" si="245"/>
        <v>1+273.654006548905i</v>
      </c>
      <c r="R446" s="160">
        <f t="shared" si="253"/>
        <v>273.65583366752503</v>
      </c>
      <c r="S446" s="160">
        <f t="shared" si="254"/>
        <v>1.5671420936211635</v>
      </c>
      <c r="T446" s="160" t="str">
        <f t="shared" si="246"/>
        <v>1+0.0239447255730292i</v>
      </c>
      <c r="U446" s="160">
        <f t="shared" si="255"/>
        <v>1.0002866338618983</v>
      </c>
      <c r="V446" s="160">
        <f t="shared" si="256"/>
        <v>2.3940150911455051E-2</v>
      </c>
      <c r="W446" s="98" t="str">
        <f t="shared" si="247"/>
        <v>1-6.28549046292015i</v>
      </c>
      <c r="X446" s="160">
        <f t="shared" si="257"/>
        <v>6.3645416456693997</v>
      </c>
      <c r="Y446" s="160">
        <f t="shared" si="258"/>
        <v>-1.4130220639103725</v>
      </c>
      <c r="Z446" s="98" t="str">
        <f t="shared" si="248"/>
        <v>-2.02811079643965-0.469005353466003i</v>
      </c>
      <c r="AA446" s="160">
        <f t="shared" si="259"/>
        <v>2.081633835287763</v>
      </c>
      <c r="AB446" s="160">
        <f t="shared" si="260"/>
        <v>-2.9143351783026468</v>
      </c>
      <c r="AC446" s="171" t="str">
        <f t="shared" si="261"/>
        <v>0.231297733622518-0.00969446192388651i</v>
      </c>
      <c r="AD446" s="190">
        <f t="shared" si="262"/>
        <v>-12.708949771410845</v>
      </c>
      <c r="AE446" s="169">
        <f t="shared" si="263"/>
        <v>-2.4000530713370232</v>
      </c>
      <c r="AF446" s="98" t="str">
        <f t="shared" si="249"/>
        <v>-0.0000897803247373448</v>
      </c>
      <c r="AG446" s="98" t="str">
        <f t="shared" si="250"/>
        <v>2.39447255730291i</v>
      </c>
      <c r="AH446" s="98">
        <f t="shared" si="264"/>
        <v>2.39447255730291</v>
      </c>
      <c r="AI446" s="98">
        <f t="shared" si="265"/>
        <v>1.5707963267948966</v>
      </c>
      <c r="AJ446" s="98" t="str">
        <f t="shared" si="251"/>
        <v>1+281.350525483093i</v>
      </c>
      <c r="AK446" s="98">
        <f t="shared" si="266"/>
        <v>281.3523026200649</v>
      </c>
      <c r="AL446" s="98">
        <f t="shared" si="267"/>
        <v>1.5672420565928635</v>
      </c>
      <c r="AM446" s="98" t="str">
        <f t="shared" si="252"/>
        <v>1+562.701050966188i</v>
      </c>
      <c r="AN446" s="98">
        <f t="shared" si="268"/>
        <v>562.70193953677858</v>
      </c>
      <c r="AO446" s="98">
        <f t="shared" si="269"/>
        <v>1.5690191860812981</v>
      </c>
      <c r="AP446" s="168" t="str">
        <f t="shared" si="270"/>
        <v>-1.33265609798347E-07+0.0000749891723551596i</v>
      </c>
      <c r="AQ446" s="98">
        <f t="shared" si="271"/>
        <v>-82.500015076551222</v>
      </c>
      <c r="AR446" s="169">
        <f t="shared" si="272"/>
        <v>90.101822019335529</v>
      </c>
      <c r="AS446" s="168" t="str">
        <f t="shared" si="273"/>
        <v>6.96155642584677E-07+0.0000173461175503567i</v>
      </c>
      <c r="AT446" s="190">
        <f t="shared" si="274"/>
        <v>-95.208964847962093</v>
      </c>
      <c r="AU446" s="169">
        <f t="shared" si="275"/>
        <v>87.701768947998517</v>
      </c>
      <c r="AV446" s="225"/>
      <c r="AX446">
        <f t="shared" si="276"/>
        <v>0</v>
      </c>
      <c r="AY446">
        <f t="shared" si="277"/>
        <v>0</v>
      </c>
    </row>
    <row r="447" spans="14:51" x14ac:dyDescent="0.3">
      <c r="N447" s="170">
        <v>29</v>
      </c>
      <c r="O447" s="199">
        <f t="shared" si="278"/>
        <v>194984.45997580473</v>
      </c>
      <c r="P447" s="189" t="str">
        <f t="shared" si="244"/>
        <v>20.7142857142857</v>
      </c>
      <c r="Q447" s="160" t="str">
        <f t="shared" si="245"/>
        <v>1+280.028227211045i</v>
      </c>
      <c r="R447" s="160">
        <f t="shared" si="253"/>
        <v>280.03001273963594</v>
      </c>
      <c r="S447" s="160">
        <f t="shared" si="254"/>
        <v>1.5672252734080703</v>
      </c>
      <c r="T447" s="160" t="str">
        <f t="shared" si="246"/>
        <v>1+0.0245024698809664i</v>
      </c>
      <c r="U447" s="160">
        <f t="shared" si="255"/>
        <v>1.0003001404729821</v>
      </c>
      <c r="V447" s="160">
        <f t="shared" si="256"/>
        <v>2.4497568122207478E-2</v>
      </c>
      <c r="W447" s="98" t="str">
        <f t="shared" si="247"/>
        <v>1-6.43189834375366i</v>
      </c>
      <c r="X447" s="160">
        <f t="shared" si="257"/>
        <v>6.5091717064754926</v>
      </c>
      <c r="Y447" s="160">
        <f t="shared" si="258"/>
        <v>-1.4165561123503916</v>
      </c>
      <c r="Z447" s="98" t="str">
        <f t="shared" si="248"/>
        <v>-2.17082126161305-0.479929891543916i</v>
      </c>
      <c r="AA447" s="160">
        <f t="shared" si="259"/>
        <v>2.2232403492804433</v>
      </c>
      <c r="AB447" s="160">
        <f t="shared" si="260"/>
        <v>-2.9240103651614908</v>
      </c>
      <c r="AC447" s="171" t="str">
        <f t="shared" si="261"/>
        <v>0.216503434348394-0.00763999246640431i</v>
      </c>
      <c r="AD447" s="190">
        <f t="shared" si="262"/>
        <v>-13.285299518392264</v>
      </c>
      <c r="AE447" s="169">
        <f t="shared" si="263"/>
        <v>-2.0210199556592494</v>
      </c>
      <c r="AF447" s="98" t="str">
        <f t="shared" si="249"/>
        <v>-0.0000897803247373448</v>
      </c>
      <c r="AG447" s="98" t="str">
        <f t="shared" si="250"/>
        <v>2.45024698809664i</v>
      </c>
      <c r="AH447" s="98">
        <f t="shared" si="264"/>
        <v>2.45024698809664</v>
      </c>
      <c r="AI447" s="98">
        <f t="shared" si="265"/>
        <v>1.5707963267948966</v>
      </c>
      <c r="AJ447" s="98" t="str">
        <f t="shared" si="251"/>
        <v>1+287.904021101355i</v>
      </c>
      <c r="AK447" s="98">
        <f t="shared" si="266"/>
        <v>287.90575778599754</v>
      </c>
      <c r="AL447" s="98">
        <f t="shared" si="267"/>
        <v>1.567322961001852</v>
      </c>
      <c r="AM447" s="98" t="str">
        <f t="shared" si="252"/>
        <v>1+575.808042202712i</v>
      </c>
      <c r="AN447" s="98">
        <f t="shared" si="268"/>
        <v>575.80891054699748</v>
      </c>
      <c r="AO447" s="98">
        <f t="shared" si="269"/>
        <v>1.5690596386604057</v>
      </c>
      <c r="AP447" s="168" t="str">
        <f t="shared" si="270"/>
        <v>-1.2726774168953E-07+0.0000732822312270063i</v>
      </c>
      <c r="AQ447" s="98">
        <f t="shared" si="271"/>
        <v>-82.700013224608838</v>
      </c>
      <c r="AR447" s="169">
        <f t="shared" si="272"/>
        <v>90.099504300209787</v>
      </c>
      <c r="AS447" s="168" t="str">
        <f t="shared" si="273"/>
        <v>5.32321791338079E-07+0.0000158668270619477i</v>
      </c>
      <c r="AT447" s="190">
        <f t="shared" si="274"/>
        <v>-95.985312743001117</v>
      </c>
      <c r="AU447" s="169">
        <f t="shared" si="275"/>
        <v>88.078484344550546</v>
      </c>
      <c r="AV447" s="225"/>
      <c r="AX447">
        <f t="shared" si="276"/>
        <v>0</v>
      </c>
      <c r="AY447">
        <f t="shared" si="277"/>
        <v>0</v>
      </c>
    </row>
    <row r="448" spans="14:51" x14ac:dyDescent="0.3">
      <c r="N448" s="170">
        <v>30</v>
      </c>
      <c r="O448" s="199">
        <f t="shared" si="278"/>
        <v>199526.23149688813</v>
      </c>
      <c r="P448" s="189" t="str">
        <f t="shared" si="244"/>
        <v>20.7142857142857</v>
      </c>
      <c r="Q448" s="160" t="str">
        <f t="shared" si="245"/>
        <v>1+286.550922545865i</v>
      </c>
      <c r="R448" s="160">
        <f t="shared" si="253"/>
        <v>286.55266743111349</v>
      </c>
      <c r="S448" s="160">
        <f t="shared" si="254"/>
        <v>1.5673065598396165</v>
      </c>
      <c r="T448" s="160" t="str">
        <f t="shared" si="246"/>
        <v>1+0.0250732057227632i</v>
      </c>
      <c r="U448" s="160">
        <f t="shared" si="255"/>
        <v>1.0003142834355689</v>
      </c>
      <c r="V448" s="160">
        <f t="shared" si="256"/>
        <v>2.5067953482744845E-2</v>
      </c>
      <c r="W448" s="98" t="str">
        <f t="shared" si="247"/>
        <v>1-6.58171650222532i</v>
      </c>
      <c r="X448" s="160">
        <f t="shared" si="257"/>
        <v>6.6572510930311992</v>
      </c>
      <c r="Y448" s="160">
        <f t="shared" si="258"/>
        <v>-1.420013472756146</v>
      </c>
      <c r="Z448" s="98" t="str">
        <f t="shared" si="248"/>
        <v>-2.32025746380181-0.491108894802953i</v>
      </c>
      <c r="AA448" s="160">
        <f t="shared" si="259"/>
        <v>2.3716624222014788</v>
      </c>
      <c r="AB448" s="160">
        <f t="shared" si="260"/>
        <v>-2.9330097853035975</v>
      </c>
      <c r="AC448" s="171" t="str">
        <f t="shared" si="261"/>
        <v>0.202888920005379-0.00593462909626632i</v>
      </c>
      <c r="AD448" s="190">
        <f t="shared" si="262"/>
        <v>-13.851119160165942</v>
      </c>
      <c r="AE448" s="169">
        <f t="shared" si="263"/>
        <v>-1.6754600185613306</v>
      </c>
      <c r="AF448" s="98" t="str">
        <f t="shared" si="249"/>
        <v>-0.0000897803247373448</v>
      </c>
      <c r="AG448" s="98" t="str">
        <f t="shared" si="250"/>
        <v>2.50732057227632i</v>
      </c>
      <c r="AH448" s="98">
        <f t="shared" si="264"/>
        <v>2.5073205722763201</v>
      </c>
      <c r="AI448" s="98">
        <f t="shared" si="265"/>
        <v>1.5707963267948966</v>
      </c>
      <c r="AJ448" s="98" t="str">
        <f t="shared" si="251"/>
        <v>1+294.610167242468i</v>
      </c>
      <c r="AK448" s="98">
        <f t="shared" si="266"/>
        <v>294.61186439557207</v>
      </c>
      <c r="AL448" s="98">
        <f t="shared" si="267"/>
        <v>1.5674020238455921</v>
      </c>
      <c r="AM448" s="98" t="str">
        <f t="shared" si="252"/>
        <v>1+589.220334484937i</v>
      </c>
      <c r="AN448" s="98">
        <f t="shared" si="268"/>
        <v>589.2211830633222</v>
      </c>
      <c r="AO448" s="98">
        <f t="shared" si="269"/>
        <v>1.5690991704318857</v>
      </c>
      <c r="AP448" s="168" t="str">
        <f t="shared" si="270"/>
        <v>-1.21539815746808E-07+0.0000716141434321111i</v>
      </c>
      <c r="AQ448" s="98">
        <f t="shared" si="271"/>
        <v>-82.900011456016387</v>
      </c>
      <c r="AR448" s="169">
        <f t="shared" si="272"/>
        <v>90.097239336609647</v>
      </c>
      <c r="AS448" s="168" t="str">
        <f t="shared" si="273"/>
        <v>4.00344297361874E-07+0.0000145304375117782i</v>
      </c>
      <c r="AT448" s="190">
        <f t="shared" si="274"/>
        <v>-96.751130616182351</v>
      </c>
      <c r="AU448" s="169">
        <f t="shared" si="275"/>
        <v>88.421779318048323</v>
      </c>
      <c r="AV448" s="225"/>
      <c r="AX448">
        <f t="shared" si="276"/>
        <v>0</v>
      </c>
      <c r="AY448">
        <f t="shared" si="277"/>
        <v>0</v>
      </c>
    </row>
    <row r="449" spans="14:51" x14ac:dyDescent="0.3">
      <c r="N449" s="170">
        <v>31</v>
      </c>
      <c r="O449" s="199">
        <f t="shared" si="278"/>
        <v>204173.79446695308</v>
      </c>
      <c r="P449" s="189" t="str">
        <f t="shared" si="244"/>
        <v>20.7142857142857</v>
      </c>
      <c r="Q449" s="160" t="str">
        <f t="shared" si="245"/>
        <v>1+293.225550972768i</v>
      </c>
      <c r="R449" s="160">
        <f t="shared" si="253"/>
        <v>293.22725613981282</v>
      </c>
      <c r="S449" s="160">
        <f t="shared" si="254"/>
        <v>1.5673859960106449</v>
      </c>
      <c r="T449" s="160" t="str">
        <f t="shared" si="246"/>
        <v>1+0.0256572357101172i</v>
      </c>
      <c r="U449" s="160">
        <f t="shared" si="255"/>
        <v>1.0003290927211328</v>
      </c>
      <c r="V449" s="160">
        <f t="shared" si="256"/>
        <v>2.5651607933533563E-2</v>
      </c>
      <c r="W449" s="98" t="str">
        <f t="shared" si="247"/>
        <v>1-6.73502437390575i</v>
      </c>
      <c r="X449" s="160">
        <f t="shared" si="257"/>
        <v>6.808858444490129</v>
      </c>
      <c r="Y449" s="160">
        <f t="shared" si="258"/>
        <v>-1.4233956474796594</v>
      </c>
      <c r="Z449" s="98" t="str">
        <f t="shared" si="248"/>
        <v>-2.47673637722593-0.502548290498606i</v>
      </c>
      <c r="AA449" s="160">
        <f t="shared" si="259"/>
        <v>2.5272075234450564</v>
      </c>
      <c r="AB449" s="160">
        <f t="shared" si="260"/>
        <v>-2.9414030274320275</v>
      </c>
      <c r="AC449" s="171" t="str">
        <f t="shared" si="261"/>
        <v>0.190335442388211-0.00451693825473966i</v>
      </c>
      <c r="AD449" s="190">
        <f t="shared" si="262"/>
        <v>-14.407161501923071</v>
      </c>
      <c r="AE449" s="169">
        <f t="shared" si="263"/>
        <v>-1.3594574260203822</v>
      </c>
      <c r="AF449" s="98" t="str">
        <f t="shared" si="249"/>
        <v>-0.0000897803247373448</v>
      </c>
      <c r="AG449" s="98" t="str">
        <f t="shared" si="250"/>
        <v>2.56572357101173i</v>
      </c>
      <c r="AH449" s="98">
        <f t="shared" si="264"/>
        <v>2.5657235710117301</v>
      </c>
      <c r="AI449" s="98">
        <f t="shared" si="265"/>
        <v>1.5707963267948966</v>
      </c>
      <c r="AJ449" s="98" t="str">
        <f t="shared" si="251"/>
        <v>1+301.472519593877i</v>
      </c>
      <c r="AK449" s="98">
        <f t="shared" si="266"/>
        <v>301.47417811527498</v>
      </c>
      <c r="AL449" s="98">
        <f t="shared" si="267"/>
        <v>1.567479287040294</v>
      </c>
      <c r="AM449" s="98" t="str">
        <f t="shared" si="252"/>
        <v>1+602.945039187756i</v>
      </c>
      <c r="AN449" s="98">
        <f t="shared" si="268"/>
        <v>602.9458684501659</v>
      </c>
      <c r="AO449" s="98">
        <f t="shared" si="269"/>
        <v>1.5691378023555118</v>
      </c>
      <c r="AP449" s="168" t="str">
        <f t="shared" si="270"/>
        <v>-1.16069683131572E-07+0.000069984024653441i</v>
      </c>
      <c r="AQ449" s="98">
        <f t="shared" si="271"/>
        <v>-83.10000976702257</v>
      </c>
      <c r="AR449" s="169">
        <f t="shared" si="272"/>
        <v>90.095025927819776</v>
      </c>
      <c r="AS449" s="168" t="str">
        <f t="shared" si="273"/>
        <v>2.94021343691064E-07+0.0000133209645721121i</v>
      </c>
      <c r="AT449" s="190">
        <f t="shared" si="274"/>
        <v>-97.507171268945655</v>
      </c>
      <c r="AU449" s="169">
        <f t="shared" si="275"/>
        <v>88.735568501799406</v>
      </c>
      <c r="AV449" s="225"/>
      <c r="AX449">
        <f t="shared" si="276"/>
        <v>0</v>
      </c>
      <c r="AY449">
        <f t="shared" si="277"/>
        <v>0</v>
      </c>
    </row>
    <row r="450" spans="14:51" x14ac:dyDescent="0.3">
      <c r="N450" s="170">
        <v>32</v>
      </c>
      <c r="O450" s="199">
        <f t="shared" si="278"/>
        <v>208929.61308540447</v>
      </c>
      <c r="P450" s="189" t="str">
        <f t="shared" si="244"/>
        <v>20.7142857142857</v>
      </c>
      <c r="Q450" s="160" t="str">
        <f t="shared" si="245"/>
        <v>1+300.055651468098i</v>
      </c>
      <c r="R450" s="160">
        <f t="shared" si="253"/>
        <v>300.05731782102015</v>
      </c>
      <c r="S450" s="160">
        <f t="shared" si="254"/>
        <v>1.567463624035252</v>
      </c>
      <c r="T450" s="160" t="str">
        <f t="shared" si="246"/>
        <v>1+0.0262548695034586i</v>
      </c>
      <c r="U450" s="160">
        <f t="shared" si="255"/>
        <v>1.0003445997118412</v>
      </c>
      <c r="V450" s="160">
        <f t="shared" si="256"/>
        <v>2.6248839344391425E-2</v>
      </c>
      <c r="W450" s="98" t="str">
        <f t="shared" si="247"/>
        <v>1-6.89190324465786i</v>
      </c>
      <c r="X450" s="160">
        <f t="shared" si="257"/>
        <v>6.9640742625079417</v>
      </c>
      <c r="Y450" s="160">
        <f t="shared" si="258"/>
        <v>-1.4267041201222053</v>
      </c>
      <c r="Z450" s="98" t="str">
        <f t="shared" si="248"/>
        <v>-2.64058991464038-0.514254143949899i</v>
      </c>
      <c r="AA450" s="160">
        <f t="shared" si="259"/>
        <v>2.6901993275350682</v>
      </c>
      <c r="AB450" s="160">
        <f t="shared" si="260"/>
        <v>-2.9492505001230991</v>
      </c>
      <c r="AC450" s="171" t="str">
        <f t="shared" si="261"/>
        <v>0.178738711547139-0.00333715428640516i</v>
      </c>
      <c r="AD450" s="190">
        <f t="shared" si="262"/>
        <v>-14.954113896030117</v>
      </c>
      <c r="AE450" s="169">
        <f t="shared" si="263"/>
        <v>-1.0696207989773734</v>
      </c>
      <c r="AF450" s="98" t="str">
        <f t="shared" si="249"/>
        <v>-0.0000897803247373448</v>
      </c>
      <c r="AG450" s="98" t="str">
        <f t="shared" si="250"/>
        <v>2.62548695034586i</v>
      </c>
      <c r="AH450" s="98">
        <f t="shared" si="264"/>
        <v>2.6254869503458602</v>
      </c>
      <c r="AI450" s="98">
        <f t="shared" si="265"/>
        <v>1.5707963267948966</v>
      </c>
      <c r="AJ450" s="98" t="str">
        <f t="shared" si="251"/>
        <v>1+308.494716665639i</v>
      </c>
      <c r="AK450" s="98">
        <f t="shared" si="266"/>
        <v>308.49633743468144</v>
      </c>
      <c r="AL450" s="98">
        <f t="shared" si="267"/>
        <v>1.5675547915482348</v>
      </c>
      <c r="AM450" s="98" t="str">
        <f t="shared" si="252"/>
        <v>1+616.989433331279i</v>
      </c>
      <c r="AN450" s="98">
        <f t="shared" si="268"/>
        <v>616.99024371739677</v>
      </c>
      <c r="AO450" s="98">
        <f t="shared" si="269"/>
        <v>1.5691755549139801</v>
      </c>
      <c r="AP450" s="168" t="str">
        <f t="shared" si="270"/>
        <v>-1.10845741743721E-07+0.0000683910106972809i</v>
      </c>
      <c r="AQ450" s="98">
        <f t="shared" si="271"/>
        <v>-83.300008154045003</v>
      </c>
      <c r="AR450" s="169">
        <f t="shared" si="272"/>
        <v>90.092862900446619</v>
      </c>
      <c r="AS450" s="168" t="str">
        <f t="shared" si="273"/>
        <v>2.08418929440253E-07+0.0000122244910427808i</v>
      </c>
      <c r="AT450" s="190">
        <f t="shared" si="274"/>
        <v>-98.254122050075097</v>
      </c>
      <c r="AU450" s="169">
        <f t="shared" si="275"/>
        <v>89.023242101469251</v>
      </c>
      <c r="AV450" s="225"/>
      <c r="AX450">
        <f t="shared" si="276"/>
        <v>0</v>
      </c>
      <c r="AY450">
        <f t="shared" si="277"/>
        <v>0</v>
      </c>
    </row>
    <row r="451" spans="14:51" x14ac:dyDescent="0.3">
      <c r="N451" s="170">
        <v>33</v>
      </c>
      <c r="O451" s="199">
        <f t="shared" si="278"/>
        <v>213796.20895022334</v>
      </c>
      <c r="P451" s="189" t="str">
        <f t="shared" si="244"/>
        <v>20.7142857142857</v>
      </c>
      <c r="Q451" s="160" t="str">
        <f t="shared" si="245"/>
        <v>1+307.044845441541i</v>
      </c>
      <c r="R451" s="160">
        <f t="shared" si="253"/>
        <v>307.04647386384329</v>
      </c>
      <c r="S451" s="160">
        <f t="shared" si="254"/>
        <v>1.5675394850690998</v>
      </c>
      <c r="T451" s="160" t="str">
        <f t="shared" si="246"/>
        <v>1+0.0268664239761348i</v>
      </c>
      <c r="U451" s="160">
        <f t="shared" si="255"/>
        <v>1.0003608372668662</v>
      </c>
      <c r="V451" s="160">
        <f t="shared" si="256"/>
        <v>2.6859962670151689E-2</v>
      </c>
      <c r="W451" s="98" t="str">
        <f t="shared" si="247"/>
        <v>1-7.05243629373537i</v>
      </c>
      <c r="X451" s="160">
        <f t="shared" si="257"/>
        <v>7.1229809544316414</v>
      </c>
      <c r="Y451" s="160">
        <f t="shared" si="258"/>
        <v>-1.4299403550130969</v>
      </c>
      <c r="Z451" s="98" t="str">
        <f t="shared" si="248"/>
        <v>-2.81216563136612-0.526232661755268i</v>
      </c>
      <c r="AA451" s="160">
        <f t="shared" si="259"/>
        <v>2.8609782160189274</v>
      </c>
      <c r="AB451" s="160">
        <f t="shared" si="260"/>
        <v>-2.9566048732185228</v>
      </c>
      <c r="AC451" s="171" t="str">
        <f t="shared" si="261"/>
        <v>0.168006895903007-0.00235477152765023i</v>
      </c>
      <c r="AD451" s="190">
        <f t="shared" si="262"/>
        <v>-15.492604772089255</v>
      </c>
      <c r="AE451" s="169">
        <f t="shared" si="263"/>
        <v>-0.803000590146973</v>
      </c>
      <c r="AF451" s="98" t="str">
        <f t="shared" si="249"/>
        <v>-0.0000897803247373448</v>
      </c>
      <c r="AG451" s="98" t="str">
        <f t="shared" si="250"/>
        <v>2.68664239761348i</v>
      </c>
      <c r="AH451" s="98">
        <f t="shared" si="264"/>
        <v>2.6866423976134799</v>
      </c>
      <c r="AI451" s="98">
        <f t="shared" si="265"/>
        <v>1.5707963267948966</v>
      </c>
      <c r="AJ451" s="98" t="str">
        <f t="shared" si="251"/>
        <v>1+315.680481719584i</v>
      </c>
      <c r="AK451" s="98">
        <f t="shared" si="266"/>
        <v>315.68206559560622</v>
      </c>
      <c r="AL451" s="98">
        <f t="shared" si="267"/>
        <v>1.5676285773994578</v>
      </c>
      <c r="AM451" s="98" t="str">
        <f t="shared" si="252"/>
        <v>1+631.360963439169i</v>
      </c>
      <c r="AN451" s="98">
        <f t="shared" si="268"/>
        <v>631.36175537867007</v>
      </c>
      <c r="AO451" s="98">
        <f t="shared" si="269"/>
        <v>1.5692124481237657</v>
      </c>
      <c r="AP451" s="168" t="str">
        <f t="shared" si="270"/>
        <v>-1.05856911618731E-07+0.0000668342570355865i</v>
      </c>
      <c r="AQ451" s="98">
        <f t="shared" si="271"/>
        <v>-83.500006613662407</v>
      </c>
      <c r="AR451" s="169">
        <f t="shared" si="272"/>
        <v>90.090749107797151</v>
      </c>
      <c r="AS451" s="168" t="str">
        <f t="shared" si="273"/>
        <v>1.39594714408114E-07+0.0000112288653333741i</v>
      </c>
      <c r="AT451" s="190">
        <f t="shared" si="274"/>
        <v>-98.992611385751644</v>
      </c>
      <c r="AU451" s="169">
        <f t="shared" si="275"/>
        <v>89.287748517650186</v>
      </c>
      <c r="AV451" s="225"/>
      <c r="AX451">
        <f t="shared" si="276"/>
        <v>0</v>
      </c>
      <c r="AY451">
        <f t="shared" si="277"/>
        <v>0</v>
      </c>
    </row>
    <row r="452" spans="14:51" x14ac:dyDescent="0.3">
      <c r="N452" s="170">
        <v>34</v>
      </c>
      <c r="O452" s="199">
        <f t="shared" si="278"/>
        <v>218776.16239495538</v>
      </c>
      <c r="P452" s="189" t="str">
        <f t="shared" si="244"/>
        <v>20.7142857142857</v>
      </c>
      <c r="Q452" s="160" t="str">
        <f t="shared" si="245"/>
        <v>1+314.196838656256i</v>
      </c>
      <c r="R452" s="160">
        <f t="shared" si="253"/>
        <v>314.19843001133114</v>
      </c>
      <c r="S452" s="160">
        <f t="shared" si="254"/>
        <v>1.5676136193312182</v>
      </c>
      <c r="T452" s="160" t="str">
        <f t="shared" si="246"/>
        <v>1+0.0274922233824224i</v>
      </c>
      <c r="U452" s="160">
        <f t="shared" si="255"/>
        <v>1.0003778397918004</v>
      </c>
      <c r="V452" s="160">
        <f t="shared" si="256"/>
        <v>2.7485300109547361E-2</v>
      </c>
      <c r="W452" s="98" t="str">
        <f t="shared" si="247"/>
        <v>1-7.21670863788586i</v>
      </c>
      <c r="X452" s="160">
        <f t="shared" si="257"/>
        <v>7.2856628774694467</v>
      </c>
      <c r="Y452" s="160">
        <f t="shared" si="258"/>
        <v>-1.4331057967550433</v>
      </c>
      <c r="Z452" s="98" t="str">
        <f t="shared" si="248"/>
        <v>-2.99182746250194-0.538490195083415i</v>
      </c>
      <c r="AA452" s="160">
        <f t="shared" si="259"/>
        <v>3.0399018496625465</v>
      </c>
      <c r="AB452" s="160">
        <f t="shared" si="260"/>
        <v>-2.9635122602701149</v>
      </c>
      <c r="AC452" s="171" t="str">
        <f t="shared" si="261"/>
        <v>0.158058916501828-0.00153667439233685i</v>
      </c>
      <c r="AD452" s="190">
        <f t="shared" si="262"/>
        <v>-16.023209512111261</v>
      </c>
      <c r="AE452" s="169">
        <f t="shared" si="263"/>
        <v>-0.5570213010233358</v>
      </c>
      <c r="AF452" s="98" t="str">
        <f t="shared" si="249"/>
        <v>-0.0000897803247373448</v>
      </c>
      <c r="AG452" s="98" t="str">
        <f t="shared" si="250"/>
        <v>2.74922233824224i</v>
      </c>
      <c r="AH452" s="98">
        <f t="shared" si="264"/>
        <v>2.74922233824224</v>
      </c>
      <c r="AI452" s="98">
        <f t="shared" si="265"/>
        <v>1.5707963267948966</v>
      </c>
      <c r="AJ452" s="98" t="str">
        <f t="shared" si="251"/>
        <v>1+323.033624743463i</v>
      </c>
      <c r="AK452" s="98">
        <f t="shared" si="266"/>
        <v>323.03517256624002</v>
      </c>
      <c r="AL452" s="98">
        <f t="shared" si="267"/>
        <v>1.567700683712983</v>
      </c>
      <c r="AM452" s="98" t="str">
        <f t="shared" si="252"/>
        <v>1+646.067249486928i</v>
      </c>
      <c r="AN452" s="98">
        <f t="shared" si="268"/>
        <v>646.06802339970704</v>
      </c>
      <c r="AO452" s="98">
        <f t="shared" si="269"/>
        <v>1.5692485015457351</v>
      </c>
      <c r="AP452" s="168" t="str">
        <f t="shared" si="270"/>
        <v>-1.01092611431624E-07+0.0000653129383587229i</v>
      </c>
      <c r="AQ452" s="98">
        <f t="shared" si="271"/>
        <v>-83.700005142607637</v>
      </c>
      <c r="AR452" s="169">
        <f t="shared" si="272"/>
        <v>90.088683429271782</v>
      </c>
      <c r="AS452" s="168" t="str">
        <f t="shared" si="273"/>
        <v>8.43861312349019E-08+0.0000103234476169577i</v>
      </c>
      <c r="AT452" s="190">
        <f t="shared" si="274"/>
        <v>-99.723214654718859</v>
      </c>
      <c r="AU452" s="169">
        <f t="shared" si="275"/>
        <v>89.531662128248442</v>
      </c>
      <c r="AV452" s="225"/>
      <c r="AX452">
        <f t="shared" si="276"/>
        <v>0</v>
      </c>
      <c r="AY452">
        <f t="shared" si="277"/>
        <v>0</v>
      </c>
    </row>
    <row r="453" spans="14:51" x14ac:dyDescent="0.3">
      <c r="N453" s="170">
        <v>35</v>
      </c>
      <c r="O453" s="199">
        <f t="shared" si="278"/>
        <v>223872.11385683404</v>
      </c>
      <c r="P453" s="189" t="str">
        <f t="shared" si="244"/>
        <v>20.7142857142857</v>
      </c>
      <c r="Q453" s="160" t="str">
        <f t="shared" si="245"/>
        <v>1+321.515423193714i</v>
      </c>
      <c r="R453" s="160">
        <f t="shared" si="253"/>
        <v>321.51697832530249</v>
      </c>
      <c r="S453" s="160">
        <f t="shared" si="254"/>
        <v>1.5676860661253125</v>
      </c>
      <c r="T453" s="160" t="str">
        <f t="shared" si="246"/>
        <v>1+0.02813259952945i</v>
      </c>
      <c r="U453" s="160">
        <f t="shared" si="255"/>
        <v>1.0003956433113272</v>
      </c>
      <c r="V453" s="160">
        <f t="shared" si="256"/>
        <v>2.81251812673558E-2</v>
      </c>
      <c r="W453" s="98" t="str">
        <f t="shared" si="247"/>
        <v>1-7.38480737648061i</v>
      </c>
      <c r="X453" s="160">
        <f t="shared" si="257"/>
        <v>7.4522063838652786</v>
      </c>
      <c r="Y453" s="160">
        <f t="shared" si="258"/>
        <v>-1.4362018698317509</v>
      </c>
      <c r="Z453" s="98" t="str">
        <f t="shared" si="248"/>
        <v>-3.1799564948794-0.551033243040755i</v>
      </c>
      <c r="AA453" s="160">
        <f t="shared" si="259"/>
        <v>3.2273458048777002</v>
      </c>
      <c r="AB453" s="160">
        <f t="shared" si="260"/>
        <v>-2.9700131938433589</v>
      </c>
      <c r="AC453" s="171" t="str">
        <f t="shared" si="261"/>
        <v>0.148822993527251-0.000855676285466777i</v>
      </c>
      <c r="AD453" s="190">
        <f t="shared" si="262"/>
        <v>-16.546455712828667</v>
      </c>
      <c r="AE453" s="169">
        <f t="shared" si="263"/>
        <v>-0.32942557054944194</v>
      </c>
      <c r="AF453" s="98" t="str">
        <f t="shared" si="249"/>
        <v>-0.0000897803247373448</v>
      </c>
      <c r="AG453" s="98" t="str">
        <f t="shared" si="250"/>
        <v>2.81325995294499i</v>
      </c>
      <c r="AH453" s="98">
        <f t="shared" si="264"/>
        <v>2.81325995294499</v>
      </c>
      <c r="AI453" s="98">
        <f t="shared" si="265"/>
        <v>1.5707963267948966</v>
      </c>
      <c r="AJ453" s="98" t="str">
        <f t="shared" si="251"/>
        <v>1+330.558044471038i</v>
      </c>
      <c r="AK453" s="98">
        <f t="shared" si="266"/>
        <v>330.55955706123024</v>
      </c>
      <c r="AL453" s="98">
        <f t="shared" si="267"/>
        <v>1.567771148717531</v>
      </c>
      <c r="AM453" s="98" t="str">
        <f t="shared" si="252"/>
        <v>1+661.116088942077i</v>
      </c>
      <c r="AN453" s="98">
        <f t="shared" si="268"/>
        <v>661.11684523847089</v>
      </c>
      <c r="AO453" s="98">
        <f t="shared" si="269"/>
        <v>1.5692837342955146</v>
      </c>
      <c r="AP453" s="168" t="str">
        <f t="shared" si="270"/>
        <v>-9.65427360581064E-08+0.0000638262481383618i</v>
      </c>
      <c r="AQ453" s="98">
        <f t="shared" si="271"/>
        <v>-83.900003737760414</v>
      </c>
      <c r="AR453" s="169">
        <f t="shared" si="272"/>
        <v>90.08666476977082</v>
      </c>
      <c r="AS453" s="168" t="str">
        <f t="shared" si="273"/>
        <v>4.02468279388355E-08+9.49889592289391E-06i</v>
      </c>
      <c r="AT453" s="190">
        <f t="shared" si="274"/>
        <v>-100.44645945058909</v>
      </c>
      <c r="AU453" s="169">
        <f t="shared" si="275"/>
        <v>89.757239199221388</v>
      </c>
      <c r="AV453" s="225"/>
      <c r="AX453">
        <f t="shared" si="276"/>
        <v>0</v>
      </c>
      <c r="AY453">
        <f t="shared" si="277"/>
        <v>0</v>
      </c>
    </row>
    <row r="454" spans="14:51" x14ac:dyDescent="0.3">
      <c r="N454" s="170">
        <v>36</v>
      </c>
      <c r="O454" s="199">
        <f t="shared" si="278"/>
        <v>229086.76527677779</v>
      </c>
      <c r="P454" s="189" t="str">
        <f t="shared" si="244"/>
        <v>20.7142857142857</v>
      </c>
      <c r="Q454" s="160" t="str">
        <f t="shared" si="245"/>
        <v>1+329.004479464309i</v>
      </c>
      <c r="R454" s="160">
        <f t="shared" si="253"/>
        <v>329.00599919694611</v>
      </c>
      <c r="S454" s="160">
        <f t="shared" si="254"/>
        <v>1.5677568638605883</v>
      </c>
      <c r="T454" s="160" t="str">
        <f t="shared" si="246"/>
        <v>1+0.028787891953127i</v>
      </c>
      <c r="U454" s="160">
        <f t="shared" si="255"/>
        <v>1.000414285545296</v>
      </c>
      <c r="V454" s="160">
        <f t="shared" si="256"/>
        <v>2.8779943319852775E-2</v>
      </c>
      <c r="W454" s="98" t="str">
        <f t="shared" si="247"/>
        <v>1-7.55682163769582i</v>
      </c>
      <c r="X454" s="160">
        <f t="shared" si="257"/>
        <v>7.6226998671040258</v>
      </c>
      <c r="Y454" s="160">
        <f t="shared" si="258"/>
        <v>-1.4392299782736937</v>
      </c>
      <c r="Z454" s="98" t="str">
        <f t="shared" si="248"/>
        <v>-3.37695177539898-0.563868456117342i</v>
      </c>
      <c r="AA454" s="160">
        <f t="shared" si="259"/>
        <v>3.423704270110735</v>
      </c>
      <c r="AB454" s="160">
        <f t="shared" si="260"/>
        <v>-2.9761434341789985</v>
      </c>
      <c r="AC454" s="171" t="str">
        <f t="shared" si="261"/>
        <v>0.140235407590492-0.000289371214901687i</v>
      </c>
      <c r="AD454" s="190">
        <f t="shared" si="262"/>
        <v>-17.062827886148142</v>
      </c>
      <c r="AE454" s="169">
        <f t="shared" si="263"/>
        <v>-0.11822781478473586</v>
      </c>
      <c r="AF454" s="98" t="str">
        <f t="shared" si="249"/>
        <v>-0.0000897803247373448</v>
      </c>
      <c r="AG454" s="98" t="str">
        <f t="shared" si="250"/>
        <v>2.8787891953127i</v>
      </c>
      <c r="AH454" s="98">
        <f t="shared" si="264"/>
        <v>2.8787891953127001</v>
      </c>
      <c r="AI454" s="98">
        <f t="shared" si="265"/>
        <v>1.5707963267948966</v>
      </c>
      <c r="AJ454" s="98" t="str">
        <f t="shared" si="251"/>
        <v>1+338.257730449242i</v>
      </c>
      <c r="AK454" s="98">
        <f t="shared" si="266"/>
        <v>338.25920860883014</v>
      </c>
      <c r="AL454" s="98">
        <f t="shared" si="267"/>
        <v>1.5678400097717791</v>
      </c>
      <c r="AM454" s="98" t="str">
        <f t="shared" si="252"/>
        <v>1+676.515460898486i</v>
      </c>
      <c r="AN454" s="98">
        <f t="shared" si="268"/>
        <v>676.51619997949126</v>
      </c>
      <c r="AO454" s="98">
        <f t="shared" si="269"/>
        <v>1.5693181650536245</v>
      </c>
      <c r="AP454" s="168" t="str">
        <f t="shared" si="270"/>
        <v>-9.21976351452952E-08+0.0000623733982003018i</v>
      </c>
      <c r="AQ454" s="98">
        <f t="shared" si="271"/>
        <v>-84.100002396141079</v>
      </c>
      <c r="AR454" s="169">
        <f t="shared" si="272"/>
        <v>90.084692059114715</v>
      </c>
      <c r="AS454" s="168" t="str">
        <f t="shared" si="273"/>
        <v>5.11969307128809E-09+8.74698559876508E-06i</v>
      </c>
      <c r="AT454" s="190">
        <f t="shared" si="274"/>
        <v>-101.16283028228921</v>
      </c>
      <c r="AU454" s="169">
        <f t="shared" si="275"/>
        <v>89.966464244329984</v>
      </c>
      <c r="AV454" s="225"/>
      <c r="AX454">
        <f t="shared" si="276"/>
        <v>0</v>
      </c>
      <c r="AY454">
        <f t="shared" si="277"/>
        <v>0</v>
      </c>
    </row>
    <row r="455" spans="14:51" x14ac:dyDescent="0.3">
      <c r="N455" s="170">
        <v>37</v>
      </c>
      <c r="O455" s="199">
        <f t="shared" si="278"/>
        <v>234422.88153199267</v>
      </c>
      <c r="P455" s="189" t="str">
        <f t="shared" si="244"/>
        <v>20.7142857142857</v>
      </c>
      <c r="Q455" s="160" t="str">
        <f t="shared" si="245"/>
        <v>1+336.667978264805i</v>
      </c>
      <c r="R455" s="160">
        <f t="shared" si="253"/>
        <v>336.66946340425835</v>
      </c>
      <c r="S455" s="160">
        <f t="shared" si="254"/>
        <v>1.5678260500721017</v>
      </c>
      <c r="T455" s="160" t="str">
        <f t="shared" si="246"/>
        <v>1+0.0294584480981704i</v>
      </c>
      <c r="U455" s="160">
        <f t="shared" si="255"/>
        <v>1.0004338059883584</v>
      </c>
      <c r="V455" s="160">
        <f t="shared" si="256"/>
        <v>2.9449931183618307E-2</v>
      </c>
      <c r="W455" s="98" t="str">
        <f t="shared" si="247"/>
        <v>1-7.73284262576971i</v>
      </c>
      <c r="X455" s="160">
        <f t="shared" si="257"/>
        <v>7.7972338091736715</v>
      </c>
      <c r="Y455" s="160">
        <f t="shared" si="258"/>
        <v>-1.4421915053781422</v>
      </c>
      <c r="Z455" s="98" t="str">
        <f t="shared" si="248"/>
        <v>-3.58323115746235-0.577002639713044i</v>
      </c>
      <c r="AA455" s="160">
        <f t="shared" si="259"/>
        <v>3.6293907993001793</v>
      </c>
      <c r="AB455" s="160">
        <f t="shared" si="260"/>
        <v>-2.9819346430529148</v>
      </c>
      <c r="AC455" s="171" t="str">
        <f t="shared" si="261"/>
        <v>0.132239443105443+0.000180773915620027i</v>
      </c>
      <c r="AD455" s="190">
        <f t="shared" si="262"/>
        <v>-17.572771651348059</v>
      </c>
      <c r="AE455" s="169">
        <f t="shared" si="263"/>
        <v>7.8324406969444177E-2</v>
      </c>
      <c r="AF455" s="98" t="str">
        <f t="shared" si="249"/>
        <v>-0.0000897803247373448</v>
      </c>
      <c r="AG455" s="98" t="str">
        <f t="shared" si="250"/>
        <v>2.94584480981703i</v>
      </c>
      <c r="AH455" s="98">
        <f t="shared" si="264"/>
        <v>2.94584480981703</v>
      </c>
      <c r="AI455" s="98">
        <f t="shared" si="265"/>
        <v>1.5707963267948966</v>
      </c>
      <c r="AJ455" s="98" t="str">
        <f t="shared" si="251"/>
        <v>1+346.136765153502i</v>
      </c>
      <c r="AK455" s="98">
        <f t="shared" si="266"/>
        <v>346.13820966621211</v>
      </c>
      <c r="AL455" s="98">
        <f t="shared" si="267"/>
        <v>1.5679073033841564</v>
      </c>
      <c r="AM455" s="98" t="str">
        <f t="shared" si="252"/>
        <v>1+692.273530307006i</v>
      </c>
      <c r="AN455" s="98">
        <f t="shared" si="268"/>
        <v>692.27425256449135</v>
      </c>
      <c r="AO455" s="98">
        <f t="shared" si="269"/>
        <v>1.5693518120753818</v>
      </c>
      <c r="AP455" s="168" t="str">
        <f t="shared" si="270"/>
        <v>-8.80480926466342E-08+0.0000609536183069921i</v>
      </c>
      <c r="AQ455" s="98">
        <f t="shared" si="271"/>
        <v>-84.30000111490385</v>
      </c>
      <c r="AR455" s="169">
        <f t="shared" si="272"/>
        <v>90.082764251477172</v>
      </c>
      <c r="AS455" s="168" t="str">
        <f t="shared" si="273"/>
        <v>-2.26622549906509E-08+0.0000080604566233799i</v>
      </c>
      <c r="AT455" s="190">
        <f t="shared" si="274"/>
        <v>-101.87277276625193</v>
      </c>
      <c r="AU455" s="169">
        <f t="shared" si="275"/>
        <v>90.16108865844663</v>
      </c>
      <c r="AV455" s="225"/>
      <c r="AX455">
        <f t="shared" si="276"/>
        <v>0</v>
      </c>
      <c r="AY455">
        <f t="shared" si="277"/>
        <v>0</v>
      </c>
    </row>
    <row r="456" spans="14:51" x14ac:dyDescent="0.3">
      <c r="N456" s="170">
        <v>38</v>
      </c>
      <c r="O456" s="199">
        <f t="shared" si="278"/>
        <v>239883.29190194907</v>
      </c>
      <c r="P456" s="189" t="str">
        <f t="shared" si="244"/>
        <v>20.7142857142857</v>
      </c>
      <c r="Q456" s="160" t="str">
        <f t="shared" si="245"/>
        <v>1+344.509982883703i</v>
      </c>
      <c r="R456" s="160">
        <f t="shared" si="253"/>
        <v>344.51143421739914</v>
      </c>
      <c r="S456" s="160">
        <f t="shared" si="254"/>
        <v>1.5678936614406469</v>
      </c>
      <c r="T456" s="160" t="str">
        <f t="shared" si="246"/>
        <v>1+0.030144623502324i</v>
      </c>
      <c r="U456" s="160">
        <f t="shared" si="255"/>
        <v>1.0004542459933372</v>
      </c>
      <c r="V456" s="160">
        <f t="shared" si="256"/>
        <v>3.0135497687735859E-2</v>
      </c>
      <c r="W456" s="98" t="str">
        <f t="shared" si="247"/>
        <v>1-7.91296366936003i</v>
      </c>
      <c r="X456" s="160">
        <f t="shared" si="257"/>
        <v>7.9759008289102837</v>
      </c>
      <c r="Y456" s="160">
        <f t="shared" si="258"/>
        <v>-1.4450878134797378</v>
      </c>
      <c r="Z456" s="98" t="str">
        <f t="shared" si="248"/>
        <v>-3.79923218729516-0.590442757745854i</v>
      </c>
      <c r="AA456" s="160">
        <f t="shared" si="259"/>
        <v>3.8448391205815224</v>
      </c>
      <c r="AB456" s="160">
        <f t="shared" si="260"/>
        <v>-2.9874149480075389</v>
      </c>
      <c r="AC456" s="171" t="str">
        <f t="shared" si="261"/>
        <v>0.124784485682749+0.000570140635572214i</v>
      </c>
      <c r="AD456" s="190">
        <f t="shared" si="262"/>
        <v>-18.076697471575024</v>
      </c>
      <c r="AE456" s="169">
        <f t="shared" si="263"/>
        <v>0.2617827421198472</v>
      </c>
      <c r="AF456" s="98" t="str">
        <f t="shared" si="249"/>
        <v>-0.0000897803247373448</v>
      </c>
      <c r="AG456" s="98" t="str">
        <f t="shared" si="250"/>
        <v>3.0144623502324i</v>
      </c>
      <c r="AH456" s="98">
        <f t="shared" si="264"/>
        <v>3.0144623502323999</v>
      </c>
      <c r="AI456" s="98">
        <f t="shared" si="265"/>
        <v>1.5707963267948966</v>
      </c>
      <c r="AJ456" s="98" t="str">
        <f t="shared" si="251"/>
        <v>1+354.199326152307i</v>
      </c>
      <c r="AK456" s="98">
        <f t="shared" si="266"/>
        <v>354.20073778402599</v>
      </c>
      <c r="AL456" s="98">
        <f t="shared" si="267"/>
        <v>1.5679730652321875</v>
      </c>
      <c r="AM456" s="98" t="str">
        <f t="shared" si="252"/>
        <v>1+708.398652304616i</v>
      </c>
      <c r="AN456" s="98">
        <f t="shared" si="268"/>
        <v>708.39935812153044</v>
      </c>
      <c r="AO456" s="98">
        <f t="shared" si="269"/>
        <v>1.5693846932005777</v>
      </c>
      <c r="AP456" s="168" t="str">
        <f t="shared" si="270"/>
        <v>-8.40853072776239E-08+0.0000595661557495352i</v>
      </c>
      <c r="AQ456" s="98">
        <f t="shared" si="271"/>
        <v>-84.499999891331299</v>
      </c>
      <c r="AR456" s="169">
        <f t="shared" si="272"/>
        <v>90.080880324831384</v>
      </c>
      <c r="AS456" s="168" t="str">
        <f t="shared" si="273"/>
        <v>-4.44536277197477E-08+7.43288416885374E-06i</v>
      </c>
      <c r="AT456" s="190">
        <f t="shared" si="274"/>
        <v>-102.57669736290632</v>
      </c>
      <c r="AU456" s="169">
        <f t="shared" si="275"/>
        <v>90.342663066951232</v>
      </c>
      <c r="AV456" s="225"/>
      <c r="AX456">
        <f t="shared" si="276"/>
        <v>0</v>
      </c>
      <c r="AY456">
        <f t="shared" si="277"/>
        <v>0</v>
      </c>
    </row>
    <row r="457" spans="14:51" x14ac:dyDescent="0.3">
      <c r="N457" s="170">
        <v>39</v>
      </c>
      <c r="O457" s="199">
        <f t="shared" si="278"/>
        <v>245470.89156850305</v>
      </c>
      <c r="P457" s="189" t="str">
        <f t="shared" si="244"/>
        <v>20.7142857142857</v>
      </c>
      <c r="Q457" s="160" t="str">
        <f t="shared" si="245"/>
        <v>1+352.534651255655i</v>
      </c>
      <c r="R457" s="160">
        <f t="shared" si="253"/>
        <v>352.53606955309738</v>
      </c>
      <c r="S457" s="160">
        <f t="shared" si="254"/>
        <v>1.567959733812192</v>
      </c>
      <c r="T457" s="160" t="str">
        <f t="shared" si="246"/>
        <v>1+0.0308467819848698i</v>
      </c>
      <c r="U457" s="160">
        <f t="shared" si="255"/>
        <v>1.0004756488584927</v>
      </c>
      <c r="V457" s="160">
        <f t="shared" si="256"/>
        <v>3.083700374942781E-2</v>
      </c>
      <c r="W457" s="98" t="str">
        <f t="shared" si="247"/>
        <v>1-8.0972802710283i</v>
      </c>
      <c r="X457" s="160">
        <f t="shared" si="257"/>
        <v>8.1587957314535178</v>
      </c>
      <c r="Y457" s="160">
        <f t="shared" si="258"/>
        <v>-1.4479202437680929</v>
      </c>
      <c r="Z457" s="98" t="str">
        <f t="shared" si="248"/>
        <v>-4.0254130320415-0.604195936344254i</v>
      </c>
      <c r="AA457" s="160">
        <f t="shared" si="259"/>
        <v>4.0705039992640284</v>
      </c>
      <c r="AB457" s="160">
        <f t="shared" si="260"/>
        <v>-2.9926094169668453</v>
      </c>
      <c r="AC457" s="171" t="str">
        <f t="shared" si="261"/>
        <v>0.117825249687979+0.000891535065588981i</v>
      </c>
      <c r="AD457" s="190">
        <f t="shared" si="262"/>
        <v>-18.574983984172697</v>
      </c>
      <c r="AE457" s="169">
        <f t="shared" si="263"/>
        <v>0.43352525761784577</v>
      </c>
      <c r="AF457" s="98" t="str">
        <f t="shared" si="249"/>
        <v>-0.0000897803247373448</v>
      </c>
      <c r="AG457" s="98" t="str">
        <f t="shared" si="250"/>
        <v>3.08467819848698i</v>
      </c>
      <c r="AH457" s="98">
        <f t="shared" si="264"/>
        <v>3.08467819848698</v>
      </c>
      <c r="AI457" s="98">
        <f t="shared" si="265"/>
        <v>1.5707963267948966</v>
      </c>
      <c r="AJ457" s="98" t="str">
        <f t="shared" si="251"/>
        <v>1+362.44968832222i</v>
      </c>
      <c r="AK457" s="98">
        <f t="shared" si="266"/>
        <v>362.45106782140186</v>
      </c>
      <c r="AL457" s="98">
        <f t="shared" si="267"/>
        <v>1.5680373301813981</v>
      </c>
      <c r="AM457" s="98" t="str">
        <f t="shared" si="252"/>
        <v>1+724.899376644442i</v>
      </c>
      <c r="AN457" s="98">
        <f t="shared" si="268"/>
        <v>724.90006639501735</v>
      </c>
      <c r="AO457" s="98">
        <f t="shared" si="269"/>
        <v>1.5694168258629355</v>
      </c>
      <c r="AP457" s="168" t="str">
        <f t="shared" si="270"/>
        <v>-8.03008738509564E-08+0.0000582102749489628i</v>
      </c>
      <c r="AQ457" s="98">
        <f t="shared" si="271"/>
        <v>-84.699998722827914</v>
      </c>
      <c r="AR457" s="169">
        <f t="shared" si="272"/>
        <v>90.079039280408608</v>
      </c>
      <c r="AS457" s="168" t="str">
        <f t="shared" si="273"/>
        <v>-6.1357971806228E-08+6.85856858922262E-06i</v>
      </c>
      <c r="AT457" s="190">
        <f t="shared" si="274"/>
        <v>-103.2749827070006</v>
      </c>
      <c r="AU457" s="169">
        <f t="shared" si="275"/>
        <v>90.512564538026467</v>
      </c>
      <c r="AV457" s="225"/>
      <c r="AX457">
        <f t="shared" si="276"/>
        <v>0</v>
      </c>
      <c r="AY457">
        <f t="shared" si="277"/>
        <v>0</v>
      </c>
    </row>
    <row r="458" spans="14:51" x14ac:dyDescent="0.3">
      <c r="N458" s="170">
        <v>40</v>
      </c>
      <c r="O458" s="199">
        <f t="shared" si="278"/>
        <v>251188.64315095844</v>
      </c>
      <c r="P458" s="189" t="str">
        <f t="shared" si="244"/>
        <v>20.7142857142857</v>
      </c>
      <c r="Q458" s="160" t="str">
        <f t="shared" si="245"/>
        <v>1+360.746238166053i</v>
      </c>
      <c r="R458" s="160">
        <f t="shared" si="253"/>
        <v>360.74762417922949</v>
      </c>
      <c r="S458" s="160">
        <f t="shared" si="254"/>
        <v>1.5680243022168747</v>
      </c>
      <c r="T458" s="160" t="str">
        <f t="shared" si="246"/>
        <v>1+0.0315652958395296i</v>
      </c>
      <c r="U458" s="160">
        <f t="shared" si="255"/>
        <v>1.0004980599188771</v>
      </c>
      <c r="V458" s="160">
        <f t="shared" si="256"/>
        <v>3.1554818553164533E-2</v>
      </c>
      <c r="W458" s="98" t="str">
        <f t="shared" si="247"/>
        <v>1-8.2858901578765i</v>
      </c>
      <c r="X458" s="160">
        <f t="shared" si="257"/>
        <v>8.3460155588397171</v>
      </c>
      <c r="Y458" s="160">
        <f t="shared" si="258"/>
        <v>-1.4506901161490675</v>
      </c>
      <c r="Z458" s="98" t="str">
        <f t="shared" si="248"/>
        <v>-4.26225345159772-0.618269467625586i</v>
      </c>
      <c r="AA458" s="160">
        <f t="shared" si="259"/>
        <v>4.3068621547775017</v>
      </c>
      <c r="AB458" s="160">
        <f t="shared" si="260"/>
        <v>-2.997540459229215</v>
      </c>
      <c r="AC458" s="171" t="str">
        <f t="shared" si="261"/>
        <v>0.111321115815035+0.00115565036547992i</v>
      </c>
      <c r="AD458" s="190">
        <f t="shared" si="262"/>
        <v>-19.067980970380948</v>
      </c>
      <c r="AE458" s="169">
        <f t="shared" si="263"/>
        <v>0.59477943228049923</v>
      </c>
      <c r="AF458" s="98" t="str">
        <f t="shared" si="249"/>
        <v>-0.0000897803247373448</v>
      </c>
      <c r="AG458" s="98" t="str">
        <f t="shared" si="250"/>
        <v>3.15652958395296i</v>
      </c>
      <c r="AH458" s="98">
        <f t="shared" si="264"/>
        <v>3.1565295839529601</v>
      </c>
      <c r="AI458" s="98">
        <f t="shared" si="265"/>
        <v>1.5707963267948966</v>
      </c>
      <c r="AJ458" s="98" t="str">
        <f t="shared" si="251"/>
        <v>1+370.892226114473i</v>
      </c>
      <c r="AK458" s="98">
        <f t="shared" si="266"/>
        <v>370.89357421253516</v>
      </c>
      <c r="AL458" s="98">
        <f t="shared" si="267"/>
        <v>1.5681001323037906</v>
      </c>
      <c r="AM458" s="98" t="str">
        <f t="shared" si="252"/>
        <v>1+741.784452228947i</v>
      </c>
      <c r="AN458" s="98">
        <f t="shared" si="268"/>
        <v>741.78512627889688</v>
      </c>
      <c r="AO458" s="98">
        <f t="shared" si="269"/>
        <v>1.5694482270993528</v>
      </c>
      <c r="AP458" s="168" t="str">
        <f t="shared" si="270"/>
        <v>-7.66867654514662E-08+0.0000568852570665606i</v>
      </c>
      <c r="AQ458" s="98">
        <f t="shared" si="271"/>
        <v>-84.899997606915463</v>
      </c>
      <c r="AR458" s="169">
        <f t="shared" si="272"/>
        <v>90.077240142169259</v>
      </c>
      <c r="AS458" s="168" t="str">
        <f t="shared" si="273"/>
        <v>-7.4276324417693E-08+6.33244166698611E-06i</v>
      </c>
      <c r="AT458" s="190">
        <f t="shared" si="274"/>
        <v>-103.96797857729641</v>
      </c>
      <c r="AU458" s="169">
        <f t="shared" si="275"/>
        <v>90.672019574449763</v>
      </c>
      <c r="AV458" s="225"/>
      <c r="AX458">
        <f t="shared" si="276"/>
        <v>0</v>
      </c>
      <c r="AY458">
        <f t="shared" si="277"/>
        <v>0</v>
      </c>
    </row>
    <row r="459" spans="14:51" x14ac:dyDescent="0.3">
      <c r="N459" s="170">
        <v>41</v>
      </c>
      <c r="O459" s="199">
        <f t="shared" si="278"/>
        <v>257039.57827688678</v>
      </c>
      <c r="P459" s="189" t="str">
        <f t="shared" si="244"/>
        <v>20.7142857142857</v>
      </c>
      <c r="Q459" s="160" t="str">
        <f t="shared" si="245"/>
        <v>1+369.149097506965i</v>
      </c>
      <c r="R459" s="160">
        <f t="shared" si="253"/>
        <v>369.15045197074699</v>
      </c>
      <c r="S459" s="160">
        <f t="shared" si="254"/>
        <v>1.5680874008875625</v>
      </c>
      <c r="T459" s="160" t="str">
        <f t="shared" si="246"/>
        <v>1+0.0323005460318594i</v>
      </c>
      <c r="U459" s="160">
        <f t="shared" si="255"/>
        <v>1.0005215266419589</v>
      </c>
      <c r="V459" s="160">
        <f t="shared" si="256"/>
        <v>3.2289319733284645E-2</v>
      </c>
      <c r="W459" s="98" t="str">
        <f t="shared" si="247"/>
        <v>1-8.47889333336307i</v>
      </c>
      <c r="X459" s="160">
        <f t="shared" si="257"/>
        <v>8.5376596417606567</v>
      </c>
      <c r="Y459" s="160">
        <f t="shared" si="258"/>
        <v>-1.4533987291465533</v>
      </c>
      <c r="Z459" s="98" t="str">
        <f t="shared" si="248"/>
        <v>-4.51025581624733-0.632670813562413i</v>
      </c>
      <c r="AA459" s="160">
        <f t="shared" si="259"/>
        <v>4.5544132318364126</v>
      </c>
      <c r="AB459" s="160">
        <f t="shared" si="260"/>
        <v>-3.0022281656881833</v>
      </c>
      <c r="AC459" s="171" t="str">
        <f t="shared" si="261"/>
        <v>0.105235561719578+0.00137143963593403i</v>
      </c>
      <c r="AD459" s="190">
        <f t="shared" si="262"/>
        <v>-19.55601200561037</v>
      </c>
      <c r="AE459" s="169">
        <f t="shared" si="263"/>
        <v>0.74664166503029694</v>
      </c>
      <c r="AF459" s="98" t="str">
        <f t="shared" si="249"/>
        <v>-0.0000897803247373448</v>
      </c>
      <c r="AG459" s="98" t="str">
        <f t="shared" si="250"/>
        <v>3.23005460318594i</v>
      </c>
      <c r="AH459" s="98">
        <f t="shared" si="264"/>
        <v>3.2300546031859398</v>
      </c>
      <c r="AI459" s="98">
        <f t="shared" si="265"/>
        <v>1.5707963267948966</v>
      </c>
      <c r="AJ459" s="98" t="str">
        <f t="shared" si="251"/>
        <v>1+379.531415874348i</v>
      </c>
      <c r="AK459" s="98">
        <f t="shared" si="266"/>
        <v>379.53273328605962</v>
      </c>
      <c r="AL459" s="98">
        <f t="shared" si="267"/>
        <v>1.5681615048958986</v>
      </c>
      <c r="AM459" s="98" t="str">
        <f t="shared" si="252"/>
        <v>1+759.062831748698i</v>
      </c>
      <c r="AN459" s="98">
        <f t="shared" si="268"/>
        <v>759.06349045541128</v>
      </c>
      <c r="AO459" s="98">
        <f t="shared" si="269"/>
        <v>1.5694789135589327</v>
      </c>
      <c r="AP459" s="168" t="str">
        <f t="shared" si="270"/>
        <v>-7.32353164131744E-08+0.0000555903996230573i</v>
      </c>
      <c r="AQ459" s="98">
        <f t="shared" si="271"/>
        <v>-85.099996541226858</v>
      </c>
      <c r="AR459" s="169">
        <f t="shared" si="272"/>
        <v>90.075481956285813</v>
      </c>
      <c r="AS459" s="168" t="str">
        <f t="shared" si="273"/>
        <v>-8.39458370809244E-08+5.84998649273257E-06i</v>
      </c>
      <c r="AT459" s="190">
        <f t="shared" si="274"/>
        <v>-104.65600854683723</v>
      </c>
      <c r="AU459" s="169">
        <f t="shared" si="275"/>
        <v>90.822123621316109</v>
      </c>
      <c r="AV459" s="225"/>
      <c r="AX459">
        <f t="shared" si="276"/>
        <v>0</v>
      </c>
      <c r="AY459">
        <f t="shared" si="277"/>
        <v>0</v>
      </c>
    </row>
    <row r="460" spans="14:51" x14ac:dyDescent="0.3">
      <c r="N460" s="170">
        <v>42</v>
      </c>
      <c r="O460" s="199">
        <f t="shared" si="278"/>
        <v>263026.79918953858</v>
      </c>
      <c r="P460" s="189" t="str">
        <f t="shared" si="244"/>
        <v>20.7142857142857</v>
      </c>
      <c r="Q460" s="160" t="str">
        <f t="shared" si="245"/>
        <v>1+377.747684585641i</v>
      </c>
      <c r="R460" s="160">
        <f t="shared" si="253"/>
        <v>377.74900821817249</v>
      </c>
      <c r="S460" s="160">
        <f t="shared" si="254"/>
        <v>1.5681490632779953</v>
      </c>
      <c r="T460" s="160" t="str">
        <f t="shared" si="246"/>
        <v>1+0.0330529224012436i</v>
      </c>
      <c r="U460" s="160">
        <f t="shared" si="255"/>
        <v>1.000546098727721</v>
      </c>
      <c r="V460" s="160">
        <f t="shared" si="256"/>
        <v>3.3040893560163695E-2</v>
      </c>
      <c r="W460" s="98" t="str">
        <f t="shared" si="247"/>
        <v>1-8.67639213032642i</v>
      </c>
      <c r="X460" s="160">
        <f t="shared" si="257"/>
        <v>8.7338296525172865</v>
      </c>
      <c r="Y460" s="160">
        <f t="shared" si="258"/>
        <v>-1.456047359841778</v>
      </c>
      <c r="Z460" s="98" t="str">
        <f t="shared" si="248"/>
        <v>-4.76994617225608-0.64740760993898i</v>
      </c>
      <c r="AA460" s="160">
        <f t="shared" si="259"/>
        <v>4.8136808265221882</v>
      </c>
      <c r="AB460" s="160">
        <f t="shared" si="260"/>
        <v>-3.0066905986570944</v>
      </c>
      <c r="AC460" s="171" t="str">
        <f t="shared" si="261"/>
        <v>0.0995356714732065+0.00154641793933162i</v>
      </c>
      <c r="AD460" s="190">
        <f t="shared" si="262"/>
        <v>-20.039376827178966</v>
      </c>
      <c r="AE460" s="169">
        <f t="shared" si="263"/>
        <v>0.89009389372997549</v>
      </c>
      <c r="AF460" s="98" t="str">
        <f t="shared" si="249"/>
        <v>-0.0000897803247373448</v>
      </c>
      <c r="AG460" s="98" t="str">
        <f t="shared" si="250"/>
        <v>3.30529224012437i</v>
      </c>
      <c r="AH460" s="98">
        <f t="shared" si="264"/>
        <v>3.3052922401243698</v>
      </c>
      <c r="AI460" s="98">
        <f t="shared" si="265"/>
        <v>1.5707963267948966</v>
      </c>
      <c r="AJ460" s="98" t="str">
        <f t="shared" si="251"/>
        <v>1+388.371838214612i</v>
      </c>
      <c r="AK460" s="98">
        <f t="shared" si="266"/>
        <v>388.37312563847252</v>
      </c>
      <c r="AL460" s="98">
        <f t="shared" si="267"/>
        <v>1.5682214804964327</v>
      </c>
      <c r="AM460" s="98" t="str">
        <f t="shared" si="252"/>
        <v>1+776.743676429227i</v>
      </c>
      <c r="AN460" s="98">
        <f t="shared" si="268"/>
        <v>776.74432014195736</v>
      </c>
      <c r="AO460" s="98">
        <f t="shared" si="269"/>
        <v>1.5695089015118109</v>
      </c>
      <c r="AP460" s="168" t="str">
        <f t="shared" si="270"/>
        <v>-6.99392060622749E-08+0.0000543250161264557i</v>
      </c>
      <c r="AQ460" s="98">
        <f t="shared" si="271"/>
        <v>-85.29999552350175</v>
      </c>
      <c r="AR460" s="169">
        <f t="shared" si="272"/>
        <v>90.073763790637614</v>
      </c>
      <c r="AS460" s="168" t="str">
        <f t="shared" si="273"/>
        <v>-9.09706253301421E-08+5.40716880269662E-06i</v>
      </c>
      <c r="AT460" s="190">
        <f t="shared" si="274"/>
        <v>-105.33937235068072</v>
      </c>
      <c r="AU460" s="169">
        <f t="shared" si="275"/>
        <v>90.963857684367582</v>
      </c>
      <c r="AV460" s="225"/>
      <c r="AX460">
        <f t="shared" si="276"/>
        <v>0</v>
      </c>
      <c r="AY460">
        <f t="shared" si="277"/>
        <v>0</v>
      </c>
    </row>
    <row r="461" spans="14:51" x14ac:dyDescent="0.3">
      <c r="N461" s="170">
        <v>43</v>
      </c>
      <c r="O461" s="199">
        <f t="shared" si="278"/>
        <v>269153.48039269145</v>
      </c>
      <c r="P461" s="189" t="str">
        <f t="shared" si="244"/>
        <v>20.7142857142857</v>
      </c>
      <c r="Q461" s="160" t="str">
        <f t="shared" si="245"/>
        <v>1+386.546558486768i</v>
      </c>
      <c r="R461" s="160">
        <f t="shared" si="253"/>
        <v>386.54785198984661</v>
      </c>
      <c r="S461" s="160">
        <f t="shared" si="254"/>
        <v>1.5682093220805118</v>
      </c>
      <c r="T461" s="160" t="str">
        <f t="shared" si="246"/>
        <v>1+0.0338228238675922i</v>
      </c>
      <c r="U461" s="160">
        <f t="shared" si="255"/>
        <v>1.0005718282134364</v>
      </c>
      <c r="V461" s="160">
        <f t="shared" si="256"/>
        <v>3.3809935129960181E-2</v>
      </c>
      <c r="W461" s="98" t="str">
        <f t="shared" si="247"/>
        <v>1-8.87849126524293i</v>
      </c>
      <c r="X461" s="160">
        <f t="shared" si="257"/>
        <v>8.9346296591965686</v>
      </c>
      <c r="Y461" s="160">
        <f t="shared" si="258"/>
        <v>-1.4586372638472798</v>
      </c>
      <c r="Z461" s="98" t="str">
        <f t="shared" si="248"/>
        <v>-5.04187535768637-0.662487670399791i</v>
      </c>
      <c r="AA461" s="160">
        <f t="shared" si="259"/>
        <v>5.0852135683643418</v>
      </c>
      <c r="AB461" s="160">
        <f t="shared" si="260"/>
        <v>-3.0109440397170024</v>
      </c>
      <c r="AC461" s="171" t="str">
        <f t="shared" si="261"/>
        <v>0.0941917118894375+0.00168690793778534i</v>
      </c>
      <c r="AD461" s="190">
        <f t="shared" si="262"/>
        <v>-20.518353452280365</v>
      </c>
      <c r="AE461" s="169">
        <f t="shared" si="263"/>
        <v>1.0260178071678785</v>
      </c>
      <c r="AF461" s="98" t="str">
        <f t="shared" si="249"/>
        <v>-0.0000897803247373448</v>
      </c>
      <c r="AG461" s="98" t="str">
        <f t="shared" si="250"/>
        <v>3.38228238675922i</v>
      </c>
      <c r="AH461" s="98">
        <f t="shared" si="264"/>
        <v>3.3822823867592202</v>
      </c>
      <c r="AI461" s="98">
        <f t="shared" si="265"/>
        <v>1.5707963267948966</v>
      </c>
      <c r="AJ461" s="98" t="str">
        <f t="shared" si="251"/>
        <v>1+397.418180444208i</v>
      </c>
      <c r="AK461" s="98">
        <f t="shared" si="266"/>
        <v>397.4194385628175</v>
      </c>
      <c r="AL461" s="98">
        <f t="shared" si="267"/>
        <v>1.568280090903523</v>
      </c>
      <c r="AM461" s="98" t="str">
        <f t="shared" si="252"/>
        <v>1+794.836360888419i</v>
      </c>
      <c r="AN461" s="98">
        <f t="shared" si="268"/>
        <v>794.83698994847055</v>
      </c>
      <c r="AO461" s="98">
        <f t="shared" si="269"/>
        <v>1.5695382068577812</v>
      </c>
      <c r="AP461" s="168" t="str">
        <f t="shared" si="270"/>
        <v>-6.67914431916631E-08+0.0000530884357083277i</v>
      </c>
      <c r="AQ461" s="98">
        <f t="shared" si="271"/>
        <v>-85.499994551581452</v>
      </c>
      <c r="AR461" s="169">
        <f t="shared" si="272"/>
        <v>90.072084734317059</v>
      </c>
      <c r="AS461" s="168" t="str">
        <f t="shared" si="273"/>
        <v>-9.58465039747735E-08+5.00037796988403E-06i</v>
      </c>
      <c r="AT461" s="190">
        <f t="shared" si="274"/>
        <v>-106.01834800386183</v>
      </c>
      <c r="AU461" s="169">
        <f t="shared" si="275"/>
        <v>91.098102541484934</v>
      </c>
      <c r="AV461" s="225"/>
      <c r="AX461">
        <f t="shared" si="276"/>
        <v>0</v>
      </c>
      <c r="AY461">
        <f t="shared" si="277"/>
        <v>0</v>
      </c>
    </row>
    <row r="462" spans="14:51" x14ac:dyDescent="0.3">
      <c r="N462" s="170">
        <v>44</v>
      </c>
      <c r="O462" s="199">
        <f t="shared" si="278"/>
        <v>275422.87033381703</v>
      </c>
      <c r="P462" s="189" t="str">
        <f t="shared" si="244"/>
        <v>20.7142857142857</v>
      </c>
      <c r="Q462" s="160" t="str">
        <f t="shared" si="245"/>
        <v>1+395.550384489753i</v>
      </c>
      <c r="R462" s="160">
        <f t="shared" si="253"/>
        <v>395.55164854920207</v>
      </c>
      <c r="S462" s="160">
        <f t="shared" si="254"/>
        <v>1.5682682092433751</v>
      </c>
      <c r="T462" s="160" t="str">
        <f t="shared" si="246"/>
        <v>1+0.0346106586428534i</v>
      </c>
      <c r="U462" s="160">
        <f t="shared" si="255"/>
        <v>1.0005987695833392</v>
      </c>
      <c r="V462" s="160">
        <f t="shared" si="256"/>
        <v>3.4596848557971231E-2</v>
      </c>
      <c r="W462" s="98" t="str">
        <f t="shared" si="247"/>
        <v>1-9.08529789374899i</v>
      </c>
      <c r="X462" s="160">
        <f t="shared" si="257"/>
        <v>9.1401661811019519</v>
      </c>
      <c r="Y462" s="160">
        <f t="shared" si="258"/>
        <v>-1.4611696753128878</v>
      </c>
      <c r="Z462" s="98" t="str">
        <f t="shared" si="248"/>
        <v>-5.32662017079868-0.67791899059251i</v>
      </c>
      <c r="AA462" s="160">
        <f t="shared" si="259"/>
        <v>5.3695862598309496</v>
      </c>
      <c r="AB462" s="160">
        <f t="shared" si="260"/>
        <v>-3.0150032024517963</v>
      </c>
      <c r="AC462" s="171" t="str">
        <f t="shared" si="261"/>
        <v>0.0891767656932569+0.00179824046964624i</v>
      </c>
      <c r="AD462" s="190">
        <f t="shared" si="262"/>
        <v>-20.993200075164197</v>
      </c>
      <c r="AE462" s="169">
        <f t="shared" si="263"/>
        <v>1.1552070436260728</v>
      </c>
      <c r="AF462" s="98" t="str">
        <f t="shared" si="249"/>
        <v>-0.0000897803247373448</v>
      </c>
      <c r="AG462" s="98" t="str">
        <f t="shared" si="250"/>
        <v>3.46106586428534i</v>
      </c>
      <c r="AH462" s="98">
        <f t="shared" si="264"/>
        <v>3.4610658642853398</v>
      </c>
      <c r="AI462" s="98">
        <f t="shared" si="265"/>
        <v>1.5707963267948966</v>
      </c>
      <c r="AJ462" s="98" t="str">
        <f t="shared" si="251"/>
        <v>1+406.675239053527i</v>
      </c>
      <c r="AK462" s="98">
        <f t="shared" si="266"/>
        <v>406.67646853394814</v>
      </c>
      <c r="AL462" s="98">
        <f t="shared" si="267"/>
        <v>1.5683373671915719</v>
      </c>
      <c r="AM462" s="98" t="str">
        <f t="shared" si="252"/>
        <v>1+813.350478107057i</v>
      </c>
      <c r="AN462" s="98">
        <f t="shared" si="268"/>
        <v>813.35109284796454</v>
      </c>
      <c r="AO462" s="98">
        <f t="shared" si="269"/>
        <v>1.5695668451347244</v>
      </c>
      <c r="AP462" s="168" t="str">
        <f t="shared" si="270"/>
        <v>-6.37853512340651E-08+0.0000518800027683709i</v>
      </c>
      <c r="AQ462" s="98">
        <f t="shared" si="271"/>
        <v>-85.699993623404453</v>
      </c>
      <c r="AR462" s="169">
        <f t="shared" si="272"/>
        <v>90.070443897147072</v>
      </c>
      <c r="AS462" s="168" t="str">
        <f t="shared" si="273"/>
        <v>-9.89808918651058E-08+4.62637614964057E-06i</v>
      </c>
      <c r="AT462" s="190">
        <f t="shared" si="274"/>
        <v>-106.69319369856865</v>
      </c>
      <c r="AU462" s="169">
        <f t="shared" si="275"/>
        <v>91.225650940773136</v>
      </c>
      <c r="AV462" s="225"/>
      <c r="AX462">
        <f t="shared" si="276"/>
        <v>0</v>
      </c>
      <c r="AY462">
        <f t="shared" si="277"/>
        <v>0</v>
      </c>
    </row>
    <row r="463" spans="14:51" x14ac:dyDescent="0.3">
      <c r="N463" s="170">
        <v>45</v>
      </c>
      <c r="O463" s="199">
        <f t="shared" si="278"/>
        <v>281838.29312644573</v>
      </c>
      <c r="P463" s="189" t="str">
        <f t="shared" si="244"/>
        <v>20.7142857142857</v>
      </c>
      <c r="Q463" s="160" t="str">
        <f t="shared" si="245"/>
        <v>1+404.763936542322i</v>
      </c>
      <c r="R463" s="160">
        <f t="shared" si="253"/>
        <v>404.76517182835397</v>
      </c>
      <c r="S463" s="160">
        <f t="shared" si="254"/>
        <v>1.568325755987704</v>
      </c>
      <c r="T463" s="160" t="str">
        <f t="shared" si="246"/>
        <v>1+0.0354168444474532i</v>
      </c>
      <c r="U463" s="160">
        <f t="shared" si="255"/>
        <v>1.0006269798834204</v>
      </c>
      <c r="V463" s="160">
        <f t="shared" si="256"/>
        <v>3.5402047175624382E-2</v>
      </c>
      <c r="W463" s="98" t="str">
        <f t="shared" si="247"/>
        <v>1-9.29692166745644i</v>
      </c>
      <c r="X463" s="160">
        <f t="shared" si="257"/>
        <v>9.3505482454678024</v>
      </c>
      <c r="Y463" s="160">
        <f t="shared" si="258"/>
        <v>-1.4636458069611871</v>
      </c>
      <c r="Z463" s="98" t="str">
        <f t="shared" si="248"/>
        <v>-5.62478459351794-0.693709752407358i</v>
      </c>
      <c r="AA463" s="160">
        <f t="shared" si="259"/>
        <v>5.6674010749250714</v>
      </c>
      <c r="AB463" s="160">
        <f t="shared" si="260"/>
        <v>-3.0188814156919963</v>
      </c>
      <c r="AC463" s="171" t="str">
        <f t="shared" si="261"/>
        <v>0.084466413111837+0.00188491895022882i</v>
      </c>
      <c r="AD463" s="190">
        <f t="shared" si="262"/>
        <v>-21.464156769065482</v>
      </c>
      <c r="AE463" s="169">
        <f t="shared" si="263"/>
        <v>1.2783776982614998</v>
      </c>
      <c r="AF463" s="98" t="str">
        <f t="shared" si="249"/>
        <v>-0.0000897803247373448</v>
      </c>
      <c r="AG463" s="98" t="str">
        <f t="shared" si="250"/>
        <v>3.54168444474531i</v>
      </c>
      <c r="AH463" s="98">
        <f t="shared" si="264"/>
        <v>3.54168444474531</v>
      </c>
      <c r="AI463" s="98">
        <f t="shared" si="265"/>
        <v>1.5707963267948966</v>
      </c>
      <c r="AJ463" s="98" t="str">
        <f t="shared" si="251"/>
        <v>1+416.147922257575i</v>
      </c>
      <c r="AK463" s="98">
        <f t="shared" si="266"/>
        <v>416.14912375168672</v>
      </c>
      <c r="AL463" s="98">
        <f t="shared" si="267"/>
        <v>1.568393339727721</v>
      </c>
      <c r="AM463" s="98" t="str">
        <f t="shared" si="252"/>
        <v>1+832.295844515152i</v>
      </c>
      <c r="AN463" s="98">
        <f t="shared" si="268"/>
        <v>832.29644526285824</v>
      </c>
      <c r="AO463" s="98">
        <f t="shared" si="269"/>
        <v>1.5695948315268462</v>
      </c>
      <c r="AP463" s="168" t="str">
        <f t="shared" si="270"/>
        <v>-6.09145541023477E-08+0.0000506990766270443i</v>
      </c>
      <c r="AQ463" s="98">
        <f t="shared" si="271"/>
        <v>-85.899992737001952</v>
      </c>
      <c r="AR463" s="169">
        <f t="shared" si="272"/>
        <v>90.068840409209457</v>
      </c>
      <c r="AS463" s="168" t="str">
        <f t="shared" si="273"/>
        <v>-1.00708884184751E-07+4.28225433177123E-06i</v>
      </c>
      <c r="AT463" s="190">
        <f t="shared" si="274"/>
        <v>-107.36414950606743</v>
      </c>
      <c r="AU463" s="169">
        <f t="shared" si="275"/>
        <v>91.347218107470951</v>
      </c>
      <c r="AV463" s="225"/>
      <c r="AX463">
        <f t="shared" si="276"/>
        <v>0</v>
      </c>
      <c r="AY463">
        <f t="shared" si="277"/>
        <v>0</v>
      </c>
    </row>
    <row r="464" spans="14:51" x14ac:dyDescent="0.3">
      <c r="N464" s="170">
        <v>46</v>
      </c>
      <c r="O464" s="199">
        <f t="shared" si="278"/>
        <v>288403.1503126609</v>
      </c>
      <c r="P464" s="189" t="str">
        <f t="shared" si="244"/>
        <v>20.7142857142857</v>
      </c>
      <c r="Q464" s="160" t="str">
        <f t="shared" si="245"/>
        <v>1+414.19209979173i</v>
      </c>
      <c r="R464" s="160">
        <f t="shared" si="253"/>
        <v>414.19330695930182</v>
      </c>
      <c r="S464" s="160">
        <f t="shared" si="254"/>
        <v>1.5683819928240188</v>
      </c>
      <c r="T464" s="160" t="str">
        <f t="shared" si="246"/>
        <v>1+0.0362418087317764i</v>
      </c>
      <c r="U464" s="160">
        <f t="shared" si="255"/>
        <v>1.0006565188415806</v>
      </c>
      <c r="V464" s="160">
        <f t="shared" si="256"/>
        <v>3.622595373112826E-2</v>
      </c>
      <c r="W464" s="98" t="str">
        <f t="shared" si="247"/>
        <v>1-9.51347479209128i</v>
      </c>
      <c r="X464" s="160">
        <f t="shared" si="257"/>
        <v>9.56588744548859</v>
      </c>
      <c r="Y464" s="160">
        <f t="shared" si="258"/>
        <v>-1.4660668501500835</v>
      </c>
      <c r="Z464" s="98" t="str">
        <f t="shared" si="248"/>
        <v>-5.93700107256042-0.709868328315266i</v>
      </c>
      <c r="AA464" s="160">
        <f t="shared" si="259"/>
        <v>5.9792888188419777</v>
      </c>
      <c r="AB464" s="160">
        <f t="shared" si="260"/>
        <v>-3.0225907818913567</v>
      </c>
      <c r="AC464" s="171" t="str">
        <f t="shared" si="261"/>
        <v>0.0800384548040978+0.00195075460527938i</v>
      </c>
      <c r="AD464" s="190">
        <f t="shared" si="262"/>
        <v>-21.931447015341806</v>
      </c>
      <c r="AE464" s="169">
        <f t="shared" si="263"/>
        <v>1.39617740438019</v>
      </c>
      <c r="AF464" s="98" t="str">
        <f t="shared" si="249"/>
        <v>-0.0000897803247373448</v>
      </c>
      <c r="AG464" s="98" t="str">
        <f t="shared" si="250"/>
        <v>3.62418087317763i</v>
      </c>
      <c r="AH464" s="98">
        <f t="shared" si="264"/>
        <v>3.6241808731776302</v>
      </c>
      <c r="AI464" s="98">
        <f t="shared" si="265"/>
        <v>1.5707963267948966</v>
      </c>
      <c r="AJ464" s="98" t="str">
        <f t="shared" si="251"/>
        <v>1+425.841252598373i</v>
      </c>
      <c r="AK464" s="98">
        <f t="shared" si="266"/>
        <v>425.84242674321609</v>
      </c>
      <c r="AL464" s="98">
        <f t="shared" si="267"/>
        <v>1.5684480381879464</v>
      </c>
      <c r="AM464" s="98" t="str">
        <f t="shared" si="252"/>
        <v>1+851.682505196748i</v>
      </c>
      <c r="AN464" s="98">
        <f t="shared" si="268"/>
        <v>851.68309226977658</v>
      </c>
      <c r="AO464" s="98">
        <f t="shared" si="269"/>
        <v>1.5696221808727264</v>
      </c>
      <c r="AP464" s="168" t="str">
        <f t="shared" si="270"/>
        <v>-5.81729626669931E-08+0.0000495450311860981i</v>
      </c>
      <c r="AQ464" s="98">
        <f t="shared" si="271"/>
        <v>-86.099991890493897</v>
      </c>
      <c r="AR464" s="169">
        <f t="shared" si="272"/>
        <v>90.067273420384055</v>
      </c>
      <c r="AS464" s="168" t="str">
        <f t="shared" si="273"/>
        <v>-1.01306271798234E-07+0.0000039653942581813i</v>
      </c>
      <c r="AT464" s="190">
        <f t="shared" si="274"/>
        <v>-108.0314389058357</v>
      </c>
      <c r="AU464" s="169">
        <f t="shared" si="275"/>
        <v>91.463450824764251</v>
      </c>
      <c r="AV464" s="225"/>
      <c r="AX464">
        <f t="shared" si="276"/>
        <v>0</v>
      </c>
      <c r="AY464">
        <f t="shared" si="277"/>
        <v>0</v>
      </c>
    </row>
    <row r="465" spans="14:51" x14ac:dyDescent="0.3">
      <c r="N465" s="170">
        <v>47</v>
      </c>
      <c r="O465" s="199">
        <f t="shared" si="278"/>
        <v>295120.92266663886</v>
      </c>
      <c r="P465" s="189" t="str">
        <f t="shared" si="244"/>
        <v>20.7142857142857</v>
      </c>
      <c r="Q465" s="160" t="str">
        <f t="shared" si="245"/>
        <v>1+423.839873174928i</v>
      </c>
      <c r="R465" s="160">
        <f t="shared" si="253"/>
        <v>423.84105286408851</v>
      </c>
      <c r="S465" s="160">
        <f t="shared" si="254"/>
        <v>1.5684369495684105</v>
      </c>
      <c r="T465" s="160" t="str">
        <f t="shared" si="246"/>
        <v>1+0.0370859889028062i</v>
      </c>
      <c r="U465" s="160">
        <f t="shared" si="255"/>
        <v>1.0006874489933903</v>
      </c>
      <c r="V465" s="160">
        <f t="shared" si="256"/>
        <v>3.7069000593801728E-2</v>
      </c>
      <c r="W465" s="98" t="str">
        <f t="shared" si="247"/>
        <v>1-9.7350720869866i</v>
      </c>
      <c r="X465" s="160">
        <f t="shared" si="257"/>
        <v>9.7862979996945541</v>
      </c>
      <c r="Y465" s="160">
        <f t="shared" si="258"/>
        <v>-1.4684339749602402</v>
      </c>
      <c r="Z465" s="98" t="str">
        <f t="shared" si="248"/>
        <v>-6.2639318609377-0.726403285807065i</v>
      </c>
      <c r="AA465" s="160">
        <f t="shared" si="259"/>
        <v>6.3059102508758986</v>
      </c>
      <c r="AB465" s="160">
        <f t="shared" si="260"/>
        <v>-3.0261423144561399</v>
      </c>
      <c r="AC465" s="171" t="str">
        <f t="shared" si="261"/>
        <v>0.0758726701644187+0.00199897809118533i</v>
      </c>
      <c r="AD465" s="190">
        <f t="shared" si="262"/>
        <v>-22.395279079544469</v>
      </c>
      <c r="AE465" s="169">
        <f t="shared" si="263"/>
        <v>1.5091932075963685</v>
      </c>
      <c r="AF465" s="98" t="str">
        <f t="shared" si="249"/>
        <v>-0.0000897803247373448</v>
      </c>
      <c r="AG465" s="98" t="str">
        <f t="shared" si="250"/>
        <v>3.70859889028062i</v>
      </c>
      <c r="AH465" s="98">
        <f t="shared" si="264"/>
        <v>3.7085988902806202</v>
      </c>
      <c r="AI465" s="98">
        <f t="shared" si="265"/>
        <v>1.5707963267948966</v>
      </c>
      <c r="AJ465" s="98" t="str">
        <f t="shared" si="251"/>
        <v>1+435.760369607973i</v>
      </c>
      <c r="AK465" s="98">
        <f t="shared" si="266"/>
        <v>435.76151702608763</v>
      </c>
      <c r="AL465" s="98">
        <f t="shared" si="267"/>
        <v>1.5685014915727855</v>
      </c>
      <c r="AM465" s="98" t="str">
        <f t="shared" si="252"/>
        <v>1+871.520739215948i</v>
      </c>
      <c r="AN465" s="98">
        <f t="shared" si="268"/>
        <v>871.52131292557169</v>
      </c>
      <c r="AO465" s="98">
        <f t="shared" si="269"/>
        <v>1.5696489076731868</v>
      </c>
      <c r="AP465" s="168" t="str">
        <f t="shared" si="270"/>
        <v>-5.5554761842078E-08+0.0000484172545968214i</v>
      </c>
      <c r="AQ465" s="98">
        <f t="shared" si="271"/>
        <v>-86.299991082084716</v>
      </c>
      <c r="AR465" s="169">
        <f t="shared" si="272"/>
        <v>90.065742099898344</v>
      </c>
      <c r="AS465" s="168" t="str">
        <f t="shared" si="273"/>
        <v>-1.01000119295695E-07+3.67343533553953E-06i</v>
      </c>
      <c r="AT465" s="190">
        <f t="shared" si="274"/>
        <v>-108.69527016162918</v>
      </c>
      <c r="AU465" s="169">
        <f t="shared" si="275"/>
        <v>91.574935307494712</v>
      </c>
      <c r="AV465" s="225"/>
      <c r="AX465">
        <f t="shared" si="276"/>
        <v>0</v>
      </c>
      <c r="AY465">
        <f t="shared" si="277"/>
        <v>0</v>
      </c>
    </row>
    <row r="466" spans="14:51" x14ac:dyDescent="0.3">
      <c r="N466" s="170">
        <v>48</v>
      </c>
      <c r="O466" s="199">
        <f t="shared" si="278"/>
        <v>301995.17204020242</v>
      </c>
      <c r="P466" s="189" t="str">
        <f t="shared" si="244"/>
        <v>20.7142857142857</v>
      </c>
      <c r="Q466" s="160" t="str">
        <f t="shared" si="245"/>
        <v>1+433.712372069067i</v>
      </c>
      <c r="R466" s="160">
        <f t="shared" si="253"/>
        <v>433.71352490529597</v>
      </c>
      <c r="S466" s="160">
        <f t="shared" si="254"/>
        <v>1.568490655358344</v>
      </c>
      <c r="T466" s="160" t="str">
        <f t="shared" si="246"/>
        <v>1+0.0379498325560434i</v>
      </c>
      <c r="U466" s="160">
        <f t="shared" si="255"/>
        <v>1.0007198358137164</v>
      </c>
      <c r="V466" s="160">
        <f t="shared" si="256"/>
        <v>3.7931629962097528E-2</v>
      </c>
      <c r="W466" s="98" t="str">
        <f t="shared" si="247"/>
        <v>1-9.96183104596137i</v>
      </c>
      <c r="X466" s="160">
        <f t="shared" si="257"/>
        <v>10.011896812706363</v>
      </c>
      <c r="Y466" s="160">
        <f t="shared" si="258"/>
        <v>-1.4707483303052773</v>
      </c>
      <c r="Z466" s="98" t="str">
        <f t="shared" si="248"/>
        <v>-6.60627042268437-0.743323391936083i</v>
      </c>
      <c r="AA466" s="160">
        <f t="shared" si="259"/>
        <v>6.6479574729862465</v>
      </c>
      <c r="AB466" s="160">
        <f t="shared" si="260"/>
        <v>-3.0295460571955073</v>
      </c>
      <c r="AC466" s="171" t="str">
        <f t="shared" si="261"/>
        <v>0.0719506059679887+0.00203233192322327i</v>
      </c>
      <c r="AD466" s="190">
        <f t="shared" si="262"/>
        <v>-22.855847251744073</v>
      </c>
      <c r="AE466" s="169">
        <f t="shared" si="263"/>
        <v>1.6179584145350219</v>
      </c>
      <c r="AF466" s="98" t="str">
        <f t="shared" si="249"/>
        <v>-0.0000897803247373448</v>
      </c>
      <c r="AG466" s="98" t="str">
        <f t="shared" si="250"/>
        <v>3.79498325560434i</v>
      </c>
      <c r="AH466" s="98">
        <f t="shared" si="264"/>
        <v>3.7949832556043401</v>
      </c>
      <c r="AI466" s="98">
        <f t="shared" si="265"/>
        <v>1.5707963267948966</v>
      </c>
      <c r="AJ466" s="98" t="str">
        <f t="shared" si="251"/>
        <v>1+445.91053253351i</v>
      </c>
      <c r="AK466" s="98">
        <f t="shared" si="266"/>
        <v>445.91165383326609</v>
      </c>
      <c r="AL466" s="98">
        <f t="shared" si="267"/>
        <v>1.5685537282227084</v>
      </c>
      <c r="AM466" s="98" t="str">
        <f t="shared" si="252"/>
        <v>1+891.821065067022i</v>
      </c>
      <c r="AN466" s="98">
        <f t="shared" si="268"/>
        <v>891.82162571742879</v>
      </c>
      <c r="AO466" s="98">
        <f t="shared" si="269"/>
        <v>1.5696750260989776</v>
      </c>
      <c r="AP466" s="168" t="str">
        <f t="shared" si="270"/>
        <v>-5.30543982523631E-08+0.000047315148935829i</v>
      </c>
      <c r="AQ466" s="98">
        <f t="shared" si="271"/>
        <v>-86.499990310059673</v>
      </c>
      <c r="AR466" s="169">
        <f t="shared" si="272"/>
        <v>90.064245635887204</v>
      </c>
      <c r="AS466" s="168" t="str">
        <f t="shared" si="273"/>
        <v>-9.99773837378733E-08+0.0000034042458132513i</v>
      </c>
      <c r="AT466" s="190">
        <f t="shared" si="274"/>
        <v>-109.35583756180372</v>
      </c>
      <c r="AU466" s="169">
        <f t="shared" si="275"/>
        <v>91.682204050422214</v>
      </c>
      <c r="AV466" s="225"/>
      <c r="AX466">
        <f t="shared" si="276"/>
        <v>0</v>
      </c>
      <c r="AY466">
        <f t="shared" si="277"/>
        <v>0</v>
      </c>
    </row>
    <row r="467" spans="14:51" x14ac:dyDescent="0.3">
      <c r="N467" s="170">
        <v>49</v>
      </c>
      <c r="O467" s="199">
        <f t="shared" si="278"/>
        <v>309029.54325135931</v>
      </c>
      <c r="P467" s="189" t="str">
        <f t="shared" ref="P467:P530" si="279">COMPLEX(Adc,0)</f>
        <v>20.7142857142857</v>
      </c>
      <c r="Q467" s="160" t="str">
        <f t="shared" ref="Q467:Q530" si="280">IMSUM(COMPLEX(1,0),IMDIV(COMPLEX(0,2*PI()*O467),COMPLEX(wp_lf,0)))</f>
        <v>1+443.814831003739i</v>
      </c>
      <c r="R467" s="160">
        <f t="shared" si="253"/>
        <v>443.815957598279</v>
      </c>
      <c r="S467" s="160">
        <f t="shared" si="254"/>
        <v>1.5685431386681001</v>
      </c>
      <c r="T467" s="160" t="str">
        <f t="shared" ref="T467:T530" si="281">IMSUM(COMPLEX(1,0),IMDIV(COMPLEX(0,2*PI()*O467),COMPLEX(wz_esr,0)))</f>
        <v>1+0.0388337977128272i</v>
      </c>
      <c r="U467" s="160">
        <f t="shared" si="255"/>
        <v>1.0007537478544863</v>
      </c>
      <c r="V467" s="160">
        <f t="shared" si="256"/>
        <v>3.881429407533063E-2</v>
      </c>
      <c r="W467" s="98" t="str">
        <f t="shared" ref="W467:W530" si="282">IMSUB(COMPLEX(1,0),IMDIV(COMPLEX(0,2*PI()*O467),COMPLEX(wz_rhp,0)))</f>
        <v>1-10.1938718996171i</v>
      </c>
      <c r="X467" s="160">
        <f t="shared" si="257"/>
        <v>10.242803537401425</v>
      </c>
      <c r="Y467" s="160">
        <f t="shared" si="258"/>
        <v>-1.4730110440627635</v>
      </c>
      <c r="Z467" s="98" t="str">
        <f t="shared" ref="Z467:Z530" si="283">IF(Dc_Mode_Loop="CCM",IMSUM(COMPLEX(1,0),IMDIV(COMPLEX(0,2*PI()*O467),COMPLEX(Q*(wsl/2),0)),IMDIV(IMPOWER(COMPLEX(0,2*PI()*O467),2),IMPOWER(COMPLEX(wsl/2,0),2))),COMPLEX(1,0))</f>
        <v>-6.96474290378798-0.760637617966554i</v>
      </c>
      <c r="AA467" s="160">
        <f t="shared" si="259"/>
        <v>7.0061553866390121</v>
      </c>
      <c r="AB467" s="160">
        <f t="shared" si="260"/>
        <v>-3.0328111885314395</v>
      </c>
      <c r="AC467" s="171" t="str">
        <f t="shared" si="261"/>
        <v>0.0682553911034113+0.0020531472467665i</v>
      </c>
      <c r="AD467" s="190">
        <f t="shared" si="262"/>
        <v>-23.313332966312942</v>
      </c>
      <c r="AE467" s="169">
        <f t="shared" si="263"/>
        <v>1.72295856736172</v>
      </c>
      <c r="AF467" s="98" t="str">
        <f t="shared" ref="AF467:AF530" si="284">COMPLEX(Adc_ea,0)</f>
        <v>-0.0000897803247373448</v>
      </c>
      <c r="AG467" s="98" t="str">
        <f t="shared" ref="AG467:AG530" si="285">COMPLEX(0,2*PI()*O467*wp0_ea)</f>
        <v>3.88337977128272i</v>
      </c>
      <c r="AH467" s="98">
        <f t="shared" si="264"/>
        <v>3.88337977128272</v>
      </c>
      <c r="AI467" s="98">
        <f t="shared" si="265"/>
        <v>1.5707963267948966</v>
      </c>
      <c r="AJ467" s="98" t="str">
        <f t="shared" ref="AJ467:AJ530" si="286">IMSUM(COMPLEX(1,0),IMDIV(COMPLEX(0,2*PI()*O467),COMPLEX(wp1_ea,0)))</f>
        <v>1+456.29712312572i</v>
      </c>
      <c r="AK467" s="98">
        <f t="shared" si="266"/>
        <v>456.29821890163947</v>
      </c>
      <c r="AL467" s="98">
        <f t="shared" si="267"/>
        <v>1.5686047758331372</v>
      </c>
      <c r="AM467" s="98" t="str">
        <f t="shared" ref="AM467:AM530" si="287">IMSUM(COMPLEX(1,0),IMDIV(COMPLEX(0,2*PI()*O467),COMPLEX(wz_ea,0)))</f>
        <v>1+912.594246251441i</v>
      </c>
      <c r="AN467" s="98">
        <f t="shared" si="268"/>
        <v>912.59479413989402</v>
      </c>
      <c r="AO467" s="98">
        <f t="shared" si="269"/>
        <v>1.5697005499982915</v>
      </c>
      <c r="AP467" s="168" t="str">
        <f t="shared" si="270"/>
        <v>-5.06665684553689E-08+0.0000462381298882188i</v>
      </c>
      <c r="AQ467" s="98">
        <f t="shared" si="271"/>
        <v>-86.699989572781277</v>
      </c>
      <c r="AR467" s="169">
        <f t="shared" si="272"/>
        <v>90.062783234962808</v>
      </c>
      <c r="AS467" s="168" t="str">
        <f t="shared" si="273"/>
        <v>-9.83919555214172E-08+3.15589761348518E-06i</v>
      </c>
      <c r="AT467" s="190">
        <f t="shared" si="274"/>
        <v>-110.01332253909423</v>
      </c>
      <c r="AU467" s="169">
        <f t="shared" si="275"/>
        <v>91.785741802324523</v>
      </c>
      <c r="AV467" s="225"/>
      <c r="AX467">
        <f t="shared" si="276"/>
        <v>0</v>
      </c>
      <c r="AY467">
        <f t="shared" si="277"/>
        <v>0</v>
      </c>
    </row>
    <row r="468" spans="14:51" x14ac:dyDescent="0.3">
      <c r="N468" s="170">
        <v>50</v>
      </c>
      <c r="O468" s="199">
        <f t="shared" si="278"/>
        <v>316227.7660168382</v>
      </c>
      <c r="P468" s="189" t="str">
        <f t="shared" si="279"/>
        <v>20.7142857142857</v>
      </c>
      <c r="Q468" s="160" t="str">
        <f t="shared" si="280"/>
        <v>1+454.152606436393i</v>
      </c>
      <c r="R468" s="160">
        <f t="shared" ref="R468:R531" si="288">IMABS(Q468)</f>
        <v>454.15370738657333</v>
      </c>
      <c r="S468" s="160">
        <f t="shared" ref="S468:S531" si="289">IMARGUMENT(Q468)</f>
        <v>1.568594427323867</v>
      </c>
      <c r="T468" s="160" t="str">
        <f t="shared" si="281"/>
        <v>1+0.0397383530631844i</v>
      </c>
      <c r="U468" s="160">
        <f t="shared" ref="U468:U531" si="290">IMABS(T468)</f>
        <v>1.0007892568888688</v>
      </c>
      <c r="V468" s="160">
        <f t="shared" ref="V468:V531" si="291">IMARGUMENT(T468)</f>
        <v>3.9717455429117983E-2</v>
      </c>
      <c r="W468" s="98" t="str">
        <f t="shared" si="282"/>
        <v>1-10.4313176790859i</v>
      </c>
      <c r="X468" s="160">
        <f t="shared" ref="X468:X531" si="292">IMABS(W468)</f>
        <v>10.479140638526141</v>
      </c>
      <c r="Y468" s="160">
        <f t="shared" ref="Y468:Y531" si="293">IMARGUMENT(W468)</f>
        <v>-1.4752232232241484</v>
      </c>
      <c r="Z468" s="98" t="str">
        <f t="shared" si="283"/>
        <v>-7.34010967244218-0.778355144130299i</v>
      </c>
      <c r="AA468" s="160">
        <f t="shared" ref="AA468:AA531" si="294">IMABS(Z468)</f>
        <v>7.3812632207416469</v>
      </c>
      <c r="AB468" s="160">
        <f t="shared" ref="AB468:AB531" si="295">IMARGUMENT(Z468)</f>
        <v>-3.0359461126736629</v>
      </c>
      <c r="AC468" s="171" t="str">
        <f t="shared" ref="AC468:AC531" si="296">(IMDIV(IMPRODUCT(P468,T468,W468),IMPRODUCT(Q468,Z468)))</f>
        <v>0.0647715737883725+0.0020634077894996i</v>
      </c>
      <c r="AD468" s="190">
        <f t="shared" ref="AD468:AD531" si="297">20*LOG(IMABS(AC468))</f>
        <v>-23.767905814517142</v>
      </c>
      <c r="AE468" s="169">
        <f t="shared" ref="AE468:AE531" si="298">(180/PI())*IMARGUMENT(AC468)</f>
        <v>1.8246366706096315</v>
      </c>
      <c r="AF468" s="98" t="str">
        <f t="shared" si="284"/>
        <v>-0.0000897803247373448</v>
      </c>
      <c r="AG468" s="98" t="str">
        <f t="shared" si="285"/>
        <v>3.97383530631844i</v>
      </c>
      <c r="AH468" s="98">
        <f t="shared" ref="AH468:AH531" si="299">IMABS(AG468)</f>
        <v>3.9738353063184402</v>
      </c>
      <c r="AI468" s="98">
        <f t="shared" ref="AI468:AI531" si="300">IMARGUMENT(AG468)</f>
        <v>1.5707963267948966</v>
      </c>
      <c r="AJ468" s="98" t="str">
        <f t="shared" si="286"/>
        <v>1+466.925648492417i</v>
      </c>
      <c r="AK468" s="98">
        <f t="shared" ref="AK468:AK531" si="301">IMABS(AJ468)</f>
        <v>466.92671932548916</v>
      </c>
      <c r="AL468" s="98">
        <f t="shared" ref="AL468:AL531" si="302">IMARGUMENT(AJ468)</f>
        <v>1.5686546614691255</v>
      </c>
      <c r="AM468" s="98" t="str">
        <f t="shared" si="287"/>
        <v>1+933.851296984836i</v>
      </c>
      <c r="AN468" s="98">
        <f t="shared" ref="AN468:AN531" si="303">IMABS(AM468)</f>
        <v>933.85183240183255</v>
      </c>
      <c r="AO468" s="98">
        <f t="shared" ref="AO468:AO531" si="304">IMARGUMENT(AM468)</f>
        <v>1.5697254929041045</v>
      </c>
      <c r="AP468" s="168" t="str">
        <f t="shared" ref="AP468:AP531" si="305">IMPRODUCT(AF468,IMDIV(AM468,IMPRODUCT(AG468,AJ468)))</f>
        <v>-4.83862076934569E-08+0.000045185626437934i</v>
      </c>
      <c r="AQ468" s="98">
        <f t="shared" ref="AQ468:AQ531" si="306">20*LOG(IMABS(AP468))</f>
        <v>-86.899988868685654</v>
      </c>
      <c r="AR468" s="169">
        <f t="shared" ref="AR468:AR531" si="307">(180/PI())*IMARGUMENT(AP468)</f>
        <v>90.061354121794238</v>
      </c>
      <c r="AS468" s="168" t="str">
        <f t="shared" ref="AS468:AS531" si="308">IMPRODUCT(AC468,AP468)</f>
        <v>-9.63704243874083E-08+2.92664429652062E-06i</v>
      </c>
      <c r="AT468" s="190">
        <f t="shared" ref="AT468:AT531" si="309">20*LOG(IMABS(AS468))</f>
        <v>-110.66789468320279</v>
      </c>
      <c r="AU468" s="169">
        <f t="shared" ref="AU468:AU531" si="310">(180/PI())*IMARGUMENT(AS468)</f>
        <v>91.885990792403859</v>
      </c>
      <c r="AV468" s="225"/>
      <c r="AX468">
        <f t="shared" ref="AX468:AX531" si="311">SUM((AT469&lt;0)*(AT468&gt;0))*O468</f>
        <v>0</v>
      </c>
      <c r="AY468">
        <f t="shared" ref="AY468:AY531" si="312">IF(AX468&gt;0,AU468,0)</f>
        <v>0</v>
      </c>
    </row>
    <row r="469" spans="14:51" x14ac:dyDescent="0.3">
      <c r="N469" s="170">
        <v>51</v>
      </c>
      <c r="O469" s="199">
        <f t="shared" si="278"/>
        <v>323593.65692962846</v>
      </c>
      <c r="P469" s="189" t="str">
        <f t="shared" si="279"/>
        <v>20.7142857142857</v>
      </c>
      <c r="Q469" s="160" t="str">
        <f t="shared" si="280"/>
        <v>1+464.7311795924i</v>
      </c>
      <c r="R469" s="160">
        <f t="shared" si="288"/>
        <v>464.73225548195336</v>
      </c>
      <c r="S469" s="160">
        <f t="shared" si="289"/>
        <v>1.5686445485184888</v>
      </c>
      <c r="T469" s="160" t="str">
        <f t="shared" si="281"/>
        <v>1+0.040663978214335i</v>
      </c>
      <c r="U469" s="160">
        <f t="shared" si="290"/>
        <v>1.0008264380621728</v>
      </c>
      <c r="V469" s="160">
        <f t="shared" si="291"/>
        <v>4.0641586994529445E-2</v>
      </c>
      <c r="W469" s="98" t="str">
        <f t="shared" si="282"/>
        <v>1-10.6742942812629i</v>
      </c>
      <c r="X469" s="160">
        <f t="shared" si="292"/>
        <v>10.721033457787634</v>
      </c>
      <c r="Y469" s="160">
        <f t="shared" si="293"/>
        <v>-1.4773859540618919</v>
      </c>
      <c r="Z469" s="98" t="str">
        <f t="shared" si="283"/>
        <v>-7.73316693188964-0.796485364494211i</v>
      </c>
      <c r="AA469" s="160">
        <f t="shared" si="294"/>
        <v>7.774076133684626</v>
      </c>
      <c r="AB469" s="160">
        <f t="shared" si="295"/>
        <v>-3.0389585396098382</v>
      </c>
      <c r="AC469" s="171" t="str">
        <f t="shared" si="296"/>
        <v>0.0614849782083275+0.00206480328232279i</v>
      </c>
      <c r="AD469" s="190">
        <f t="shared" si="297"/>
        <v>-24.219724461650721</v>
      </c>
      <c r="AE469" s="169">
        <f t="shared" si="298"/>
        <v>1.9233977764154564</v>
      </c>
      <c r="AF469" s="98" t="str">
        <f t="shared" si="284"/>
        <v>-0.0000897803247373448</v>
      </c>
      <c r="AG469" s="98" t="str">
        <f t="shared" si="285"/>
        <v>4.06639782143351i</v>
      </c>
      <c r="AH469" s="98">
        <f t="shared" si="299"/>
        <v>4.0663978214335099</v>
      </c>
      <c r="AI469" s="98">
        <f t="shared" si="300"/>
        <v>1.5707963267948966</v>
      </c>
      <c r="AJ469" s="98" t="str">
        <f t="shared" si="286"/>
        <v>1+477.801744018436i</v>
      </c>
      <c r="AK469" s="98">
        <f t="shared" si="301"/>
        <v>477.80279047642557</v>
      </c>
      <c r="AL469" s="98">
        <f t="shared" si="302"/>
        <v>1.5687034115797045</v>
      </c>
      <c r="AM469" s="98" t="str">
        <f t="shared" si="287"/>
        <v>1+955.603488036875i</v>
      </c>
      <c r="AN469" s="98">
        <f t="shared" si="303"/>
        <v>955.60401126629949</v>
      </c>
      <c r="AO469" s="98">
        <f t="shared" si="304"/>
        <v>1.5697498680413513</v>
      </c>
      <c r="AP469" s="168" t="str">
        <f t="shared" si="305"/>
        <v>-4.62084791520642E-08+0.0000441570805651618i</v>
      </c>
      <c r="AQ469" s="98">
        <f t="shared" si="306"/>
        <v>-87.099988196279426</v>
      </c>
      <c r="AR469" s="169">
        <f t="shared" si="307"/>
        <v>90.059957538696551</v>
      </c>
      <c r="AS469" s="168" t="str">
        <f t="shared" si="308"/>
        <v>-9.40168122224426E-08+2.71490172487291E-06i</v>
      </c>
      <c r="AT469" s="190">
        <f t="shared" si="309"/>
        <v>-111.31971265793014</v>
      </c>
      <c r="AU469" s="169">
        <f t="shared" si="310"/>
        <v>91.983355315112007</v>
      </c>
      <c r="AV469" s="225"/>
      <c r="AX469">
        <f t="shared" si="311"/>
        <v>0</v>
      </c>
      <c r="AY469">
        <f t="shared" si="312"/>
        <v>0</v>
      </c>
    </row>
    <row r="470" spans="14:51" x14ac:dyDescent="0.3">
      <c r="N470" s="170">
        <v>52</v>
      </c>
      <c r="O470" s="199">
        <f t="shared" si="278"/>
        <v>331131.12148259126</v>
      </c>
      <c r="P470" s="189" t="str">
        <f t="shared" si="279"/>
        <v>20.7142857142857</v>
      </c>
      <c r="Q470" s="160" t="str">
        <f t="shared" si="280"/>
        <v>1+475.556159371273i</v>
      </c>
      <c r="R470" s="160">
        <f t="shared" si="288"/>
        <v>475.55721077064493</v>
      </c>
      <c r="S470" s="160">
        <f t="shared" si="289"/>
        <v>1.5686935288258788</v>
      </c>
      <c r="T470" s="160" t="str">
        <f t="shared" si="281"/>
        <v>1+0.0416111639449864i</v>
      </c>
      <c r="U470" s="160">
        <f t="shared" si="290"/>
        <v>1.0008653700497667</v>
      </c>
      <c r="V470" s="160">
        <f t="shared" si="291"/>
        <v>4.1587172440944738E-2</v>
      </c>
      <c r="W470" s="98" t="str">
        <f t="shared" si="282"/>
        <v>1-10.9229305355589i</v>
      </c>
      <c r="X470" s="160">
        <f t="shared" si="292"/>
        <v>10.968610280461467</v>
      </c>
      <c r="Y470" s="160">
        <f t="shared" si="293"/>
        <v>-1.4795003023121749</v>
      </c>
      <c r="Z470" s="98" t="str">
        <f t="shared" si="283"/>
        <v>-8.14474840927578-0.815037891941111i</v>
      </c>
      <c r="AA470" s="160">
        <f t="shared" si="294"/>
        <v>8.1854268926977873</v>
      </c>
      <c r="AB470" s="160">
        <f t="shared" si="295"/>
        <v>-3.0418555554688269</v>
      </c>
      <c r="AC470" s="171" t="str">
        <f t="shared" si="296"/>
        <v>0.0583825779743022+0.00205877420008388i</v>
      </c>
      <c r="AD470" s="190">
        <f t="shared" si="297"/>
        <v>-24.668937479031058</v>
      </c>
      <c r="AE470" s="169">
        <f t="shared" si="298"/>
        <v>2.0196130175117597</v>
      </c>
      <c r="AF470" s="98" t="str">
        <f t="shared" si="284"/>
        <v>-0.0000897803247373448</v>
      </c>
      <c r="AG470" s="98" t="str">
        <f t="shared" si="285"/>
        <v>4.16111639449863i</v>
      </c>
      <c r="AH470" s="98">
        <f t="shared" si="299"/>
        <v>4.16111639449863</v>
      </c>
      <c r="AI470" s="98">
        <f t="shared" si="300"/>
        <v>1.5707963267948966</v>
      </c>
      <c r="AJ470" s="98" t="str">
        <f t="shared" si="286"/>
        <v>1+488.93117635359i</v>
      </c>
      <c r="AK470" s="98">
        <f t="shared" si="301"/>
        <v>488.93219899133805</v>
      </c>
      <c r="AL470" s="98">
        <f t="shared" si="302"/>
        <v>1.5687510520119006</v>
      </c>
      <c r="AM470" s="98" t="str">
        <f t="shared" si="287"/>
        <v>1+977.862352707183i</v>
      </c>
      <c r="AN470" s="98">
        <f t="shared" si="303"/>
        <v>977.86286402645806</v>
      </c>
      <c r="AO470" s="98">
        <f t="shared" si="304"/>
        <v>1.5697736883339364</v>
      </c>
      <c r="AP470" s="168" t="str">
        <f t="shared" si="305"/>
        <v>-4.41287637013313E-08+0.0000431519469506162i</v>
      </c>
      <c r="AQ470" s="98">
        <f t="shared" si="306"/>
        <v>-87.299987554136251</v>
      </c>
      <c r="AR470" s="169">
        <f t="shared" si="307"/>
        <v>90.058592745229433</v>
      </c>
      <c r="AS470" s="168" t="str">
        <f t="shared" si="308"/>
        <v>-9.14164660530194E-08+2.51923105642711E-06i</v>
      </c>
      <c r="AT470" s="190">
        <f t="shared" si="309"/>
        <v>-111.96892503316732</v>
      </c>
      <c r="AU470" s="169">
        <f t="shared" si="310"/>
        <v>92.078205762741192</v>
      </c>
      <c r="AV470" s="225"/>
      <c r="AX470">
        <f t="shared" si="311"/>
        <v>0</v>
      </c>
      <c r="AY470">
        <f t="shared" si="312"/>
        <v>0</v>
      </c>
    </row>
    <row r="471" spans="14:51" x14ac:dyDescent="0.3">
      <c r="N471" s="170">
        <v>53</v>
      </c>
      <c r="O471" s="199">
        <f t="shared" si="278"/>
        <v>338844.15613920329</v>
      </c>
      <c r="P471" s="189" t="str">
        <f t="shared" si="279"/>
        <v>20.7142857142857</v>
      </c>
      <c r="Q471" s="160" t="str">
        <f t="shared" si="280"/>
        <v>1+486.633285320574i</v>
      </c>
      <c r="R471" s="160">
        <f t="shared" si="288"/>
        <v>486.63431278722544</v>
      </c>
      <c r="S471" s="160">
        <f t="shared" si="289"/>
        <v>1.5687413942151036</v>
      </c>
      <c r="T471" s="160" t="str">
        <f t="shared" si="281"/>
        <v>1+0.0425804124655502i</v>
      </c>
      <c r="U471" s="160">
        <f t="shared" si="290"/>
        <v>1.0009061352223476</v>
      </c>
      <c r="V471" s="160">
        <f t="shared" si="291"/>
        <v>4.2554706362603591E-2</v>
      </c>
      <c r="W471" s="98" t="str">
        <f t="shared" si="282"/>
        <v>1-11.1773582722069i</v>
      </c>
      <c r="X471" s="160">
        <f t="shared" si="292"/>
        <v>11.222002403549556</v>
      </c>
      <c r="Y471" s="160">
        <f t="shared" si="293"/>
        <v>-1.4815673133716565</v>
      </c>
      <c r="Z471" s="98" t="str">
        <f t="shared" si="283"/>
        <v>-8.57572712409575-0.834022563266618i</v>
      </c>
      <c r="AA471" s="160">
        <f t="shared" si="294"/>
        <v>8.6161876339242625</v>
      </c>
      <c r="AB471" s="160">
        <f t="shared" si="295"/>
        <v>-3.0446436845730322</v>
      </c>
      <c r="AC471" s="171" t="str">
        <f t="shared" si="296"/>
        <v>0.0554523841789863+0.00204654932555872i</v>
      </c>
      <c r="AD471" s="190">
        <f t="shared" si="297"/>
        <v>-25.115684099941269</v>
      </c>
      <c r="AE471" s="169">
        <f t="shared" si="298"/>
        <v>2.1136231634646241</v>
      </c>
      <c r="AF471" s="98" t="str">
        <f t="shared" si="284"/>
        <v>-0.0000897803247373448</v>
      </c>
      <c r="AG471" s="98" t="str">
        <f t="shared" si="285"/>
        <v>4.25804124655502i</v>
      </c>
      <c r="AH471" s="98">
        <f t="shared" si="299"/>
        <v>4.2580412465550204</v>
      </c>
      <c r="AI471" s="98">
        <f t="shared" si="300"/>
        <v>1.5707963267948966</v>
      </c>
      <c r="AJ471" s="98" t="str">
        <f t="shared" si="286"/>
        <v>1+500.319846470215i</v>
      </c>
      <c r="AK471" s="98">
        <f t="shared" si="301"/>
        <v>500.32084582993292</v>
      </c>
      <c r="AL471" s="98">
        <f t="shared" si="302"/>
        <v>1.5687976080244359</v>
      </c>
      <c r="AM471" s="98" t="str">
        <f t="shared" si="287"/>
        <v>1+1000.63969294043i</v>
      </c>
      <c r="AN471" s="98">
        <f t="shared" si="303"/>
        <v>1000.6401926206631</v>
      </c>
      <c r="AO471" s="98">
        <f t="shared" si="304"/>
        <v>1.5697969664115858</v>
      </c>
      <c r="AP471" s="168" t="str">
        <f t="shared" si="305"/>
        <v>-4.21426500993627E-08+0.0000421696926865402i</v>
      </c>
      <c r="AQ471" s="98">
        <f t="shared" si="306"/>
        <v>-87.499986940894246</v>
      </c>
      <c r="AR471" s="169">
        <f t="shared" si="307"/>
        <v>90.057259017804697</v>
      </c>
      <c r="AS471" s="168" t="str">
        <f t="shared" si="308"/>
        <v>-8.86392665502878E-08+2.33832375255168E-06i</v>
      </c>
      <c r="AT471" s="190">
        <f t="shared" si="309"/>
        <v>-112.61567104083551</v>
      </c>
      <c r="AU471" s="169">
        <f t="shared" si="310"/>
        <v>92.17088218126932</v>
      </c>
      <c r="AV471" s="225"/>
      <c r="AX471">
        <f t="shared" si="311"/>
        <v>0</v>
      </c>
      <c r="AY471">
        <f t="shared" si="312"/>
        <v>0</v>
      </c>
    </row>
    <row r="472" spans="14:51" x14ac:dyDescent="0.3">
      <c r="N472" s="170">
        <v>54</v>
      </c>
      <c r="O472" s="199">
        <f t="shared" si="278"/>
        <v>346736.85045253241</v>
      </c>
      <c r="P472" s="189" t="str">
        <f t="shared" si="279"/>
        <v>20.7142857142857</v>
      </c>
      <c r="Q472" s="160" t="str">
        <f t="shared" si="280"/>
        <v>1+497.968430679104i</v>
      </c>
      <c r="R472" s="160">
        <f t="shared" si="288"/>
        <v>497.96943475780677</v>
      </c>
      <c r="S472" s="160">
        <f t="shared" si="289"/>
        <v>1.5687881700641482</v>
      </c>
      <c r="T472" s="160" t="str">
        <f t="shared" si="281"/>
        <v>1+0.0435722376844216i</v>
      </c>
      <c r="U472" s="160">
        <f t="shared" si="290"/>
        <v>1.0009488198188894</v>
      </c>
      <c r="V472" s="160">
        <f t="shared" si="291"/>
        <v>4.3544694508831895E-2</v>
      </c>
      <c r="W472" s="98" t="str">
        <f t="shared" si="282"/>
        <v>1-11.4377123921606i</v>
      </c>
      <c r="X472" s="160">
        <f t="shared" si="292"/>
        <v>11.481344205526815</v>
      </c>
      <c r="Y472" s="160">
        <f t="shared" si="293"/>
        <v>-1.4835880125068701</v>
      </c>
      <c r="Z472" s="98" t="str">
        <f t="shared" si="283"/>
        <v>-9.027017239986-0.853449444394762i</v>
      </c>
      <c r="AA472" s="160">
        <f t="shared" si="294"/>
        <v>9.0672717068113826</v>
      </c>
      <c r="AB472" s="160">
        <f t="shared" si="295"/>
        <v>-3.0473289442952542</v>
      </c>
      <c r="AC472" s="171" t="str">
        <f t="shared" si="296"/>
        <v>0.0526833461526866+0.0020291773620186i</v>
      </c>
      <c r="AD472" s="190">
        <f t="shared" si="297"/>
        <v>-25.560094907527198</v>
      </c>
      <c r="AE472" s="169">
        <f t="shared" si="298"/>
        <v>2.2057417641443919</v>
      </c>
      <c r="AF472" s="98" t="str">
        <f t="shared" si="284"/>
        <v>-0.0000897803247373448</v>
      </c>
      <c r="AG472" s="98" t="str">
        <f t="shared" si="285"/>
        <v>4.35722376844215i</v>
      </c>
      <c r="AH472" s="98">
        <f t="shared" si="299"/>
        <v>4.3572237684421502</v>
      </c>
      <c r="AI472" s="98">
        <f t="shared" si="300"/>
        <v>1.5707963267948966</v>
      </c>
      <c r="AJ472" s="98" t="str">
        <f t="shared" si="286"/>
        <v>1+511.973792791954i</v>
      </c>
      <c r="AK472" s="98">
        <f t="shared" si="301"/>
        <v>511.9747694035114</v>
      </c>
      <c r="AL472" s="98">
        <f t="shared" si="302"/>
        <v>1.5688431043011168</v>
      </c>
      <c r="AM472" s="98" t="str">
        <f t="shared" si="287"/>
        <v>1+1023.94758558391i</v>
      </c>
      <c r="AN472" s="98">
        <f t="shared" si="303"/>
        <v>1023.9480738900381</v>
      </c>
      <c r="AO472" s="98">
        <f t="shared" si="304"/>
        <v>1.5698197146165438</v>
      </c>
      <c r="AP472" s="168" t="str">
        <f t="shared" si="305"/>
        <v>-4.02459256363574E-08+0.0000412097969942849i</v>
      </c>
      <c r="AQ472" s="98">
        <f t="shared" si="306"/>
        <v>-87.69998635525242</v>
      </c>
      <c r="AR472" s="169">
        <f t="shared" si="307"/>
        <v>90.055955649302902</v>
      </c>
      <c r="AS472" s="168" t="str">
        <f t="shared" si="308"/>
        <v>-8.57422771857206E-08+2.17098833381064E-06i</v>
      </c>
      <c r="AT472" s="190">
        <f t="shared" si="309"/>
        <v>-113.26008126277962</v>
      </c>
      <c r="AU472" s="169">
        <f t="shared" si="310"/>
        <v>92.261697413447294</v>
      </c>
      <c r="AV472" s="225"/>
      <c r="AX472">
        <f t="shared" si="311"/>
        <v>0</v>
      </c>
      <c r="AY472">
        <f t="shared" si="312"/>
        <v>0</v>
      </c>
    </row>
    <row r="473" spans="14:51" x14ac:dyDescent="0.3">
      <c r="N473" s="170">
        <v>55</v>
      </c>
      <c r="O473" s="199">
        <f t="shared" si="278"/>
        <v>354813.38923357555</v>
      </c>
      <c r="P473" s="189" t="str">
        <f t="shared" si="279"/>
        <v>20.7142857142857</v>
      </c>
      <c r="Q473" s="160" t="str">
        <f t="shared" si="280"/>
        <v>1+509.567605490969i</v>
      </c>
      <c r="R473" s="160">
        <f t="shared" si="288"/>
        <v>509.56858671409464</v>
      </c>
      <c r="S473" s="160">
        <f t="shared" si="289"/>
        <v>1.5688338811733678</v>
      </c>
      <c r="T473" s="160" t="str">
        <f t="shared" si="281"/>
        <v>1+0.0445871654804598i</v>
      </c>
      <c r="U473" s="160">
        <f t="shared" si="290"/>
        <v>1.00099351412763</v>
      </c>
      <c r="V473" s="160">
        <f t="shared" si="291"/>
        <v>4.4557654017914158E-2</v>
      </c>
      <c r="W473" s="98" t="str">
        <f t="shared" si="282"/>
        <v>1-11.7041309386207i</v>
      </c>
      <c r="X473" s="160">
        <f t="shared" si="292"/>
        <v>11.746773217712951</v>
      </c>
      <c r="Y473" s="160">
        <f t="shared" si="293"/>
        <v>-1.4855634050749182</v>
      </c>
      <c r="Z473" s="98" t="str">
        <f t="shared" si="283"/>
        <v>-9.4995760037878-0.873328835715059i</v>
      </c>
      <c r="AA473" s="160">
        <f t="shared" si="294"/>
        <v>9.5396356066168693</v>
      </c>
      <c r="AB473" s="160">
        <f t="shared" si="295"/>
        <v>-3.0499168936684407</v>
      </c>
      <c r="AC473" s="171" t="str">
        <f t="shared" si="296"/>
        <v>0.050065263292562+0.00200755359647057i</v>
      </c>
      <c r="AD473" s="190">
        <f t="shared" si="297"/>
        <v>-26.0022924617166</v>
      </c>
      <c r="AE473" s="169">
        <f t="shared" si="298"/>
        <v>2.296257934843736</v>
      </c>
      <c r="AF473" s="98" t="str">
        <f t="shared" si="284"/>
        <v>-0.0000897803247373448</v>
      </c>
      <c r="AG473" s="98" t="str">
        <f t="shared" si="285"/>
        <v>4.45871654804599i</v>
      </c>
      <c r="AH473" s="98">
        <f t="shared" si="299"/>
        <v>4.4587165480459898</v>
      </c>
      <c r="AI473" s="98">
        <f t="shared" si="300"/>
        <v>1.5707963267948966</v>
      </c>
      <c r="AJ473" s="98" t="str">
        <f t="shared" si="286"/>
        <v>1+523.899194395403i</v>
      </c>
      <c r="AK473" s="98">
        <f t="shared" si="301"/>
        <v>523.90014877660826</v>
      </c>
      <c r="AL473" s="98">
        <f t="shared" si="302"/>
        <v>1.5688875649639178</v>
      </c>
      <c r="AM473" s="98" t="str">
        <f t="shared" si="287"/>
        <v>1+1047.79838879081i</v>
      </c>
      <c r="AN473" s="98">
        <f t="shared" si="303"/>
        <v>1047.7988659817386</v>
      </c>
      <c r="AO473" s="98">
        <f t="shared" si="304"/>
        <v>1.5698419450101153</v>
      </c>
      <c r="AP473" s="168" t="str">
        <f t="shared" si="305"/>
        <v>-3.84345671997597E-08+0.0000402717509483041i</v>
      </c>
      <c r="AQ473" s="98">
        <f t="shared" si="306"/>
        <v>-87.899985795968746</v>
      </c>
      <c r="AR473" s="169">
        <f t="shared" si="307"/>
        <v>90.054681948698615</v>
      </c>
      <c r="AS473" s="168" t="str">
        <f t="shared" si="308"/>
        <v>-8.27719351788266E-08+2.01613865502572E-06i</v>
      </c>
      <c r="AT473" s="190">
        <f t="shared" si="309"/>
        <v>-113.90227825768534</v>
      </c>
      <c r="AU473" s="169">
        <f t="shared" si="310"/>
        <v>92.350939883542338</v>
      </c>
      <c r="AV473" s="225"/>
      <c r="AX473">
        <f t="shared" si="311"/>
        <v>0</v>
      </c>
      <c r="AY473">
        <f t="shared" si="312"/>
        <v>0</v>
      </c>
    </row>
    <row r="474" spans="14:51" x14ac:dyDescent="0.3">
      <c r="N474" s="170">
        <v>56</v>
      </c>
      <c r="O474" s="199">
        <f t="shared" si="278"/>
        <v>363078.05477010203</v>
      </c>
      <c r="P474" s="189" t="str">
        <f t="shared" si="279"/>
        <v>20.7142857142857</v>
      </c>
      <c r="Q474" s="160" t="str">
        <f t="shared" si="280"/>
        <v>1+521.436959792194i</v>
      </c>
      <c r="R474" s="160">
        <f t="shared" si="288"/>
        <v>521.43791867999596</v>
      </c>
      <c r="S474" s="160">
        <f t="shared" si="289"/>
        <v>1.5688785517786328</v>
      </c>
      <c r="T474" s="160" t="str">
        <f t="shared" si="281"/>
        <v>1+0.045625733981817i</v>
      </c>
      <c r="U474" s="160">
        <f t="shared" si="290"/>
        <v>1.0010403126754583</v>
      </c>
      <c r="V474" s="160">
        <f t="shared" si="291"/>
        <v>4.5594113654580035E-2</v>
      </c>
      <c r="W474" s="98" t="str">
        <f t="shared" si="282"/>
        <v>1-11.9767551702269i</v>
      </c>
      <c r="X474" s="160">
        <f t="shared" si="292"/>
        <v>12.018430197307664</v>
      </c>
      <c r="Y474" s="160">
        <f t="shared" si="293"/>
        <v>-1.4874944767542313</v>
      </c>
      <c r="Z474" s="98" t="str">
        <f t="shared" si="283"/>
        <v>-9.9944057759964-0.893671277543933i</v>
      </c>
      <c r="AA474" s="160">
        <f t="shared" si="294"/>
        <v>10.034280999034122</v>
      </c>
      <c r="AB474" s="160">
        <f t="shared" si="295"/>
        <v>-3.0524126765572128</v>
      </c>
      <c r="AC474" s="171" t="str">
        <f t="shared" si="296"/>
        <v>0.0475887065683039+0.001982442435748i</v>
      </c>
      <c r="AD474" s="190">
        <f t="shared" si="297"/>
        <v>-26.442391871407537</v>
      </c>
      <c r="AE474" s="169">
        <f t="shared" si="298"/>
        <v>2.3854388294561293</v>
      </c>
      <c r="AF474" s="98" t="str">
        <f t="shared" si="284"/>
        <v>-0.0000897803247373448</v>
      </c>
      <c r="AG474" s="98" t="str">
        <f t="shared" si="285"/>
        <v>4.5625733981817i</v>
      </c>
      <c r="AH474" s="98">
        <f t="shared" si="299"/>
        <v>4.5625733981816996</v>
      </c>
      <c r="AI474" s="98">
        <f t="shared" si="300"/>
        <v>1.5707963267948966</v>
      </c>
      <c r="AJ474" s="98" t="str">
        <f t="shared" si="286"/>
        <v>1+536.10237428635i</v>
      </c>
      <c r="AK474" s="98">
        <f t="shared" si="301"/>
        <v>536.10330694322499</v>
      </c>
      <c r="AL474" s="98">
        <f t="shared" si="302"/>
        <v>1.5689310135857673</v>
      </c>
      <c r="AM474" s="98" t="str">
        <f t="shared" si="287"/>
        <v>1+1072.2047485727i</v>
      </c>
      <c r="AN474" s="98">
        <f t="shared" si="303"/>
        <v>1072.2052149014419</v>
      </c>
      <c r="AO474" s="98">
        <f t="shared" si="304"/>
        <v>1.5698636693790615</v>
      </c>
      <c r="AP474" s="168" t="str">
        <f t="shared" si="305"/>
        <v>-3.67047327415014E-08+0.000039355057206432i</v>
      </c>
      <c r="AQ474" s="98">
        <f t="shared" si="306"/>
        <v>-88.099985261856872</v>
      </c>
      <c r="AR474" s="169">
        <f t="shared" si="307"/>
        <v>90.05343724069418</v>
      </c>
      <c r="AS474" s="168" t="str">
        <f t="shared" si="308"/>
        <v>-7.97658662234242E-08+1.87278350435593E-06i</v>
      </c>
      <c r="AT474" s="190">
        <f t="shared" si="309"/>
        <v>-114.54237713326438</v>
      </c>
      <c r="AU474" s="169">
        <f t="shared" si="310"/>
        <v>92.4388760701503</v>
      </c>
      <c r="AV474" s="225"/>
      <c r="AX474">
        <f t="shared" si="311"/>
        <v>0</v>
      </c>
      <c r="AY474">
        <f t="shared" si="312"/>
        <v>0</v>
      </c>
    </row>
    <row r="475" spans="14:51" x14ac:dyDescent="0.3">
      <c r="N475" s="170">
        <v>57</v>
      </c>
      <c r="O475" s="199">
        <f t="shared" si="278"/>
        <v>371535.2290971732</v>
      </c>
      <c r="P475" s="189" t="str">
        <f t="shared" si="279"/>
        <v>20.7142857142857</v>
      </c>
      <c r="Q475" s="160" t="str">
        <f t="shared" si="280"/>
        <v>1+533.582786871534i</v>
      </c>
      <c r="R475" s="160">
        <f t="shared" si="288"/>
        <v>533.58372393242371</v>
      </c>
      <c r="S475" s="160">
        <f t="shared" si="289"/>
        <v>1.5689222055641761</v>
      </c>
      <c r="T475" s="160" t="str">
        <f t="shared" si="281"/>
        <v>1+0.0466884938512592i</v>
      </c>
      <c r="U475" s="160">
        <f t="shared" si="290"/>
        <v>1.0010893144260899</v>
      </c>
      <c r="V475" s="160">
        <f t="shared" si="291"/>
        <v>4.6654614051055844E-2</v>
      </c>
      <c r="W475" s="98" t="str">
        <f t="shared" si="282"/>
        <v>1-12.2557296359555i</v>
      </c>
      <c r="X475" s="160">
        <f t="shared" si="292"/>
        <v>12.29645920212961</v>
      </c>
      <c r="Y475" s="160">
        <f t="shared" si="293"/>
        <v>-1.4893821937842395</v>
      </c>
      <c r="Z475" s="98" t="str">
        <f t="shared" si="283"/>
        <v>-10.5125561569016-0.914487555713295i</v>
      </c>
      <c r="AA475" s="160">
        <f t="shared" si="294"/>
        <v>10.552256841148447</v>
      </c>
      <c r="AB475" s="160">
        <f t="shared" si="295"/>
        <v>-3.0548210600830594</v>
      </c>
      <c r="AC475" s="171" t="str">
        <f t="shared" si="296"/>
        <v>0.0452449485020289+0.00195449649212984i</v>
      </c>
      <c r="AD475" s="190">
        <f t="shared" si="297"/>
        <v>-26.880501317450797</v>
      </c>
      <c r="AE475" s="169">
        <f t="shared" si="298"/>
        <v>2.4735318414201495</v>
      </c>
      <c r="AF475" s="98" t="str">
        <f t="shared" si="284"/>
        <v>-0.0000897803247373448</v>
      </c>
      <c r="AG475" s="98" t="str">
        <f t="shared" si="285"/>
        <v>4.66884938512592i</v>
      </c>
      <c r="AH475" s="98">
        <f t="shared" si="299"/>
        <v>4.6688493851259203</v>
      </c>
      <c r="AI475" s="98">
        <f t="shared" si="300"/>
        <v>1.5707963267948966</v>
      </c>
      <c r="AJ475" s="98" t="str">
        <f t="shared" si="286"/>
        <v>1+548.589802752296i</v>
      </c>
      <c r="AK475" s="98">
        <f t="shared" si="301"/>
        <v>548.59071417934422</v>
      </c>
      <c r="AL475" s="98">
        <f t="shared" si="302"/>
        <v>1.5689734732030429</v>
      </c>
      <c r="AM475" s="98" t="str">
        <f t="shared" si="287"/>
        <v>1+1097.17960550459i</v>
      </c>
      <c r="AN475" s="98">
        <f t="shared" si="303"/>
        <v>1097.1800612183981</v>
      </c>
      <c r="AO475" s="98">
        <f t="shared" si="304"/>
        <v>1.5698848992418479</v>
      </c>
      <c r="AP475" s="168" t="str">
        <f t="shared" si="305"/>
        <v>-3.5052753129234E-08+0.0000384592297462907i</v>
      </c>
      <c r="AQ475" s="98">
        <f t="shared" si="306"/>
        <v>-88.299984751783924</v>
      </c>
      <c r="AR475" s="169">
        <f t="shared" si="307"/>
        <v>90.052220865361846</v>
      </c>
      <c r="AS475" s="168" t="str">
        <f t="shared" si="308"/>
        <v>-7.67543896393273E-08+1.74001735881559E-06i</v>
      </c>
      <c r="AT475" s="190">
        <f t="shared" si="309"/>
        <v>-115.18048606923472</v>
      </c>
      <c r="AU475" s="169">
        <f t="shared" si="310"/>
        <v>92.525752706782001</v>
      </c>
      <c r="AV475" s="225"/>
      <c r="AX475">
        <f t="shared" si="311"/>
        <v>0</v>
      </c>
      <c r="AY475">
        <f t="shared" si="312"/>
        <v>0</v>
      </c>
    </row>
    <row r="476" spans="14:51" x14ac:dyDescent="0.3">
      <c r="N476" s="170">
        <v>58</v>
      </c>
      <c r="O476" s="199">
        <f t="shared" si="278"/>
        <v>380189.39632056188</v>
      </c>
      <c r="P476" s="189" t="str">
        <f t="shared" si="279"/>
        <v>20.7142857142857</v>
      </c>
      <c r="Q476" s="160" t="str">
        <f t="shared" si="280"/>
        <v>1+546.011526607275i</v>
      </c>
      <c r="R476" s="160">
        <f t="shared" si="288"/>
        <v>546.01244233809086</v>
      </c>
      <c r="S476" s="160">
        <f t="shared" si="289"/>
        <v>1.5689648656751467</v>
      </c>
      <c r="T476" s="160" t="str">
        <f t="shared" si="281"/>
        <v>1+0.0477760085781366i</v>
      </c>
      <c r="U476" s="160">
        <f t="shared" si="290"/>
        <v>1.0011406229874293</v>
      </c>
      <c r="V476" s="160">
        <f t="shared" si="291"/>
        <v>4.7739707951633056E-2</v>
      </c>
      <c r="W476" s="98" t="str">
        <f t="shared" si="282"/>
        <v>1-12.5412022517608i</v>
      </c>
      <c r="X476" s="160">
        <f t="shared" si="292"/>
        <v>12.581007667097664</v>
      </c>
      <c r="Y476" s="160">
        <f t="shared" si="293"/>
        <v>-1.4912275032128728</v>
      </c>
      <c r="Z476" s="98" t="str">
        <f t="shared" si="283"/>
        <v>-11.0551262129308-0.93578870728937i</v>
      </c>
      <c r="AA476" s="160">
        <f t="shared" si="294"/>
        <v>11.094661603154917</v>
      </c>
      <c r="AB476" s="160">
        <f t="shared" si="295"/>
        <v>-3.0571464688967374</v>
      </c>
      <c r="AC476" s="171" t="str">
        <f t="shared" si="296"/>
        <v>0.0430259005852785+0.00192427277708755i</v>
      </c>
      <c r="AD476" s="190">
        <f t="shared" si="297"/>
        <v>-27.31672253132869</v>
      </c>
      <c r="AE476" s="169">
        <f t="shared" si="298"/>
        <v>2.5607665664963024</v>
      </c>
      <c r="AF476" s="98" t="str">
        <f t="shared" si="284"/>
        <v>-0.0000897803247373448</v>
      </c>
      <c r="AG476" s="98" t="str">
        <f t="shared" si="285"/>
        <v>4.77760085781366i</v>
      </c>
      <c r="AH476" s="98">
        <f t="shared" si="299"/>
        <v>4.7776008578136597</v>
      </c>
      <c r="AI476" s="98">
        <f t="shared" si="300"/>
        <v>1.5707963267948966</v>
      </c>
      <c r="AJ476" s="98" t="str">
        <f t="shared" si="286"/>
        <v>1+561.368100793105i</v>
      </c>
      <c r="AK476" s="98">
        <f t="shared" si="301"/>
        <v>561.36899147357406</v>
      </c>
      <c r="AL476" s="98">
        <f t="shared" si="302"/>
        <v>1.5690149663277833</v>
      </c>
      <c r="AM476" s="98" t="str">
        <f t="shared" si="287"/>
        <v>1+1122.73620158621i</v>
      </c>
      <c r="AN476" s="98">
        <f t="shared" si="303"/>
        <v>1122.7366469267095</v>
      </c>
      <c r="AO476" s="98">
        <f t="shared" si="304"/>
        <v>1.5699056458547527</v>
      </c>
      <c r="AP476" s="168" t="str">
        <f t="shared" si="305"/>
        <v>-3.34751243642719E-08+0.0000375837936076948i</v>
      </c>
      <c r="AQ476" s="98">
        <f t="shared" si="306"/>
        <v>-88.499984264667859</v>
      </c>
      <c r="AR476" s="169">
        <f t="shared" si="307"/>
        <v>90.051032177794056</v>
      </c>
      <c r="AS476" s="168" t="str">
        <f t="shared" si="308"/>
        <v>-7.37617682719412E-08+1.61701215211178E-06i</v>
      </c>
      <c r="AT476" s="190">
        <f t="shared" si="309"/>
        <v>-115.81670679599654</v>
      </c>
      <c r="AU476" s="169">
        <f t="shared" si="310"/>
        <v>92.611798744290354</v>
      </c>
      <c r="AV476" s="225"/>
      <c r="AX476">
        <f t="shared" si="311"/>
        <v>0</v>
      </c>
      <c r="AY476">
        <f t="shared" si="312"/>
        <v>0</v>
      </c>
    </row>
    <row r="477" spans="14:51" x14ac:dyDescent="0.3">
      <c r="N477" s="170">
        <v>59</v>
      </c>
      <c r="O477" s="199">
        <f t="shared" si="278"/>
        <v>389045.14499428123</v>
      </c>
      <c r="P477" s="189" t="str">
        <f t="shared" si="279"/>
        <v>20.7142857142857</v>
      </c>
      <c r="Q477" s="160" t="str">
        <f t="shared" si="280"/>
        <v>1+558.729768881742i</v>
      </c>
      <c r="R477" s="160">
        <f t="shared" si="288"/>
        <v>558.73066376801341</v>
      </c>
      <c r="S477" s="160">
        <f t="shared" si="289"/>
        <v>1.5690065547298788</v>
      </c>
      <c r="T477" s="160" t="str">
        <f t="shared" si="281"/>
        <v>1+0.0488888547771524i</v>
      </c>
      <c r="U477" s="160">
        <f t="shared" si="290"/>
        <v>1.0011943468285374</v>
      </c>
      <c r="V477" s="160">
        <f t="shared" si="291"/>
        <v>4.8849960460682726E-2</v>
      </c>
      <c r="W477" s="98" t="str">
        <f t="shared" si="282"/>
        <v>1-12.8333243790025i</v>
      </c>
      <c r="X477" s="160">
        <f t="shared" si="292"/>
        <v>12.87222648249711</v>
      </c>
      <c r="Y477" s="160">
        <f t="shared" si="293"/>
        <v>-1.4930313331509013</v>
      </c>
      <c r="Z477" s="98" t="str">
        <f t="shared" si="283"/>
        <v>-11.6232668079165-0.957586026424678i</v>
      </c>
      <c r="AA477" s="160">
        <f t="shared" si="294"/>
        <v>11.662645595490638</v>
      </c>
      <c r="AB477" s="160">
        <f t="shared" si="295"/>
        <v>-3.059393015808467</v>
      </c>
      <c r="AC477" s="171" t="str">
        <f t="shared" si="296"/>
        <v>0.0409240572365624+0.00189224646561094i</v>
      </c>
      <c r="AD477" s="190">
        <f t="shared" si="297"/>
        <v>-27.751151233874825</v>
      </c>
      <c r="AE477" s="169">
        <f t="shared" si="298"/>
        <v>2.6473565566825092</v>
      </c>
      <c r="AF477" s="98" t="str">
        <f t="shared" si="284"/>
        <v>-0.0000897803247373448</v>
      </c>
      <c r="AG477" s="98" t="str">
        <f t="shared" si="285"/>
        <v>4.88888547771524i</v>
      </c>
      <c r="AH477" s="98">
        <f t="shared" si="299"/>
        <v>4.88888547771524</v>
      </c>
      <c r="AI477" s="98">
        <f t="shared" si="300"/>
        <v>1.5707963267948966</v>
      </c>
      <c r="AJ477" s="98" t="str">
        <f t="shared" si="286"/>
        <v>1+574.444043631541i</v>
      </c>
      <c r="AK477" s="98">
        <f t="shared" si="301"/>
        <v>574.44491403767859</v>
      </c>
      <c r="AL477" s="98">
        <f t="shared" si="302"/>
        <v>1.5690555149596201</v>
      </c>
      <c r="AM477" s="98" t="str">
        <f t="shared" si="287"/>
        <v>1+1148.88808726308i</v>
      </c>
      <c r="AN477" s="98">
        <f t="shared" si="303"/>
        <v>1148.8885224663959</v>
      </c>
      <c r="AO477" s="98">
        <f t="shared" si="304"/>
        <v>1.5699259202178328</v>
      </c>
      <c r="AP477" s="168" t="str">
        <f t="shared" si="305"/>
        <v>-3.19685001497472E-08+0.0000367282846409122i</v>
      </c>
      <c r="AQ477" s="98">
        <f t="shared" si="306"/>
        <v>-88.699983799475632</v>
      </c>
      <c r="AR477" s="169">
        <f t="shared" si="307"/>
        <v>90.049870547761572</v>
      </c>
      <c r="AS477" s="168" t="str">
        <f t="shared" si="308"/>
        <v>-7.0807247529614E-08+1.50300993056403E-06i</v>
      </c>
      <c r="AT477" s="190">
        <f t="shared" si="309"/>
        <v>-116.45113503335045</v>
      </c>
      <c r="AU477" s="169">
        <f t="shared" si="310"/>
        <v>92.697227104444067</v>
      </c>
      <c r="AV477" s="225"/>
      <c r="AX477">
        <f t="shared" si="311"/>
        <v>0</v>
      </c>
      <c r="AY477">
        <f t="shared" si="312"/>
        <v>0</v>
      </c>
    </row>
    <row r="478" spans="14:51" x14ac:dyDescent="0.3">
      <c r="N478" s="170">
        <v>60</v>
      </c>
      <c r="O478" s="199">
        <f t="shared" si="278"/>
        <v>398107.17055349716</v>
      </c>
      <c r="P478" s="189" t="str">
        <f t="shared" si="279"/>
        <v>20.7142857142857</v>
      </c>
      <c r="Q478" s="160" t="str">
        <f t="shared" si="280"/>
        <v>1+571.74425707533i</v>
      </c>
      <c r="R478" s="160">
        <f t="shared" si="288"/>
        <v>571.74513159153446</v>
      </c>
      <c r="S478" s="160">
        <f t="shared" si="289"/>
        <v>1.5690472948318808</v>
      </c>
      <c r="T478" s="160" t="str">
        <f t="shared" si="281"/>
        <v>1+0.0500276224940914i</v>
      </c>
      <c r="U478" s="160">
        <f t="shared" si="290"/>
        <v>1.0012505995066425</v>
      </c>
      <c r="V478" s="160">
        <f t="shared" si="291"/>
        <v>4.9985949294042008E-2</v>
      </c>
      <c r="W478" s="98" t="str">
        <f t="shared" si="282"/>
        <v>1-13.132250904699i</v>
      </c>
      <c r="X478" s="160">
        <f t="shared" si="292"/>
        <v>13.170270074070908</v>
      </c>
      <c r="Y478" s="160">
        <f t="shared" si="293"/>
        <v>-1.4947945930321729</v>
      </c>
      <c r="Z478" s="98" t="str">
        <f t="shared" si="283"/>
        <v>-12.2181830442327-0.979891070346344i</v>
      </c>
      <c r="AA478" s="160">
        <f t="shared" si="294"/>
        <v>12.257413406266428</v>
      </c>
      <c r="AB478" s="160">
        <f t="shared" si="295"/>
        <v>-3.0615645292162923</v>
      </c>
      <c r="AC478" s="171" t="str">
        <f t="shared" si="296"/>
        <v>0.0389324455226445+0.00185882261502345i</v>
      </c>
      <c r="AD478" s="190">
        <f t="shared" si="297"/>
        <v>-28.183877537900656</v>
      </c>
      <c r="AE478" s="169">
        <f t="shared" si="298"/>
        <v>2.7335008905492253</v>
      </c>
      <c r="AF478" s="98" t="str">
        <f t="shared" si="284"/>
        <v>-0.0000897803247373448</v>
      </c>
      <c r="AG478" s="98" t="str">
        <f t="shared" si="285"/>
        <v>5.00276224940914i</v>
      </c>
      <c r="AH478" s="98">
        <f t="shared" si="299"/>
        <v>5.0027622494091402</v>
      </c>
      <c r="AI478" s="98">
        <f t="shared" si="300"/>
        <v>1.5707963267948966</v>
      </c>
      <c r="AJ478" s="98" t="str">
        <f t="shared" si="286"/>
        <v>1+587.824564305574i</v>
      </c>
      <c r="AK478" s="98">
        <f t="shared" si="301"/>
        <v>587.82541489887785</v>
      </c>
      <c r="AL478" s="98">
        <f t="shared" si="302"/>
        <v>1.5690951405974416</v>
      </c>
      <c r="AM478" s="98" t="str">
        <f t="shared" si="287"/>
        <v>1+1175.64912861115i</v>
      </c>
      <c r="AN478" s="98">
        <f t="shared" si="303"/>
        <v>1175.6495539080327</v>
      </c>
      <c r="AO478" s="98">
        <f t="shared" si="304"/>
        <v>1.5699457330807571</v>
      </c>
      <c r="AP478" s="168" t="str">
        <f t="shared" si="305"/>
        <v>-3.05296847932234E-08+0.0000358922492606545i</v>
      </c>
      <c r="AQ478" s="98">
        <f t="shared" si="306"/>
        <v>-88.899983355220314</v>
      </c>
      <c r="AR478" s="169">
        <f t="shared" si="307"/>
        <v>90.048735359379535</v>
      </c>
      <c r="AS478" s="168" t="str">
        <f t="shared" si="308"/>
        <v>-6.7905919919799E-08+1.39731628975709E-06i</v>
      </c>
      <c r="AT478" s="190">
        <f t="shared" si="309"/>
        <v>-117.08386089312094</v>
      </c>
      <c r="AU478" s="169">
        <f t="shared" si="310"/>
        <v>92.782236249928758</v>
      </c>
      <c r="AV478" s="225"/>
      <c r="AX478">
        <f t="shared" si="311"/>
        <v>0</v>
      </c>
      <c r="AY478">
        <f t="shared" si="312"/>
        <v>0</v>
      </c>
    </row>
    <row r="479" spans="14:51" x14ac:dyDescent="0.3">
      <c r="N479" s="170">
        <v>61</v>
      </c>
      <c r="O479" s="199">
        <f t="shared" si="278"/>
        <v>407380.27780411334</v>
      </c>
      <c r="P479" s="189" t="str">
        <f t="shared" si="279"/>
        <v>20.7142857142857</v>
      </c>
      <c r="Q479" s="160" t="str">
        <f t="shared" si="280"/>
        <v>1+585.061891641952i</v>
      </c>
      <c r="R479" s="160">
        <f t="shared" si="288"/>
        <v>585.06274625176673</v>
      </c>
      <c r="S479" s="160">
        <f t="shared" si="289"/>
        <v>1.5690871075815529</v>
      </c>
      <c r="T479" s="160" t="str">
        <f t="shared" si="281"/>
        <v>1+0.0511929155186708i</v>
      </c>
      <c r="U479" s="160">
        <f t="shared" si="290"/>
        <v>1.0013094999046508</v>
      </c>
      <c r="V479" s="160">
        <f t="shared" si="291"/>
        <v>5.1148265033683582E-2</v>
      </c>
      <c r="W479" s="98" t="str">
        <f t="shared" si="282"/>
        <v>1-13.438140323651i</v>
      </c>
      <c r="X479" s="160">
        <f t="shared" si="292"/>
        <v>13.475296484980767</v>
      </c>
      <c r="Y479" s="160">
        <f t="shared" si="293"/>
        <v>-1.496518173878898</v>
      </c>
      <c r="Z479" s="98" t="str">
        <f t="shared" si="283"/>
        <v>-12.8411368189784-1.0027156654839i</v>
      </c>
      <c r="AA479" s="160">
        <f t="shared" si="294"/>
        <v>12.880226454124536</v>
      </c>
      <c r="AB479" s="160">
        <f t="shared" si="295"/>
        <v>-3.0636645777134199</v>
      </c>
      <c r="AC479" s="171" t="str">
        <f t="shared" si="296"/>
        <v>0.037044579969135+0.00182434615783954i</v>
      </c>
      <c r="AD479" s="190">
        <f t="shared" si="297"/>
        <v>-28.61498631816746</v>
      </c>
      <c r="AE479" s="169">
        <f t="shared" si="298"/>
        <v>2.8193855818565465</v>
      </c>
      <c r="AF479" s="98" t="str">
        <f t="shared" si="284"/>
        <v>-0.0000897803247373448</v>
      </c>
      <c r="AG479" s="98" t="str">
        <f t="shared" si="285"/>
        <v>5.11929155186709i</v>
      </c>
      <c r="AH479" s="98">
        <f t="shared" si="299"/>
        <v>5.1192915518670903</v>
      </c>
      <c r="AI479" s="98">
        <f t="shared" si="300"/>
        <v>1.5707963267948966</v>
      </c>
      <c r="AJ479" s="98" t="str">
        <f t="shared" si="286"/>
        <v>1+601.516757344382i</v>
      </c>
      <c r="AK479" s="98">
        <f t="shared" si="301"/>
        <v>601.51758857584548</v>
      </c>
      <c r="AL479" s="98">
        <f t="shared" si="302"/>
        <v>1.569133864250787</v>
      </c>
      <c r="AM479" s="98" t="str">
        <f t="shared" si="287"/>
        <v>1+1203.03351468877i</v>
      </c>
      <c r="AN479" s="98">
        <f t="shared" si="303"/>
        <v>1203.0339303047172</v>
      </c>
      <c r="AO479" s="98">
        <f t="shared" si="304"/>
        <v>1.569965094948506</v>
      </c>
      <c r="AP479" s="168" t="str">
        <f t="shared" si="305"/>
        <v>-2.91556264287042E-08+0.0000350752442056579i</v>
      </c>
      <c r="AQ479" s="98">
        <f t="shared" si="306"/>
        <v>-89.099982930959783</v>
      </c>
      <c r="AR479" s="169">
        <f t="shared" si="307"/>
        <v>90.047626010781016</v>
      </c>
      <c r="AS479" s="168" t="str">
        <f t="shared" si="308"/>
        <v>-6.50694449366639E-08+1.29929449895838E-06i</v>
      </c>
      <c r="AT479" s="190">
        <f t="shared" si="309"/>
        <v>-117.71496924912724</v>
      </c>
      <c r="AU479" s="169">
        <f t="shared" si="310"/>
        <v>92.867011592637553</v>
      </c>
      <c r="AV479" s="225"/>
      <c r="AX479">
        <f t="shared" si="311"/>
        <v>0</v>
      </c>
      <c r="AY479">
        <f t="shared" si="312"/>
        <v>0</v>
      </c>
    </row>
    <row r="480" spans="14:51" x14ac:dyDescent="0.3">
      <c r="N480" s="170">
        <v>62</v>
      </c>
      <c r="O480" s="199">
        <f t="shared" si="278"/>
        <v>416869.38347033598</v>
      </c>
      <c r="P480" s="189" t="str">
        <f t="shared" si="279"/>
        <v>20.7142857142857</v>
      </c>
      <c r="Q480" s="160" t="str">
        <f t="shared" si="280"/>
        <v>1+598.689733767733i</v>
      </c>
      <c r="R480" s="160">
        <f t="shared" si="288"/>
        <v>598.6905689242808</v>
      </c>
      <c r="S480" s="160">
        <f t="shared" si="289"/>
        <v>1.5691260140876366</v>
      </c>
      <c r="T480" s="160" t="str">
        <f t="shared" si="281"/>
        <v>1+0.0523853517046766i</v>
      </c>
      <c r="U480" s="160">
        <f t="shared" si="290"/>
        <v>1.0013711724796268</v>
      </c>
      <c r="V480" s="160">
        <f t="shared" si="291"/>
        <v>5.2337511385562731E-2</v>
      </c>
      <c r="W480" s="98" t="str">
        <f t="shared" si="282"/>
        <v>1-13.7511548224776i</v>
      </c>
      <c r="X480" s="160">
        <f t="shared" si="292"/>
        <v>13.787467459680512</v>
      </c>
      <c r="Y480" s="160">
        <f t="shared" si="293"/>
        <v>-1.4982029485711736</v>
      </c>
      <c r="Z480" s="98" t="str">
        <f t="shared" si="283"/>
        <v>-13.4934495006308-1.02607191373981i</v>
      </c>
      <c r="AA480" s="160">
        <f t="shared" si="294"/>
        <v>13.532405661900595</v>
      </c>
      <c r="AB480" s="160">
        <f t="shared" si="295"/>
        <v>-3.0656964922046881</v>
      </c>
      <c r="AC480" s="171" t="str">
        <f t="shared" si="296"/>
        <v>0.0352544218735854+0.00178911043532542i</v>
      </c>
      <c r="AD480" s="190">
        <f t="shared" si="297"/>
        <v>-29.044557551771106</v>
      </c>
      <c r="AE480" s="169">
        <f t="shared" si="298"/>
        <v>2.9051848454096287</v>
      </c>
      <c r="AF480" s="98" t="str">
        <f t="shared" si="284"/>
        <v>-0.0000897803247373448</v>
      </c>
      <c r="AG480" s="98" t="str">
        <f t="shared" si="285"/>
        <v>5.23853517046766i</v>
      </c>
      <c r="AH480" s="98">
        <f t="shared" si="299"/>
        <v>5.2385351704676602</v>
      </c>
      <c r="AI480" s="98">
        <f t="shared" si="300"/>
        <v>1.5707963267948966</v>
      </c>
      <c r="AJ480" s="98" t="str">
        <f t="shared" si="286"/>
        <v>1+615.52788252995i</v>
      </c>
      <c r="AK480" s="98">
        <f t="shared" si="301"/>
        <v>615.52869484030066</v>
      </c>
      <c r="AL480" s="98">
        <f t="shared" si="302"/>
        <v>1.5691717064509854</v>
      </c>
      <c r="AM480" s="98" t="str">
        <f t="shared" si="287"/>
        <v>1+1231.0557650599i</v>
      </c>
      <c r="AN480" s="98">
        <f t="shared" si="303"/>
        <v>1231.0561712152762</v>
      </c>
      <c r="AO480" s="98">
        <f t="shared" si="304"/>
        <v>1.5699840160869396</v>
      </c>
      <c r="AP480" s="168" t="str">
        <f t="shared" si="305"/>
        <v>-2.784341054368E-08+0.0000342768363037378i</v>
      </c>
      <c r="AQ480" s="98">
        <f t="shared" si="306"/>
        <v>-89.299982525794107</v>
      </c>
      <c r="AR480" s="169">
        <f t="shared" si="307"/>
        <v>90.046541913797967</v>
      </c>
      <c r="AS480" s="168" t="str">
        <f t="shared" si="308"/>
        <v>-6.23066488626648E-08+1.20836023260744E-06i</v>
      </c>
      <c r="AT480" s="190">
        <f t="shared" si="309"/>
        <v>-118.34454007756521</v>
      </c>
      <c r="AU480" s="169">
        <f t="shared" si="310"/>
        <v>92.951726759207617</v>
      </c>
      <c r="AV480" s="225"/>
      <c r="AX480">
        <f t="shared" si="311"/>
        <v>0</v>
      </c>
      <c r="AY480">
        <f t="shared" si="312"/>
        <v>0</v>
      </c>
    </row>
    <row r="481" spans="14:51" x14ac:dyDescent="0.3">
      <c r="N481" s="170">
        <v>63</v>
      </c>
      <c r="O481" s="199">
        <f t="shared" si="278"/>
        <v>426579.51880159322</v>
      </c>
      <c r="P481" s="189" t="str">
        <f t="shared" si="279"/>
        <v>20.7142857142857</v>
      </c>
      <c r="Q481" s="160" t="str">
        <f t="shared" si="280"/>
        <v>1+612.635009114951i</v>
      </c>
      <c r="R481" s="160">
        <f t="shared" si="288"/>
        <v>612.63582526104051</v>
      </c>
      <c r="S481" s="160">
        <f t="shared" si="289"/>
        <v>1.5691640349784055</v>
      </c>
      <c r="T481" s="160" t="str">
        <f t="shared" si="281"/>
        <v>1+0.0536055632975582i</v>
      </c>
      <c r="U481" s="160">
        <f t="shared" si="290"/>
        <v>1.0014357475227498</v>
      </c>
      <c r="V481" s="160">
        <f t="shared" si="291"/>
        <v>5.3554305440527063E-2</v>
      </c>
      <c r="W481" s="98" t="str">
        <f t="shared" si="282"/>
        <v>1-14.071460365609i</v>
      </c>
      <c r="X481" s="160">
        <f t="shared" si="292"/>
        <v>14.106948529746075</v>
      </c>
      <c r="Y481" s="160">
        <f t="shared" si="293"/>
        <v>-1.4998497721200028</v>
      </c>
      <c r="Z481" s="98" t="str">
        <f t="shared" si="283"/>
        <v>-14.1765047318445-1.04997219890605i</v>
      </c>
      <c r="AA481" s="160">
        <f t="shared" si="294"/>
        <v>14.215334256727315</v>
      </c>
      <c r="AB481" s="160">
        <f t="shared" si="295"/>
        <v>-3.0676633858190487</v>
      </c>
      <c r="AC481" s="171" t="str">
        <f t="shared" si="296"/>
        <v>0.0335563426094989+0.00175336449482787i</v>
      </c>
      <c r="AD481" s="190">
        <f t="shared" si="297"/>
        <v>-29.472666631676617</v>
      </c>
      <c r="AE481" s="169">
        <f t="shared" si="298"/>
        <v>2.9910622366247588</v>
      </c>
      <c r="AF481" s="98" t="str">
        <f t="shared" si="284"/>
        <v>-0.0000897803247373448</v>
      </c>
      <c r="AG481" s="98" t="str">
        <f t="shared" si="285"/>
        <v>5.36055632975582i</v>
      </c>
      <c r="AH481" s="98">
        <f t="shared" si="299"/>
        <v>5.3605563297558199</v>
      </c>
      <c r="AI481" s="98">
        <f t="shared" si="300"/>
        <v>1.5707963267948966</v>
      </c>
      <c r="AJ481" s="98" t="str">
        <f t="shared" si="286"/>
        <v>1+629.865368746309i</v>
      </c>
      <c r="AK481" s="98">
        <f t="shared" si="301"/>
        <v>629.86616256624211</v>
      </c>
      <c r="AL481" s="98">
        <f t="shared" si="302"/>
        <v>1.5692086872620381</v>
      </c>
      <c r="AM481" s="98" t="str">
        <f t="shared" si="287"/>
        <v>1+1259.73073749262i</v>
      </c>
      <c r="AN481" s="98">
        <f t="shared" si="303"/>
        <v>1259.7311344027742</v>
      </c>
      <c r="AO481" s="98">
        <f t="shared" si="304"/>
        <v>1.5700025065282417</v>
      </c>
      <c r="AP481" s="168" t="str">
        <f t="shared" si="305"/>
        <v>-2.65902537974769E-08+0.0000334966022421849i</v>
      </c>
      <c r="AQ481" s="98">
        <f t="shared" si="306"/>
        <v>-89.499982138863757</v>
      </c>
      <c r="AR481" s="169">
        <f t="shared" si="307"/>
        <v>90.045482493649629</v>
      </c>
      <c r="AS481" s="168" t="str">
        <f t="shared" si="308"/>
        <v>-5.96240247353203E-08+1.12397683868595E-06i</v>
      </c>
      <c r="AT481" s="190">
        <f t="shared" si="309"/>
        <v>-118.97264877054036</v>
      </c>
      <c r="AU481" s="169">
        <f t="shared" si="310"/>
        <v>93.036544730274386</v>
      </c>
      <c r="AV481" s="225"/>
      <c r="AX481">
        <f t="shared" si="311"/>
        <v>0</v>
      </c>
      <c r="AY481">
        <f t="shared" si="312"/>
        <v>0</v>
      </c>
    </row>
    <row r="482" spans="14:51" x14ac:dyDescent="0.3">
      <c r="N482" s="170">
        <v>64</v>
      </c>
      <c r="O482" s="199">
        <f t="shared" si="278"/>
        <v>436515.83224016649</v>
      </c>
      <c r="P482" s="189" t="str">
        <f t="shared" si="279"/>
        <v>20.7142857142857</v>
      </c>
      <c r="Q482" s="160" t="str">
        <f t="shared" si="280"/>
        <v>1+626.905111653184i</v>
      </c>
      <c r="R482" s="160">
        <f t="shared" si="288"/>
        <v>626.90590922154422</v>
      </c>
      <c r="S482" s="160">
        <f t="shared" si="289"/>
        <v>1.5692011904125989</v>
      </c>
      <c r="T482" s="160" t="str">
        <f t="shared" si="281"/>
        <v>1+0.0548541972696536i</v>
      </c>
      <c r="U482" s="160">
        <f t="shared" si="290"/>
        <v>1.0015033614312525</v>
      </c>
      <c r="V482" s="160">
        <f t="shared" si="291"/>
        <v>5.479927793815427E-2</v>
      </c>
      <c r="W482" s="98" t="str">
        <f t="shared" si="282"/>
        <v>1-14.399226783284i</v>
      </c>
      <c r="X482" s="160">
        <f t="shared" si="292"/>
        <v>14.433909101710572</v>
      </c>
      <c r="Y482" s="160">
        <f t="shared" si="293"/>
        <v>-1.5014594819431379</v>
      </c>
      <c r="Z482" s="98" t="str">
        <f t="shared" si="283"/>
        <v>-14.8917513643439-1.07442919323018i</v>
      </c>
      <c r="AA482" s="160">
        <f t="shared" si="294"/>
        <v>14.930460702493532</v>
      </c>
      <c r="AB482" s="160">
        <f t="shared" si="295"/>
        <v>-3.0695681718679699</v>
      </c>
      <c r="AC482" s="171" t="str">
        <f t="shared" si="296"/>
        <v>0.0319450904743446+0.00171731933790489i</v>
      </c>
      <c r="AD482" s="190">
        <f t="shared" si="297"/>
        <v>-29.899384655849481</v>
      </c>
      <c r="AE482" s="169">
        <f t="shared" si="298"/>
        <v>3.077171679155589</v>
      </c>
      <c r="AF482" s="98" t="str">
        <f t="shared" si="284"/>
        <v>-0.0000897803247373448</v>
      </c>
      <c r="AG482" s="98" t="str">
        <f t="shared" si="285"/>
        <v>5.48541972696537i</v>
      </c>
      <c r="AH482" s="98">
        <f t="shared" si="299"/>
        <v>5.4854197269653699</v>
      </c>
      <c r="AI482" s="98">
        <f t="shared" si="300"/>
        <v>1.5707963267948966</v>
      </c>
      <c r="AJ482" s="98" t="str">
        <f t="shared" si="286"/>
        <v>1+644.53681791843i</v>
      </c>
      <c r="AK482" s="98">
        <f t="shared" si="301"/>
        <v>644.53759366883742</v>
      </c>
      <c r="AL482" s="98">
        <f t="shared" si="302"/>
        <v>1.5692448262912562</v>
      </c>
      <c r="AM482" s="98" t="str">
        <f t="shared" si="287"/>
        <v>1+1289.07363583686i</v>
      </c>
      <c r="AN482" s="98">
        <f t="shared" si="303"/>
        <v>1289.0740237122388</v>
      </c>
      <c r="AO482" s="98">
        <f t="shared" si="304"/>
        <v>1.5700205760762385</v>
      </c>
      <c r="AP482" s="168" t="str">
        <f t="shared" si="305"/>
        <v>-2.53934981177984E-08+0.0000327341283433835i</v>
      </c>
      <c r="AQ482" s="98">
        <f t="shared" si="306"/>
        <v>-89.699981769348099</v>
      </c>
      <c r="AR482" s="169">
        <f t="shared" si="307"/>
        <v>90.044447188637662</v>
      </c>
      <c r="AS482" s="168" t="str">
        <f t="shared" si="308"/>
        <v>-5.70261492083862E-08+1.04565108278282E-06i</v>
      </c>
      <c r="AT482" s="190">
        <f t="shared" si="309"/>
        <v>-119.59936642519757</v>
      </c>
      <c r="AU482" s="169">
        <f t="shared" si="310"/>
        <v>93.121618867793259</v>
      </c>
      <c r="AV482" s="225"/>
      <c r="AX482">
        <f t="shared" si="311"/>
        <v>0</v>
      </c>
      <c r="AY482">
        <f t="shared" si="312"/>
        <v>0</v>
      </c>
    </row>
    <row r="483" spans="14:51" x14ac:dyDescent="0.3">
      <c r="N483" s="170">
        <v>65</v>
      </c>
      <c r="O483" s="199">
        <f t="shared" si="278"/>
        <v>446683.59215096442</v>
      </c>
      <c r="P483" s="189" t="str">
        <f t="shared" si="279"/>
        <v>20.7142857142857</v>
      </c>
      <c r="Q483" s="160" t="str">
        <f t="shared" si="280"/>
        <v>1+641.507607579689i</v>
      </c>
      <c r="R483" s="160">
        <f t="shared" si="288"/>
        <v>641.50838699319911</v>
      </c>
      <c r="S483" s="160">
        <f t="shared" si="289"/>
        <v>1.5692375000901091</v>
      </c>
      <c r="T483" s="160" t="str">
        <f t="shared" si="281"/>
        <v>1+0.0561319156632228i</v>
      </c>
      <c r="U483" s="160">
        <f t="shared" si="290"/>
        <v>1.0015741569928924</v>
      </c>
      <c r="V483" s="160">
        <f t="shared" si="291"/>
        <v>5.6073073533367226E-2</v>
      </c>
      <c r="W483" s="98" t="str">
        <f t="shared" si="282"/>
        <v>1-14.7346278615959i</v>
      </c>
      <c r="X483" s="160">
        <f t="shared" si="292"/>
        <v>14.768522546948226</v>
      </c>
      <c r="Y483" s="160">
        <f t="shared" si="293"/>
        <v>-1.5030328981430985</v>
      </c>
      <c r="Z483" s="98" t="str">
        <f t="shared" si="283"/>
        <v>-15.6407065321315-1.09945586413431i</v>
      </c>
      <c r="AA483" s="160">
        <f t="shared" si="294"/>
        <v>15.679301770851922</v>
      </c>
      <c r="AB483" s="160">
        <f t="shared" si="295"/>
        <v>-3.0714135800679276</v>
      </c>
      <c r="AC483" s="171" t="str">
        <f t="shared" si="296"/>
        <v>0.030415760690393+0.00168115327643215i</v>
      </c>
      <c r="AD483" s="190">
        <f t="shared" si="297"/>
        <v>-30.324778694175549</v>
      </c>
      <c r="AE483" s="169">
        <f t="shared" si="298"/>
        <v>3.1636583931079811</v>
      </c>
      <c r="AF483" s="98" t="str">
        <f t="shared" si="284"/>
        <v>-0.0000897803247373448</v>
      </c>
      <c r="AG483" s="98" t="str">
        <f t="shared" si="285"/>
        <v>5.61319156632228i</v>
      </c>
      <c r="AH483" s="98">
        <f t="shared" si="299"/>
        <v>5.6131915663222802</v>
      </c>
      <c r="AI483" s="98">
        <f t="shared" si="300"/>
        <v>1.5707963267948966</v>
      </c>
      <c r="AJ483" s="98" t="str">
        <f t="shared" si="286"/>
        <v>1+659.550009042868i</v>
      </c>
      <c r="AK483" s="98">
        <f t="shared" si="301"/>
        <v>659.55076713506094</v>
      </c>
      <c r="AL483" s="98">
        <f t="shared" si="302"/>
        <v>1.5692801426996532</v>
      </c>
      <c r="AM483" s="98" t="str">
        <f t="shared" si="287"/>
        <v>1+1319.10001808574i</v>
      </c>
      <c r="AN483" s="98">
        <f t="shared" si="303"/>
        <v>1319.1003971319997</v>
      </c>
      <c r="AO483" s="98">
        <f t="shared" si="304"/>
        <v>1.5700382343115964</v>
      </c>
      <c r="AP483" s="168" t="str">
        <f t="shared" si="305"/>
        <v>-2.42506050629496E-08+0.0000319890103455366i</v>
      </c>
      <c r="AQ483" s="98">
        <f t="shared" si="306"/>
        <v>-89.899981416463334</v>
      </c>
      <c r="AR483" s="169">
        <f t="shared" si="307"/>
        <v>90.043435449848616</v>
      </c>
      <c r="AS483" s="168" t="str">
        <f t="shared" si="308"/>
        <v>-5.45160301524127E-08+9.7292931440819E-07i</v>
      </c>
      <c r="AT483" s="190">
        <f t="shared" si="309"/>
        <v>-120.22476011063888</v>
      </c>
      <c r="AU483" s="169">
        <f t="shared" si="310"/>
        <v>93.207093842956596</v>
      </c>
      <c r="AV483" s="225"/>
      <c r="AX483">
        <f t="shared" si="311"/>
        <v>0</v>
      </c>
      <c r="AY483">
        <f t="shared" si="312"/>
        <v>0</v>
      </c>
    </row>
    <row r="484" spans="14:51" x14ac:dyDescent="0.3">
      <c r="N484" s="170">
        <v>66</v>
      </c>
      <c r="O484" s="199">
        <f t="shared" ref="O484:O518" si="313">10^(5+(N484/100))</f>
        <v>457088.18961487547</v>
      </c>
      <c r="P484" s="189" t="str">
        <f t="shared" si="279"/>
        <v>20.7142857142857</v>
      </c>
      <c r="Q484" s="160" t="str">
        <f t="shared" si="280"/>
        <v>1+656.450239331086i</v>
      </c>
      <c r="R484" s="160">
        <f t="shared" si="288"/>
        <v>656.45100100299942</v>
      </c>
      <c r="S484" s="160">
        <f t="shared" si="289"/>
        <v>1.5692729832624246</v>
      </c>
      <c r="T484" s="160" t="str">
        <f t="shared" si="281"/>
        <v>1+0.05743939594147i</v>
      </c>
      <c r="U484" s="160">
        <f t="shared" si="290"/>
        <v>1.0016482836835099</v>
      </c>
      <c r="V484" s="160">
        <f t="shared" si="291"/>
        <v>5.7376351065656188E-2</v>
      </c>
      <c r="W484" s="98" t="str">
        <f t="shared" si="282"/>
        <v>1-15.0778414346358i</v>
      </c>
      <c r="X484" s="160">
        <f t="shared" si="292"/>
        <v>15.110966293656411</v>
      </c>
      <c r="Y484" s="160">
        <f t="shared" si="293"/>
        <v>-1.5045708237867848</v>
      </c>
      <c r="Z484" s="98" t="str">
        <f t="shared" si="283"/>
        <v>-16.4249588695318-1.12506548109061i</v>
      </c>
      <c r="AA484" s="160">
        <f t="shared" si="294"/>
        <v>16.463445757269433</v>
      </c>
      <c r="AB484" s="160">
        <f t="shared" si="295"/>
        <v>-3.0732021712178783</v>
      </c>
      <c r="AC484" s="171" t="str">
        <f t="shared" si="296"/>
        <v>0.0289637682153236+0.00164501652904961i</v>
      </c>
      <c r="AD484" s="190">
        <f t="shared" si="297"/>
        <v>-30.748912035133337</v>
      </c>
      <c r="AE484" s="169">
        <f t="shared" si="298"/>
        <v>3.2506597348034147</v>
      </c>
      <c r="AF484" s="98" t="str">
        <f t="shared" si="284"/>
        <v>-0.0000897803247373448</v>
      </c>
      <c r="AG484" s="98" t="str">
        <f t="shared" si="285"/>
        <v>5.74393959414701i</v>
      </c>
      <c r="AH484" s="98">
        <f t="shared" si="299"/>
        <v>5.7439395941470099</v>
      </c>
      <c r="AI484" s="98">
        <f t="shared" si="300"/>
        <v>1.5707963267948966</v>
      </c>
      <c r="AJ484" s="98" t="str">
        <f t="shared" si="286"/>
        <v>1+674.912902312273i</v>
      </c>
      <c r="AK484" s="98">
        <f t="shared" si="301"/>
        <v>674.91364314819987</v>
      </c>
      <c r="AL484" s="98">
        <f t="shared" si="302"/>
        <v>1.5693146552121038</v>
      </c>
      <c r="AM484" s="98" t="str">
        <f t="shared" si="287"/>
        <v>1+1349.82580462455i</v>
      </c>
      <c r="AN484" s="98">
        <f t="shared" si="303"/>
        <v>1349.8261750426661</v>
      </c>
      <c r="AO484" s="98">
        <f t="shared" si="304"/>
        <v>1.5700554905969013</v>
      </c>
      <c r="AP484" s="168" t="str">
        <f t="shared" si="305"/>
        <v>-2.31591504377799E-08+0.0000312608531883774i</v>
      </c>
      <c r="AQ484" s="98">
        <f t="shared" si="306"/>
        <v>-90.099981079460946</v>
      </c>
      <c r="AR484" s="169">
        <f t="shared" si="307"/>
        <v>90.042446740862843</v>
      </c>
      <c r="AS484" s="168" t="str">
        <f t="shared" si="308"/>
        <v>-5.20953964724177E-08+9.05394008776154E-07i</v>
      </c>
      <c r="AT484" s="190">
        <f t="shared" si="309"/>
        <v>-120.84889311459429</v>
      </c>
      <c r="AU484" s="169">
        <f t="shared" si="310"/>
        <v>93.293106475666264</v>
      </c>
      <c r="AV484" s="225"/>
      <c r="AX484">
        <f t="shared" si="311"/>
        <v>0</v>
      </c>
      <c r="AY484">
        <f t="shared" si="312"/>
        <v>0</v>
      </c>
    </row>
    <row r="485" spans="14:51" x14ac:dyDescent="0.3">
      <c r="N485" s="170">
        <v>67</v>
      </c>
      <c r="O485" s="199">
        <f t="shared" si="313"/>
        <v>467735.14128719864</v>
      </c>
      <c r="P485" s="189" t="str">
        <f t="shared" si="279"/>
        <v>20.7142857142857</v>
      </c>
      <c r="Q485" s="160" t="str">
        <f t="shared" si="280"/>
        <v>1+671.740929688523i</v>
      </c>
      <c r="R485" s="160">
        <f t="shared" si="288"/>
        <v>671.74167402268654</v>
      </c>
      <c r="S485" s="160">
        <f t="shared" si="289"/>
        <v>1.5693076587428356</v>
      </c>
      <c r="T485" s="160" t="str">
        <f t="shared" si="281"/>
        <v>1+0.0587773313477458i</v>
      </c>
      <c r="U485" s="160">
        <f t="shared" si="290"/>
        <v>1.0017258979782655</v>
      </c>
      <c r="V485" s="160">
        <f t="shared" si="291"/>
        <v>5.8709783830724567E-2</v>
      </c>
      <c r="W485" s="98" t="str">
        <f t="shared" si="282"/>
        <v>1-15.4290494787832i</v>
      </c>
      <c r="X485" s="160">
        <f t="shared" si="292"/>
        <v>15.461421920985796</v>
      </c>
      <c r="Y485" s="160">
        <f t="shared" si="293"/>
        <v>-1.5060740451861547</v>
      </c>
      <c r="Z485" s="98" t="str">
        <f t="shared" si="283"/>
        <v>-17.2461718808995-1.151271622657i</v>
      </c>
      <c r="AA485" s="160">
        <f t="shared" si="294"/>
        <v>17.284555848926633</v>
      </c>
      <c r="AB485" s="160">
        <f t="shared" si="295"/>
        <v>-3.0749363504991054</v>
      </c>
      <c r="AC485" s="171" t="str">
        <f t="shared" si="296"/>
        <v>0.0275848230611874+0.00160903516964972i</v>
      </c>
      <c r="AD485" s="190">
        <f t="shared" si="297"/>
        <v>-31.17184441398436</v>
      </c>
      <c r="AE485" s="169">
        <f t="shared" si="298"/>
        <v>3.338305957701853</v>
      </c>
      <c r="AF485" s="98" t="str">
        <f t="shared" si="284"/>
        <v>-0.0000897803247373448</v>
      </c>
      <c r="AG485" s="98" t="str">
        <f t="shared" si="285"/>
        <v>5.87773313477459i</v>
      </c>
      <c r="AH485" s="98">
        <f t="shared" si="299"/>
        <v>5.8777331347745898</v>
      </c>
      <c r="AI485" s="98">
        <f t="shared" si="300"/>
        <v>1.5707963267948966</v>
      </c>
      <c r="AJ485" s="98" t="str">
        <f t="shared" si="286"/>
        <v>1+690.633643336013i</v>
      </c>
      <c r="AK485" s="98">
        <f t="shared" si="301"/>
        <v>690.63436730847343</v>
      </c>
      <c r="AL485" s="98">
        <f t="shared" si="302"/>
        <v>1.56934838212727</v>
      </c>
      <c r="AM485" s="98" t="str">
        <f t="shared" si="287"/>
        <v>1+1381.26728667203i</v>
      </c>
      <c r="AN485" s="98">
        <f t="shared" si="303"/>
        <v>1381.2676486584023</v>
      </c>
      <c r="AO485" s="98">
        <f t="shared" si="304"/>
        <v>1.570072354081623</v>
      </c>
      <c r="AP485" s="168" t="str">
        <f t="shared" si="305"/>
        <v>-2.21168191519312E-08+0.0000305492708037566i</v>
      </c>
      <c r="AQ485" s="98">
        <f t="shared" si="306"/>
        <v>-90.299980757626145</v>
      </c>
      <c r="AR485" s="169">
        <f t="shared" si="307"/>
        <v>90.041480537470278</v>
      </c>
      <c r="AS485" s="168" t="str">
        <f t="shared" si="308"/>
        <v>-4.976493967338E-08+8.42660643030068E-07i</v>
      </c>
      <c r="AT485" s="190">
        <f t="shared" si="309"/>
        <v>-121.4718251716105</v>
      </c>
      <c r="AU485" s="169">
        <f t="shared" si="310"/>
        <v>93.379786495172127</v>
      </c>
      <c r="AV485" s="225"/>
      <c r="AX485">
        <f t="shared" si="311"/>
        <v>0</v>
      </c>
      <c r="AY485">
        <f t="shared" si="312"/>
        <v>0</v>
      </c>
    </row>
    <row r="486" spans="14:51" x14ac:dyDescent="0.3">
      <c r="N486" s="170">
        <v>68</v>
      </c>
      <c r="O486" s="199">
        <f t="shared" si="313"/>
        <v>478630.09232263872</v>
      </c>
      <c r="P486" s="189" t="str">
        <f t="shared" si="279"/>
        <v>20.7142857142857</v>
      </c>
      <c r="Q486" s="160" t="str">
        <f t="shared" si="280"/>
        <v>1+687.387785978425i</v>
      </c>
      <c r="R486" s="160">
        <f t="shared" si="288"/>
        <v>687.38851336949244</v>
      </c>
      <c r="S486" s="160">
        <f t="shared" si="289"/>
        <v>1.569341544916407</v>
      </c>
      <c r="T486" s="160" t="str">
        <f t="shared" si="281"/>
        <v>1+0.0601464312731122i</v>
      </c>
      <c r="U486" s="160">
        <f t="shared" si="290"/>
        <v>1.0018071636771675</v>
      </c>
      <c r="V486" s="160">
        <f t="shared" si="291"/>
        <v>6.0074059854340771E-2</v>
      </c>
      <c r="W486" s="98" t="str">
        <f t="shared" si="282"/>
        <v>1-15.7884382091919i</v>
      </c>
      <c r="X486" s="160">
        <f t="shared" si="292"/>
        <v>15.820075255366859</v>
      </c>
      <c r="Y486" s="160">
        <f t="shared" si="293"/>
        <v>-1.5075433321794578</v>
      </c>
      <c r="Z486" s="98" t="str">
        <f t="shared" si="283"/>
        <v>-18.1060874691334-1.1780881836766i</v>
      </c>
      <c r="AA486" s="160">
        <f t="shared" si="294"/>
        <v>18.144373651587646</v>
      </c>
      <c r="AB486" s="160">
        <f t="shared" si="295"/>
        <v>-3.0766183795444948</v>
      </c>
      <c r="AC486" s="171" t="str">
        <f t="shared" si="296"/>
        <v>0.0262749078564244+0.0015733145223568i</v>
      </c>
      <c r="AD486" s="190">
        <f t="shared" si="297"/>
        <v>-31.59363222406483</v>
      </c>
      <c r="AE486" s="169">
        <f t="shared" si="298"/>
        <v>3.4267209029259718</v>
      </c>
      <c r="AF486" s="98" t="str">
        <f t="shared" si="284"/>
        <v>-0.0000897803247373448</v>
      </c>
      <c r="AG486" s="98" t="str">
        <f t="shared" si="285"/>
        <v>6.01464312731123i</v>
      </c>
      <c r="AH486" s="98">
        <f t="shared" si="299"/>
        <v>6.0146431273112304</v>
      </c>
      <c r="AI486" s="98">
        <f t="shared" si="300"/>
        <v>1.5707963267948966</v>
      </c>
      <c r="AJ486" s="98" t="str">
        <f t="shared" si="286"/>
        <v>1+706.720567459068i</v>
      </c>
      <c r="AK486" s="98">
        <f t="shared" si="301"/>
        <v>706.7212749519199</v>
      </c>
      <c r="AL486" s="98">
        <f t="shared" si="302"/>
        <v>1.5693813413273012</v>
      </c>
      <c r="AM486" s="98" t="str">
        <f t="shared" si="287"/>
        <v>1+1413.44113491814i</v>
      </c>
      <c r="AN486" s="98">
        <f t="shared" si="303"/>
        <v>1413.4414886646989</v>
      </c>
      <c r="AO486" s="98">
        <f t="shared" si="304"/>
        <v>1.5700888337069661</v>
      </c>
      <c r="AP486" s="168" t="str">
        <f t="shared" si="305"/>
        <v>-2.11214003094853E-08+0.0000298538859109936i</v>
      </c>
      <c r="AQ486" s="98">
        <f t="shared" si="306"/>
        <v>-90.499980450276297</v>
      </c>
      <c r="AR486" s="169">
        <f t="shared" si="307"/>
        <v>90.040536327392459</v>
      </c>
      <c r="AS486" s="168" t="str">
        <f t="shared" si="308"/>
        <v>-4.75245150994797E-08+7.84374870861724E-07i</v>
      </c>
      <c r="AT486" s="190">
        <f t="shared" si="309"/>
        <v>-122.09361267434112</v>
      </c>
      <c r="AU486" s="169">
        <f t="shared" si="310"/>
        <v>93.467257230318438</v>
      </c>
      <c r="AV486" s="225"/>
      <c r="AX486">
        <f t="shared" si="311"/>
        <v>0</v>
      </c>
      <c r="AY486">
        <f t="shared" si="312"/>
        <v>0</v>
      </c>
    </row>
    <row r="487" spans="14:51" x14ac:dyDescent="0.3">
      <c r="N487" s="170">
        <v>69</v>
      </c>
      <c r="O487" s="199">
        <f t="shared" si="313"/>
        <v>489778.81936844654</v>
      </c>
      <c r="P487" s="189" t="str">
        <f t="shared" si="279"/>
        <v>20.7142857142857</v>
      </c>
      <c r="Q487" s="160" t="str">
        <f t="shared" si="280"/>
        <v>1+703.399104371106i</v>
      </c>
      <c r="R487" s="160">
        <f t="shared" si="288"/>
        <v>703.39981520474839</v>
      </c>
      <c r="S487" s="160">
        <f t="shared" si="289"/>
        <v>1.5693746597497251</v>
      </c>
      <c r="T487" s="160" t="str">
        <f t="shared" si="281"/>
        <v>1+0.0615474216324718i</v>
      </c>
      <c r="U487" s="160">
        <f t="shared" si="290"/>
        <v>1.0018922522455223</v>
      </c>
      <c r="V487" s="160">
        <f t="shared" si="291"/>
        <v>6.1469882168169745E-2</v>
      </c>
      <c r="W487" s="98" t="str">
        <f t="shared" si="282"/>
        <v>1-16.1561981785238i</v>
      </c>
      <c r="X487" s="160">
        <f t="shared" si="292"/>
        <v>16.187116469085396</v>
      </c>
      <c r="Y487" s="160">
        <f t="shared" si="293"/>
        <v>-1.5089794384125779</v>
      </c>
      <c r="Z487" s="98" t="str">
        <f t="shared" si="283"/>
        <v>-19.0065296304872-1.20552938264503i</v>
      </c>
      <c r="AA487" s="160">
        <f t="shared" si="294"/>
        <v>19.044722882914535</v>
      </c>
      <c r="AB487" s="160">
        <f t="shared" si="295"/>
        <v>-3.0782503874067313</v>
      </c>
      <c r="AC487" s="171" t="str">
        <f t="shared" si="296"/>
        <v>0.0250302574169752+0.00153794208301002i</v>
      </c>
      <c r="AD487" s="190">
        <f t="shared" si="297"/>
        <v>-32.014328712609611</v>
      </c>
      <c r="AE487" s="169">
        <f t="shared" si="298"/>
        <v>3.5160226268182067</v>
      </c>
      <c r="AF487" s="98" t="str">
        <f t="shared" si="284"/>
        <v>-0.0000897803247373448</v>
      </c>
      <c r="AG487" s="98" t="str">
        <f t="shared" si="285"/>
        <v>6.15474216324718i</v>
      </c>
      <c r="AH487" s="98">
        <f t="shared" si="299"/>
        <v>6.1547421632471799</v>
      </c>
      <c r="AI487" s="98">
        <f t="shared" si="300"/>
        <v>1.5707963267948966</v>
      </c>
      <c r="AJ487" s="98" t="str">
        <f t="shared" si="286"/>
        <v>1+723.182204181544i</v>
      </c>
      <c r="AK487" s="98">
        <f t="shared" si="301"/>
        <v>723.18289556990794</v>
      </c>
      <c r="AL487" s="98">
        <f t="shared" si="302"/>
        <v>1.5694135502873154</v>
      </c>
      <c r="AM487" s="98" t="str">
        <f t="shared" si="287"/>
        <v>1+1446.36440836309i</v>
      </c>
      <c r="AN487" s="98">
        <f t="shared" si="303"/>
        <v>1446.3647540573961</v>
      </c>
      <c r="AO487" s="98">
        <f t="shared" si="304"/>
        <v>1.57010493821061</v>
      </c>
      <c r="AP487" s="168" t="str">
        <f t="shared" si="305"/>
        <v>-2.01707825196003E-08+0.000029174329816884i</v>
      </c>
      <c r="AQ487" s="98">
        <f t="shared" si="306"/>
        <v>-90.699980156759381</v>
      </c>
      <c r="AR487" s="169">
        <f t="shared" si="307"/>
        <v>90.039613610011088</v>
      </c>
      <c r="AS487" s="168" t="str">
        <f t="shared" si="308"/>
        <v>-4.53733094477673E-08+7.30209963789057E-07i</v>
      </c>
      <c r="AT487" s="190">
        <f t="shared" si="309"/>
        <v>-122.71430886936901</v>
      </c>
      <c r="AU487" s="169">
        <f t="shared" si="310"/>
        <v>93.555636236829301</v>
      </c>
      <c r="AV487" s="225"/>
      <c r="AX487">
        <f t="shared" si="311"/>
        <v>0</v>
      </c>
      <c r="AY487">
        <f t="shared" si="312"/>
        <v>0</v>
      </c>
    </row>
    <row r="488" spans="14:51" x14ac:dyDescent="0.3">
      <c r="N488" s="170">
        <v>70</v>
      </c>
      <c r="O488" s="199">
        <f t="shared" si="313"/>
        <v>501187.23362727347</v>
      </c>
      <c r="P488" s="189" t="str">
        <f t="shared" si="279"/>
        <v>20.7142857142857</v>
      </c>
      <c r="Q488" s="160" t="str">
        <f t="shared" si="280"/>
        <v>1+719.783374279513i</v>
      </c>
      <c r="R488" s="160">
        <f t="shared" si="288"/>
        <v>719.78406893262206</v>
      </c>
      <c r="S488" s="160">
        <f t="shared" si="289"/>
        <v>1.5694070208004223</v>
      </c>
      <c r="T488" s="160" t="str">
        <f t="shared" si="281"/>
        <v>1+0.0629810452494574i</v>
      </c>
      <c r="U488" s="160">
        <f t="shared" si="290"/>
        <v>1.0019813431699784</v>
      </c>
      <c r="V488" s="160">
        <f t="shared" si="291"/>
        <v>6.2897969087323868E-2</v>
      </c>
      <c r="W488" s="98" t="str">
        <f t="shared" si="282"/>
        <v>1-16.5325243779825i</v>
      </c>
      <c r="X488" s="160">
        <f t="shared" si="292"/>
        <v>16.562740181159207</v>
      </c>
      <c r="Y488" s="160">
        <f t="shared" si="293"/>
        <v>-1.5103831016200642</v>
      </c>
      <c r="Z488" s="98" t="str">
        <f t="shared" si="283"/>
        <v>-19.9494083235095-1.23360976924921i</v>
      </c>
      <c r="AA488" s="160">
        <f t="shared" si="294"/>
        <v>19.987513240043072</v>
      </c>
      <c r="AB488" s="160">
        <f t="shared" si="295"/>
        <v>-3.0798343805396309</v>
      </c>
      <c r="AC488" s="171" t="str">
        <f t="shared" si="296"/>
        <v>0.0238473401198357+0.00150299003505598i</v>
      </c>
      <c r="AD488" s="190">
        <f t="shared" si="297"/>
        <v>-32.433984162393401</v>
      </c>
      <c r="AE488" s="169">
        <f t="shared" si="298"/>
        <v>3.6063239720841769</v>
      </c>
      <c r="AF488" s="98" t="str">
        <f t="shared" si="284"/>
        <v>-0.0000897803247373448</v>
      </c>
      <c r="AG488" s="98" t="str">
        <f t="shared" si="285"/>
        <v>6.29810452494574i</v>
      </c>
      <c r="AH488" s="98">
        <f t="shared" si="299"/>
        <v>6.2981045249457397</v>
      </c>
      <c r="AI488" s="98">
        <f t="shared" si="300"/>
        <v>1.5707963267948966</v>
      </c>
      <c r="AJ488" s="98" t="str">
        <f t="shared" si="286"/>
        <v>1+740.027281681124i</v>
      </c>
      <c r="AK488" s="98">
        <f t="shared" si="301"/>
        <v>740.02795733158189</v>
      </c>
      <c r="AL488" s="98">
        <f t="shared" si="302"/>
        <v>1.569445026084662</v>
      </c>
      <c r="AM488" s="98" t="str">
        <f t="shared" si="287"/>
        <v>1+1480.05456336225i</v>
      </c>
      <c r="AN488" s="98">
        <f t="shared" si="303"/>
        <v>1480.0549011875949</v>
      </c>
      <c r="AO488" s="98">
        <f t="shared" si="304"/>
        <v>1.5701206761313424</v>
      </c>
      <c r="AP488" s="168" t="str">
        <f t="shared" si="305"/>
        <v>-1.92629494181866E-08+0.0000285102422202562i</v>
      </c>
      <c r="AQ488" s="98">
        <f t="shared" si="306"/>
        <v>-90.899979876452903</v>
      </c>
      <c r="AR488" s="169">
        <f t="shared" si="307"/>
        <v>90.038711896102612</v>
      </c>
      <c r="AS488" s="168" t="str">
        <f t="shared" si="308"/>
        <v>-4.3309980060564E-08+6.79864491104328E-07i</v>
      </c>
      <c r="AT488" s="190">
        <f t="shared" si="309"/>
        <v>-123.33396403884632</v>
      </c>
      <c r="AU488" s="169">
        <f t="shared" si="310"/>
        <v>93.645035868186781</v>
      </c>
      <c r="AV488" s="225"/>
      <c r="AX488">
        <f t="shared" si="311"/>
        <v>0</v>
      </c>
      <c r="AY488">
        <f t="shared" si="312"/>
        <v>0</v>
      </c>
    </row>
    <row r="489" spans="14:51" x14ac:dyDescent="0.3">
      <c r="N489" s="170">
        <v>71</v>
      </c>
      <c r="O489" s="199">
        <f t="shared" si="313"/>
        <v>512861.38399136515</v>
      </c>
      <c r="P489" s="189" t="str">
        <f t="shared" si="279"/>
        <v>20.7142857142857</v>
      </c>
      <c r="Q489" s="160" t="str">
        <f t="shared" si="280"/>
        <v>1+736.549282860418i</v>
      </c>
      <c r="R489" s="160">
        <f t="shared" si="288"/>
        <v>736.54996170130653</v>
      </c>
      <c r="S489" s="160">
        <f t="shared" si="289"/>
        <v>1.5694386452264844</v>
      </c>
      <c r="T489" s="160" t="str">
        <f t="shared" si="281"/>
        <v>1+0.0644480622502866i</v>
      </c>
      <c r="U489" s="160">
        <f t="shared" si="290"/>
        <v>1.0020746243308514</v>
      </c>
      <c r="V489" s="160">
        <f t="shared" si="291"/>
        <v>6.4359054489350087E-2</v>
      </c>
      <c r="W489" s="98" t="str">
        <f t="shared" si="282"/>
        <v>1-16.9176163407002i</v>
      </c>
      <c r="X489" s="160">
        <f t="shared" si="292"/>
        <v>16.947145560569378</v>
      </c>
      <c r="Y489" s="160">
        <f t="shared" si="293"/>
        <v>-1.5117550439054674</v>
      </c>
      <c r="Z489" s="98" t="str">
        <f t="shared" si="283"/>
        <v>-20.9367235203217-1.26234423208179i</v>
      </c>
      <c r="AA489" s="160">
        <f t="shared" si="294"/>
        <v>20.974744449615162</v>
      </c>
      <c r="AB489" s="160">
        <f t="shared" si="295"/>
        <v>-3.0813722518935647</v>
      </c>
      <c r="AC489" s="171" t="str">
        <f t="shared" si="296"/>
        <v>0.0227228408961894+0.00146851741758005i</v>
      </c>
      <c r="AD489" s="190">
        <f t="shared" si="297"/>
        <v>-32.85264606035156</v>
      </c>
      <c r="AE489" s="169">
        <f t="shared" si="298"/>
        <v>3.6977330883108968</v>
      </c>
      <c r="AF489" s="98" t="str">
        <f t="shared" si="284"/>
        <v>-0.0000897803247373448</v>
      </c>
      <c r="AG489" s="98" t="str">
        <f t="shared" si="285"/>
        <v>6.44480622502867i</v>
      </c>
      <c r="AH489" s="98">
        <f t="shared" si="299"/>
        <v>6.4448062250286702</v>
      </c>
      <c r="AI489" s="98">
        <f t="shared" si="300"/>
        <v>1.5707963267948966</v>
      </c>
      <c r="AJ489" s="98" t="str">
        <f t="shared" si="286"/>
        <v>1+757.264731440868i</v>
      </c>
      <c r="AK489" s="98">
        <f t="shared" si="301"/>
        <v>757.26539171165734</v>
      </c>
      <c r="AL489" s="98">
        <f t="shared" si="302"/>
        <v>1.5694757854079755</v>
      </c>
      <c r="AM489" s="98" t="str">
        <f t="shared" si="287"/>
        <v>1+1514.52946288174i</v>
      </c>
      <c r="AN489" s="98">
        <f t="shared" si="303"/>
        <v>1514.5297930172428</v>
      </c>
      <c r="AO489" s="98">
        <f t="shared" si="304"/>
        <v>1.570136055813586</v>
      </c>
      <c r="AP489" s="168" t="str">
        <f t="shared" si="305"/>
        <v>-1.8395975391131E-08+0.0000278612710209761i</v>
      </c>
      <c r="AQ489" s="98">
        <f t="shared" si="306"/>
        <v>-91.099979608762212</v>
      </c>
      <c r="AR489" s="169">
        <f t="shared" si="307"/>
        <v>90.037830707578863</v>
      </c>
      <c r="AS489" s="168" t="str">
        <f t="shared" si="308"/>
        <v>-4.13327705921646E-08+6.33060213764977E-07i</v>
      </c>
      <c r="AT489" s="190">
        <f t="shared" si="309"/>
        <v>-123.95262566911377</v>
      </c>
      <c r="AU489" s="169">
        <f t="shared" si="310"/>
        <v>93.735563795889774</v>
      </c>
      <c r="AV489" s="225"/>
      <c r="AX489">
        <f t="shared" si="311"/>
        <v>0</v>
      </c>
      <c r="AY489">
        <f t="shared" si="312"/>
        <v>0</v>
      </c>
    </row>
    <row r="490" spans="14:51" x14ac:dyDescent="0.3">
      <c r="N490" s="170">
        <v>72</v>
      </c>
      <c r="O490" s="199">
        <f t="shared" si="313"/>
        <v>524807.46024977288</v>
      </c>
      <c r="P490" s="189" t="str">
        <f t="shared" si="279"/>
        <v>20.7142857142857</v>
      </c>
      <c r="Q490" s="160" t="str">
        <f t="shared" si="280"/>
        <v>1+753.705719620482i</v>
      </c>
      <c r="R490" s="160">
        <f t="shared" si="288"/>
        <v>753.7063830090791</v>
      </c>
      <c r="S490" s="160">
        <f t="shared" si="289"/>
        <v>1.5694695497953477</v>
      </c>
      <c r="T490" s="160" t="str">
        <f t="shared" si="281"/>
        <v>1+0.0659492504667922i</v>
      </c>
      <c r="U490" s="160">
        <f t="shared" si="290"/>
        <v>1.0021722923914489</v>
      </c>
      <c r="V490" s="160">
        <f t="shared" si="291"/>
        <v>6.5853888094343491E-2</v>
      </c>
      <c r="W490" s="98" t="str">
        <f t="shared" si="282"/>
        <v>1-17.3116782475329i</v>
      </c>
      <c r="X490" s="160">
        <f t="shared" si="292"/>
        <v>17.340536431901519</v>
      </c>
      <c r="Y490" s="160">
        <f t="shared" si="293"/>
        <v>-1.5130959720206345</v>
      </c>
      <c r="Z490" s="98" t="str">
        <f t="shared" si="283"/>
        <v>-21.9705694488285-1.29174800653532i</v>
      </c>
      <c r="AA490" s="160">
        <f t="shared" si="294"/>
        <v>22.008510508850527</v>
      </c>
      <c r="AB490" s="160">
        <f t="shared" si="295"/>
        <v>-3.0828657892143521</v>
      </c>
      <c r="AC490" s="171" t="str">
        <f t="shared" si="296"/>
        <v>0.0216536456820326+0.00143457199463657i</v>
      </c>
      <c r="AD490" s="190">
        <f t="shared" si="297"/>
        <v>-33.270359254233064</v>
      </c>
      <c r="AE490" s="169">
        <f t="shared" si="298"/>
        <v>3.7903539069846399</v>
      </c>
      <c r="AF490" s="98" t="str">
        <f t="shared" si="284"/>
        <v>-0.0000897803247373448</v>
      </c>
      <c r="AG490" s="98" t="str">
        <f t="shared" si="285"/>
        <v>6.59492504667922i</v>
      </c>
      <c r="AH490" s="98">
        <f t="shared" si="299"/>
        <v>6.5949250466792204</v>
      </c>
      <c r="AI490" s="98">
        <f t="shared" si="300"/>
        <v>1.5707963267948966</v>
      </c>
      <c r="AJ490" s="98" t="str">
        <f t="shared" si="286"/>
        <v>1+774.903692984808i</v>
      </c>
      <c r="AK490" s="98">
        <f t="shared" si="301"/>
        <v>774.9043382260121</v>
      </c>
      <c r="AL490" s="98">
        <f t="shared" si="302"/>
        <v>1.5695058445660233</v>
      </c>
      <c r="AM490" s="98" t="str">
        <f t="shared" si="287"/>
        <v>1+1549.80738596962i</v>
      </c>
      <c r="AN490" s="98">
        <f t="shared" si="303"/>
        <v>1549.8077085903228</v>
      </c>
      <c r="AO490" s="98">
        <f t="shared" si="304"/>
        <v>1.5701510854118228</v>
      </c>
      <c r="AP490" s="168" t="str">
        <f t="shared" si="305"/>
        <v>-1.75680214899927E-08+0.0000272270721332956i</v>
      </c>
      <c r="AQ490" s="98">
        <f t="shared" si="306"/>
        <v>-91.299979353119639</v>
      </c>
      <c r="AR490" s="169">
        <f t="shared" si="307"/>
        <v>90.036969577233748</v>
      </c>
      <c r="AS490" s="168" t="str">
        <f t="shared" si="308"/>
        <v>-3.94396068910543E-08+5.89540170341896E-07i</v>
      </c>
      <c r="AT490" s="190">
        <f t="shared" si="309"/>
        <v>-124.57033860735268</v>
      </c>
      <c r="AU490" s="169">
        <f t="shared" si="310"/>
        <v>93.827323484218383</v>
      </c>
      <c r="AV490" s="225"/>
      <c r="AX490">
        <f t="shared" si="311"/>
        <v>0</v>
      </c>
      <c r="AY490">
        <f t="shared" si="312"/>
        <v>0</v>
      </c>
    </row>
    <row r="491" spans="14:51" x14ac:dyDescent="0.3">
      <c r="N491" s="170">
        <v>73</v>
      </c>
      <c r="O491" s="199">
        <f t="shared" si="313"/>
        <v>537031.7963702539</v>
      </c>
      <c r="P491" s="189" t="str">
        <f t="shared" si="279"/>
        <v>20.7142857142857</v>
      </c>
      <c r="Q491" s="160" t="str">
        <f t="shared" si="280"/>
        <v>1+771.261781129563i</v>
      </c>
      <c r="R491" s="160">
        <f t="shared" si="288"/>
        <v>771.26242941760484</v>
      </c>
      <c r="S491" s="160">
        <f t="shared" si="289"/>
        <v>1.5694997508927877</v>
      </c>
      <c r="T491" s="160" t="str">
        <f t="shared" si="281"/>
        <v>1+0.0674854058488368i</v>
      </c>
      <c r="U491" s="160">
        <f t="shared" si="290"/>
        <v>1.0022745532051496</v>
      </c>
      <c r="V491" s="160">
        <f t="shared" si="291"/>
        <v>6.738323574584007E-2</v>
      </c>
      <c r="W491" s="98" t="str">
        <f t="shared" si="282"/>
        <v>1-17.7149190353196i</v>
      </c>
      <c r="X491" s="160">
        <f t="shared" si="292"/>
        <v>17.743121383452483</v>
      </c>
      <c r="Y491" s="160">
        <f t="shared" si="293"/>
        <v>-1.5144065776436371</v>
      </c>
      <c r="Z491" s="98" t="str">
        <f t="shared" si="283"/>
        <v>-23.0531390348542-1.32183668288023i</v>
      </c>
      <c r="AA491" s="160">
        <f t="shared" si="294"/>
        <v>23.091004126640449</v>
      </c>
      <c r="AB491" s="160">
        <f t="shared" si="295"/>
        <v>-3.084316682624904</v>
      </c>
      <c r="AC491" s="171" t="str">
        <f t="shared" si="296"/>
        <v>0.0206368271824133+0.00140119186780591i</v>
      </c>
      <c r="AD491" s="190">
        <f t="shared" si="297"/>
        <v>-33.68716609823192</v>
      </c>
      <c r="AE491" s="169">
        <f t="shared" si="298"/>
        <v>3.8842865755475331</v>
      </c>
      <c r="AF491" s="98" t="str">
        <f t="shared" si="284"/>
        <v>-0.0000897803247373448</v>
      </c>
      <c r="AG491" s="98" t="str">
        <f t="shared" si="285"/>
        <v>6.74854058488368i</v>
      </c>
      <c r="AH491" s="98">
        <f t="shared" si="299"/>
        <v>6.7485405848836804</v>
      </c>
      <c r="AI491" s="98">
        <f t="shared" si="300"/>
        <v>1.5707963267948966</v>
      </c>
      <c r="AJ491" s="98" t="str">
        <f t="shared" si="286"/>
        <v>1+792.953518723832i</v>
      </c>
      <c r="AK491" s="98">
        <f t="shared" si="301"/>
        <v>792.95414927756474</v>
      </c>
      <c r="AL491" s="98">
        <f t="shared" si="302"/>
        <v>1.5695352194963519</v>
      </c>
      <c r="AM491" s="98" t="str">
        <f t="shared" si="287"/>
        <v>1+1585.90703744767i</v>
      </c>
      <c r="AN491" s="98">
        <f t="shared" si="303"/>
        <v>1585.9073527246305</v>
      </c>
      <c r="AO491" s="98">
        <f t="shared" si="304"/>
        <v>1.5701657728949172</v>
      </c>
      <c r="AP491" s="168" t="str">
        <f t="shared" si="305"/>
        <v>-1.67773315315163E-08+0.0000266073093034507i</v>
      </c>
      <c r="AQ491" s="98">
        <f t="shared" si="306"/>
        <v>-91.499979108982785</v>
      </c>
      <c r="AR491" s="169">
        <f t="shared" si="307"/>
        <v>90.036128048495428</v>
      </c>
      <c r="AS491" s="168" t="str">
        <f t="shared" si="308"/>
        <v>-3.76281763115896E-08+5.49066935623824E-07i</v>
      </c>
      <c r="AT491" s="190">
        <f t="shared" si="309"/>
        <v>-125.18714520721471</v>
      </c>
      <c r="AU491" s="169">
        <f t="shared" si="310"/>
        <v>93.920414624042962</v>
      </c>
      <c r="AV491" s="225"/>
      <c r="AX491">
        <f t="shared" si="311"/>
        <v>0</v>
      </c>
      <c r="AY491">
        <f t="shared" si="312"/>
        <v>0</v>
      </c>
    </row>
    <row r="492" spans="14:51" x14ac:dyDescent="0.3">
      <c r="N492" s="170">
        <v>74</v>
      </c>
      <c r="O492" s="199">
        <f t="shared" si="313"/>
        <v>549540.87385762564</v>
      </c>
      <c r="P492" s="189" t="str">
        <f t="shared" si="279"/>
        <v>20.7142857142857</v>
      </c>
      <c r="Q492" s="160" t="str">
        <f t="shared" si="280"/>
        <v>1+789.226775843854i</v>
      </c>
      <c r="R492" s="160">
        <f t="shared" si="288"/>
        <v>789.22740937507047</v>
      </c>
      <c r="S492" s="160">
        <f t="shared" si="289"/>
        <v>1.569529264531605</v>
      </c>
      <c r="T492" s="160" t="str">
        <f t="shared" si="281"/>
        <v>1+0.0690573428863372i</v>
      </c>
      <c r="U492" s="160">
        <f t="shared" si="290"/>
        <v>1.0023816222410111</v>
      </c>
      <c r="V492" s="160">
        <f t="shared" si="291"/>
        <v>6.8947879692121114E-2</v>
      </c>
      <c r="W492" s="98" t="str">
        <f t="shared" si="282"/>
        <v>1-18.1275525076635i</v>
      </c>
      <c r="X492" s="160">
        <f t="shared" si="292"/>
        <v>18.155113877860892</v>
      </c>
      <c r="Y492" s="160">
        <f t="shared" si="293"/>
        <v>-1.5156875376550492</v>
      </c>
      <c r="Z492" s="98" t="str">
        <f t="shared" si="283"/>
        <v>-24.1867285536334-1.35262621453098i</v>
      </c>
      <c r="AA492" s="160">
        <f t="shared" si="294"/>
        <v>24.224521374082538</v>
      </c>
      <c r="AB492" s="160">
        <f t="shared" si="295"/>
        <v>-3.0857265315600793</v>
      </c>
      <c r="AC492" s="171" t="str">
        <f t="shared" si="296"/>
        <v>0.0196696318213251+0.00136840686779231i</v>
      </c>
      <c r="AD492" s="190">
        <f t="shared" si="297"/>
        <v>-34.103106588462019</v>
      </c>
      <c r="AE492" s="169">
        <f t="shared" si="298"/>
        <v>3.9796278545254093</v>
      </c>
      <c r="AF492" s="98" t="str">
        <f t="shared" si="284"/>
        <v>-0.0000897803247373448</v>
      </c>
      <c r="AG492" s="98" t="str">
        <f t="shared" si="285"/>
        <v>6.90573428863373i</v>
      </c>
      <c r="AH492" s="98">
        <f t="shared" si="299"/>
        <v>6.9057342886337301</v>
      </c>
      <c r="AI492" s="98">
        <f t="shared" si="300"/>
        <v>1.5707963267948966</v>
      </c>
      <c r="AJ492" s="98" t="str">
        <f t="shared" si="286"/>
        <v>1+811.423778914462i</v>
      </c>
      <c r="AK492" s="98">
        <f t="shared" si="301"/>
        <v>811.4243951150504</v>
      </c>
      <c r="AL492" s="98">
        <f t="shared" si="302"/>
        <v>1.5695639257737348</v>
      </c>
      <c r="AM492" s="98" t="str">
        <f t="shared" si="287"/>
        <v>1+1622.84755782893i</v>
      </c>
      <c r="AN492" s="98">
        <f t="shared" si="303"/>
        <v>1622.8478659293119</v>
      </c>
      <c r="AO492" s="98">
        <f t="shared" si="304"/>
        <v>1.5701801260503423</v>
      </c>
      <c r="AP492" s="168" t="str">
        <f t="shared" si="305"/>
        <v>-1.60222283726829E-08+0.0000260016539314062i</v>
      </c>
      <c r="AQ492" s="98">
        <f t="shared" si="306"/>
        <v>-91.699978875833906</v>
      </c>
      <c r="AR492" s="169">
        <f t="shared" si="307"/>
        <v>90.035305675184404</v>
      </c>
      <c r="AS492" s="168" t="str">
        <f t="shared" si="308"/>
        <v>-3.5895993146743E-08+5.11421034648928E-07i</v>
      </c>
      <c r="AT492" s="190">
        <f t="shared" si="309"/>
        <v>-125.80308546429592</v>
      </c>
      <c r="AU492" s="169">
        <f t="shared" si="310"/>
        <v>94.014933529709808</v>
      </c>
      <c r="AV492" s="225"/>
      <c r="AX492">
        <f t="shared" si="311"/>
        <v>0</v>
      </c>
      <c r="AY492">
        <f t="shared" si="312"/>
        <v>0</v>
      </c>
    </row>
    <row r="493" spans="14:51" x14ac:dyDescent="0.3">
      <c r="N493" s="170">
        <v>75</v>
      </c>
      <c r="O493" s="199">
        <f t="shared" si="313"/>
        <v>562341.32519035018</v>
      </c>
      <c r="P493" s="189" t="str">
        <f t="shared" si="279"/>
        <v>20.7142857142857</v>
      </c>
      <c r="Q493" s="160" t="str">
        <f t="shared" si="280"/>
        <v>1+807.610229041351i</v>
      </c>
      <c r="R493" s="160">
        <f t="shared" si="288"/>
        <v>807.61084815164747</v>
      </c>
      <c r="S493" s="160">
        <f t="shared" si="289"/>
        <v>1.5695581063601163</v>
      </c>
      <c r="T493" s="160" t="str">
        <f t="shared" si="281"/>
        <v>1+0.0706658950411182i</v>
      </c>
      <c r="U493" s="160">
        <f t="shared" si="290"/>
        <v>1.0024937250287218</v>
      </c>
      <c r="V493" s="160">
        <f t="shared" si="291"/>
        <v>7.0548618867516233E-2</v>
      </c>
      <c r="W493" s="98" t="str">
        <f t="shared" si="282"/>
        <v>1-18.5497974482935i</v>
      </c>
      <c r="X493" s="160">
        <f t="shared" si="292"/>
        <v>18.576732365319689</v>
      </c>
      <c r="Y493" s="160">
        <f t="shared" si="293"/>
        <v>-1.516939514412309</v>
      </c>
      <c r="Z493" s="98" t="str">
        <f t="shared" si="283"/>
        <v>-25.3737425005182-1.3841329265048i</v>
      </c>
      <c r="AA493" s="160">
        <f t="shared" si="294"/>
        <v>25.411466554310444</v>
      </c>
      <c r="AB493" s="160">
        <f t="shared" si="295"/>
        <v>-3.0870968511174319</v>
      </c>
      <c r="AC493" s="171" t="str">
        <f t="shared" si="296"/>
        <v>0.0187494677633118+0.00133623975569818i</v>
      </c>
      <c r="AD493" s="190">
        <f t="shared" si="297"/>
        <v>-34.518218489054824</v>
      </c>
      <c r="AE493" s="169">
        <f t="shared" si="298"/>
        <v>4.0764714813107528</v>
      </c>
      <c r="AF493" s="98" t="str">
        <f t="shared" si="284"/>
        <v>-0.0000897803247373448</v>
      </c>
      <c r="AG493" s="98" t="str">
        <f t="shared" si="285"/>
        <v>7.06658950411181i</v>
      </c>
      <c r="AH493" s="98">
        <f t="shared" si="299"/>
        <v>7.0665895041118096</v>
      </c>
      <c r="AI493" s="98">
        <f t="shared" si="300"/>
        <v>1.5707963267948966</v>
      </c>
      <c r="AJ493" s="98" t="str">
        <f t="shared" si="286"/>
        <v>1+830.324266733139i</v>
      </c>
      <c r="AK493" s="98">
        <f t="shared" si="301"/>
        <v>830.32486890730002</v>
      </c>
      <c r="AL493" s="98">
        <f t="shared" si="302"/>
        <v>1.5695919786184311</v>
      </c>
      <c r="AM493" s="98" t="str">
        <f t="shared" si="287"/>
        <v>1+1660.64853346628i</v>
      </c>
      <c r="AN493" s="98">
        <f t="shared" si="303"/>
        <v>1660.6488345534426</v>
      </c>
      <c r="AO493" s="98">
        <f t="shared" si="304"/>
        <v>1.5701941524883072</v>
      </c>
      <c r="AP493" s="168" t="str">
        <f t="shared" si="305"/>
        <v>-1.53011103534043E-08+0.0000254097848966597i</v>
      </c>
      <c r="AQ493" s="98">
        <f t="shared" si="306"/>
        <v>-91.899978653178437</v>
      </c>
      <c r="AR493" s="169">
        <f t="shared" si="307"/>
        <v>90.034502021276964</v>
      </c>
      <c r="AS493" s="168" t="str">
        <f t="shared" si="308"/>
        <v>-3.42404524379699E-08+4.76399496840648E-07i</v>
      </c>
      <c r="AT493" s="190">
        <f t="shared" si="309"/>
        <v>-126.41819714223325</v>
      </c>
      <c r="AU493" s="169">
        <f t="shared" si="310"/>
        <v>94.110973502587711</v>
      </c>
      <c r="AV493" s="225"/>
      <c r="AX493">
        <f t="shared" si="311"/>
        <v>0</v>
      </c>
      <c r="AY493">
        <f t="shared" si="312"/>
        <v>0</v>
      </c>
    </row>
    <row r="494" spans="14:51" x14ac:dyDescent="0.3">
      <c r="N494" s="170">
        <v>76</v>
      </c>
      <c r="O494" s="199">
        <f t="shared" si="313"/>
        <v>575439.93733715697</v>
      </c>
      <c r="P494" s="189" t="str">
        <f t="shared" si="279"/>
        <v>20.7142857142857</v>
      </c>
      <c r="Q494" s="160" t="str">
        <f t="shared" si="280"/>
        <v>1+826.421887872267i</v>
      </c>
      <c r="R494" s="160">
        <f t="shared" si="288"/>
        <v>826.42249288990308</v>
      </c>
      <c r="S494" s="160">
        <f t="shared" si="289"/>
        <v>1.5695862916704484</v>
      </c>
      <c r="T494" s="160" t="str">
        <f t="shared" si="281"/>
        <v>1+0.0723119151888234i</v>
      </c>
      <c r="U494" s="160">
        <f t="shared" si="290"/>
        <v>1.0026110976237375</v>
      </c>
      <c r="V494" s="160">
        <f t="shared" si="291"/>
        <v>7.218626917325742E-2</v>
      </c>
      <c r="W494" s="98" t="str">
        <f t="shared" si="282"/>
        <v>1-18.9818777370661i</v>
      </c>
      <c r="X494" s="160">
        <f t="shared" si="292"/>
        <v>19.008200399430915</v>
      </c>
      <c r="Y494" s="160">
        <f t="shared" si="293"/>
        <v>-1.5181631560219231</v>
      </c>
      <c r="Z494" s="98" t="str">
        <f t="shared" si="283"/>
        <v>-26.616698691236-1.41637352407741i</v>
      </c>
      <c r="AA494" s="160">
        <f t="shared" si="294"/>
        <v>26.654357301945055</v>
      </c>
      <c r="AB494" s="160">
        <f t="shared" si="295"/>
        <v>-3.0884290778797698</v>
      </c>
      <c r="AC494" s="171" t="str">
        <f t="shared" si="296"/>
        <v>0.0178738939051445+0.00130470726021593i</v>
      </c>
      <c r="AD494" s="190">
        <f t="shared" si="297"/>
        <v>-34.932537449589752</v>
      </c>
      <c r="AE494" s="169">
        <f t="shared" si="298"/>
        <v>4.1749085037905687</v>
      </c>
      <c r="AF494" s="98" t="str">
        <f t="shared" si="284"/>
        <v>-0.0000897803247373448</v>
      </c>
      <c r="AG494" s="98" t="str">
        <f t="shared" si="285"/>
        <v>7.23119151888233i</v>
      </c>
      <c r="AH494" s="98">
        <f t="shared" si="299"/>
        <v>7.2311915188823299</v>
      </c>
      <c r="AI494" s="98">
        <f t="shared" si="300"/>
        <v>1.5707963267948966</v>
      </c>
      <c r="AJ494" s="98" t="str">
        <f t="shared" si="286"/>
        <v>1+849.665003468675i</v>
      </c>
      <c r="AK494" s="98">
        <f t="shared" si="301"/>
        <v>849.66559193568821</v>
      </c>
      <c r="AL494" s="98">
        <f t="shared" si="302"/>
        <v>1.5696193929042537</v>
      </c>
      <c r="AM494" s="98" t="str">
        <f t="shared" si="287"/>
        <v>1+1699.33000693735i</v>
      </c>
      <c r="AN494" s="98">
        <f t="shared" si="303"/>
        <v>1699.3303011709329</v>
      </c>
      <c r="AO494" s="98">
        <f t="shared" si="304"/>
        <v>1.5702078596457929</v>
      </c>
      <c r="AP494" s="168" t="str">
        <f t="shared" si="305"/>
        <v>-1.46124478993147E-08+0.0000248313883880072i</v>
      </c>
      <c r="AQ494" s="98">
        <f t="shared" si="306"/>
        <v>-92.099978440544106</v>
      </c>
      <c r="AR494" s="169">
        <f t="shared" si="307"/>
        <v>90.033716660674017</v>
      </c>
      <c r="AS494" s="168" t="str">
        <f t="shared" si="308"/>
        <v>-3.26588740545213E-08+4.43814536597814E-07i</v>
      </c>
      <c r="AT494" s="190">
        <f t="shared" si="309"/>
        <v>-127.03251589013385</v>
      </c>
      <c r="AU494" s="169">
        <f t="shared" si="310"/>
        <v>94.208625164464578</v>
      </c>
      <c r="AV494" s="225"/>
      <c r="AX494">
        <f t="shared" si="311"/>
        <v>0</v>
      </c>
      <c r="AY494">
        <f t="shared" si="312"/>
        <v>0</v>
      </c>
    </row>
    <row r="495" spans="14:51" x14ac:dyDescent="0.3">
      <c r="N495" s="170">
        <v>77</v>
      </c>
      <c r="O495" s="199">
        <f t="shared" si="313"/>
        <v>588843.65535558888</v>
      </c>
      <c r="P495" s="189" t="str">
        <f t="shared" si="279"/>
        <v>20.7142857142857</v>
      </c>
      <c r="Q495" s="160" t="str">
        <f t="shared" si="280"/>
        <v>1+845.671726527122i</v>
      </c>
      <c r="R495" s="160">
        <f t="shared" si="288"/>
        <v>845.67231777288509</v>
      </c>
      <c r="S495" s="160">
        <f t="shared" si="289"/>
        <v>1.5696138354066469</v>
      </c>
      <c r="T495" s="160" t="str">
        <f t="shared" si="281"/>
        <v>1+0.0739962760711232i</v>
      </c>
      <c r="U495" s="160">
        <f t="shared" si="290"/>
        <v>1.0027339870934833</v>
      </c>
      <c r="V495" s="160">
        <f t="shared" si="291"/>
        <v>7.3861663757404342E-2</v>
      </c>
      <c r="W495" s="98" t="str">
        <f t="shared" si="282"/>
        <v>1-19.4240224686698i</v>
      </c>
      <c r="X495" s="160">
        <f t="shared" si="292"/>
        <v>19.449746755764949</v>
      </c>
      <c r="Y495" s="160">
        <f t="shared" si="293"/>
        <v>-1.5193590966093022</v>
      </c>
      <c r="Z495" s="98" t="str">
        <f t="shared" si="283"/>
        <v>-27.918233602513-1.44936510164041i</v>
      </c>
      <c r="AA495" s="160">
        <f t="shared" si="294"/>
        <v>27.955829922975621</v>
      </c>
      <c r="AB495" s="160">
        <f t="shared" si="295"/>
        <v>-3.08972457525942</v>
      </c>
      <c r="AC495" s="171" t="str">
        <f t="shared" si="296"/>
        <v>0.0170406097467811+0.0012738209732445i</v>
      </c>
      <c r="AD495" s="190">
        <f t="shared" si="297"/>
        <v>-35.346097114502136</v>
      </c>
      <c r="AE495" s="169">
        <f t="shared" si="298"/>
        <v>4.2750275866640637</v>
      </c>
      <c r="AF495" s="98" t="str">
        <f t="shared" si="284"/>
        <v>-0.0000897803247373448</v>
      </c>
      <c r="AG495" s="98" t="str">
        <f t="shared" si="285"/>
        <v>7.39962760711231i</v>
      </c>
      <c r="AH495" s="98">
        <f t="shared" si="299"/>
        <v>7.3996276071123104</v>
      </c>
      <c r="AI495" s="98">
        <f t="shared" si="300"/>
        <v>1.5707963267948966</v>
      </c>
      <c r="AJ495" s="98" t="str">
        <f t="shared" si="286"/>
        <v>1+869.456243835698i</v>
      </c>
      <c r="AK495" s="98">
        <f t="shared" si="301"/>
        <v>869.45681890757555</v>
      </c>
      <c r="AL495" s="98">
        <f t="shared" si="302"/>
        <v>1.569646183166455</v>
      </c>
      <c r="AM495" s="98" t="str">
        <f t="shared" si="287"/>
        <v>1+1738.9124876714i</v>
      </c>
      <c r="AN495" s="98">
        <f t="shared" si="303"/>
        <v>1738.91277520741</v>
      </c>
      <c r="AO495" s="98">
        <f t="shared" si="304"/>
        <v>1.570221254790495</v>
      </c>
      <c r="AP495" s="168" t="str">
        <f t="shared" si="305"/>
        <v>-1.39547802774536E-08+0.0000242661577371832i</v>
      </c>
      <c r="AQ495" s="98">
        <f t="shared" si="306"/>
        <v>-92.299978237479849</v>
      </c>
      <c r="AR495" s="169">
        <f t="shared" si="307"/>
        <v>90.032949176975222</v>
      </c>
      <c r="AS495" s="168" t="str">
        <f t="shared" si="308"/>
        <v>-3.11485386304934E-08+4.13492348161377E-07i</v>
      </c>
      <c r="AT495" s="190">
        <f t="shared" si="309"/>
        <v>-127.64607535198198</v>
      </c>
      <c r="AU495" s="169">
        <f t="shared" si="310"/>
        <v>94.307976763639289</v>
      </c>
      <c r="AV495" s="225"/>
      <c r="AX495">
        <f t="shared" si="311"/>
        <v>0</v>
      </c>
      <c r="AY495">
        <f t="shared" si="312"/>
        <v>0</v>
      </c>
    </row>
    <row r="496" spans="14:51" x14ac:dyDescent="0.3">
      <c r="N496" s="170">
        <v>78</v>
      </c>
      <c r="O496" s="199">
        <f t="shared" si="313"/>
        <v>602559.58607435878</v>
      </c>
      <c r="P496" s="189" t="str">
        <f t="shared" si="279"/>
        <v>20.7142857142857</v>
      </c>
      <c r="Q496" s="160" t="str">
        <f t="shared" si="280"/>
        <v>1+865.36995152517i</v>
      </c>
      <c r="R496" s="160">
        <f t="shared" si="288"/>
        <v>865.3705293125455</v>
      </c>
      <c r="S496" s="160">
        <f t="shared" si="289"/>
        <v>1.5696407521725979</v>
      </c>
      <c r="T496" s="160" t="str">
        <f t="shared" si="281"/>
        <v>1+0.0757198707584524i</v>
      </c>
      <c r="U496" s="160">
        <f t="shared" si="290"/>
        <v>1.0028626520255288</v>
      </c>
      <c r="V496" s="160">
        <f t="shared" si="291"/>
        <v>7.5575653293305858E-2</v>
      </c>
      <c r="W496" s="98" t="str">
        <f t="shared" si="282"/>
        <v>1-19.8764660740937i</v>
      </c>
      <c r="X496" s="160">
        <f t="shared" si="292"/>
        <v>19.901605553185849</v>
      </c>
      <c r="Y496" s="160">
        <f t="shared" si="293"/>
        <v>-1.5205279565860317</v>
      </c>
      <c r="Z496" s="98" t="str">
        <f t="shared" si="283"/>
        <v>-29.2811079643961-1.48312515176491i</v>
      </c>
      <c r="AA496" s="160">
        <f t="shared" si="294"/>
        <v>29.318644986397619</v>
      </c>
      <c r="AB496" s="160">
        <f t="shared" si="295"/>
        <v>-3.0909846384088535</v>
      </c>
      <c r="AC496" s="171" t="str">
        <f t="shared" si="296"/>
        <v>0.0162474460603865+0.00124358812325784i</v>
      </c>
      <c r="AD496" s="190">
        <f t="shared" si="297"/>
        <v>-35.758929225056356</v>
      </c>
      <c r="AE496" s="169">
        <f t="shared" si="298"/>
        <v>4.3769152929878432</v>
      </c>
      <c r="AF496" s="98" t="str">
        <f t="shared" si="284"/>
        <v>-0.0000897803247373448</v>
      </c>
      <c r="AG496" s="98" t="str">
        <f t="shared" si="285"/>
        <v>7.57198707584525i</v>
      </c>
      <c r="AH496" s="98">
        <f t="shared" si="299"/>
        <v>7.5719870758452501</v>
      </c>
      <c r="AI496" s="98">
        <f t="shared" si="300"/>
        <v>1.5707963267948966</v>
      </c>
      <c r="AJ496" s="98" t="str">
        <f t="shared" si="286"/>
        <v>1+889.708481411816i</v>
      </c>
      <c r="AK496" s="98">
        <f t="shared" si="301"/>
        <v>889.70904339346794</v>
      </c>
      <c r="AL496" s="98">
        <f t="shared" si="302"/>
        <v>1.5696723636094323</v>
      </c>
      <c r="AM496" s="98" t="str">
        <f t="shared" si="287"/>
        <v>1+1779.41696282364i</v>
      </c>
      <c r="AN496" s="98">
        <f t="shared" si="303"/>
        <v>1779.4172438145326</v>
      </c>
      <c r="AO496" s="98">
        <f t="shared" si="304"/>
        <v>1.5702343450246776</v>
      </c>
      <c r="AP496" s="168" t="str">
        <f t="shared" si="305"/>
        <v>-1.33267124979609E-08+0.0000237137932562856i</v>
      </c>
      <c r="AQ496" s="98">
        <f t="shared" si="306"/>
        <v>-92.499978043554989</v>
      </c>
      <c r="AR496" s="169">
        <f t="shared" si="307"/>
        <v>90.032199163258326</v>
      </c>
      <c r="AS496" s="168" t="str">
        <f t="shared" si="308"/>
        <v>-2.97067166933815E-08+3.85272003877273E-07i</v>
      </c>
      <c r="AT496" s="190">
        <f t="shared" si="309"/>
        <v>-128.25890726861135</v>
      </c>
      <c r="AU496" s="169">
        <f t="shared" si="310"/>
        <v>94.409114456246172</v>
      </c>
      <c r="AV496" s="225"/>
      <c r="AX496">
        <f t="shared" si="311"/>
        <v>0</v>
      </c>
      <c r="AY496">
        <f t="shared" si="312"/>
        <v>0</v>
      </c>
    </row>
    <row r="497" spans="14:51" x14ac:dyDescent="0.3">
      <c r="N497" s="170">
        <v>79</v>
      </c>
      <c r="O497" s="199">
        <f t="shared" si="313"/>
        <v>616595.00186148309</v>
      </c>
      <c r="P497" s="189" t="str">
        <f t="shared" si="279"/>
        <v>20.7142857142857</v>
      </c>
      <c r="Q497" s="160" t="str">
        <f t="shared" si="280"/>
        <v>1+885.527007126043i</v>
      </c>
      <c r="R497" s="160">
        <f t="shared" si="288"/>
        <v>885.52757176138061</v>
      </c>
      <c r="S497" s="160">
        <f t="shared" si="289"/>
        <v>1.569667056239771</v>
      </c>
      <c r="T497" s="160" t="str">
        <f t="shared" si="281"/>
        <v>1+0.0774836131235288i</v>
      </c>
      <c r="U497" s="160">
        <f t="shared" si="290"/>
        <v>1.0029973630586855</v>
      </c>
      <c r="V497" s="160">
        <f t="shared" si="291"/>
        <v>7.7329106256030303E-2</v>
      </c>
      <c r="W497" s="98" t="str">
        <f t="shared" si="282"/>
        <v>1-20.3394484449263i</v>
      </c>
      <c r="X497" s="160">
        <f t="shared" si="292"/>
        <v>20.364016378008902</v>
      </c>
      <c r="Y497" s="160">
        <f t="shared" si="293"/>
        <v>-1.5216703429144043</v>
      </c>
      <c r="Z497" s="98" t="str">
        <f t="shared" si="283"/>
        <v>-30.7082126161308-1.51767157447636i</v>
      </c>
      <c r="AA497" s="160">
        <f t="shared" si="294"/>
        <v>30.745693179459593</v>
      </c>
      <c r="AB497" s="160">
        <f t="shared" si="295"/>
        <v>-3.0922104987376313</v>
      </c>
      <c r="AC497" s="171" t="str">
        <f t="shared" si="296"/>
        <v>0.0154923562846516+0.00121401224304204i</v>
      </c>
      <c r="AD497" s="190">
        <f t="shared" si="297"/>
        <v>-36.171063714419091</v>
      </c>
      <c r="AE497" s="169">
        <f t="shared" si="298"/>
        <v>4.480656343215891</v>
      </c>
      <c r="AF497" s="98" t="str">
        <f t="shared" si="284"/>
        <v>-0.0000897803247373448</v>
      </c>
      <c r="AG497" s="98" t="str">
        <f t="shared" si="285"/>
        <v>7.74836131235288i</v>
      </c>
      <c r="AH497" s="98">
        <f t="shared" si="299"/>
        <v>7.7483613123528796</v>
      </c>
      <c r="AI497" s="98">
        <f t="shared" si="300"/>
        <v>1.5707963267948966</v>
      </c>
      <c r="AJ497" s="98" t="str">
        <f t="shared" si="286"/>
        <v>1+910.432454201463i</v>
      </c>
      <c r="AK497" s="98">
        <f t="shared" si="301"/>
        <v>910.43300339085852</v>
      </c>
      <c r="AL497" s="98">
        <f t="shared" si="302"/>
        <v>1.5696979481142599</v>
      </c>
      <c r="AM497" s="98" t="str">
        <f t="shared" si="287"/>
        <v>1+1820.86490840293i</v>
      </c>
      <c r="AN497" s="98">
        <f t="shared" si="303"/>
        <v>1820.86518299769</v>
      </c>
      <c r="AO497" s="98">
        <f t="shared" si="304"/>
        <v>1.5702471372889377</v>
      </c>
      <c r="AP497" s="168" t="str">
        <f t="shared" si="305"/>
        <v>-1.27269123552126E-08+0.000023174002078901i</v>
      </c>
      <c r="AQ497" s="98">
        <f t="shared" si="306"/>
        <v>-92.699977858358238</v>
      </c>
      <c r="AR497" s="169">
        <f t="shared" si="307"/>
        <v>90.031466221863312</v>
      </c>
      <c r="AS497" s="168" t="str">
        <f t="shared" si="308"/>
        <v>-2.8330692104678E-08+3.59004446120176E-07i</v>
      </c>
      <c r="AT497" s="190">
        <f t="shared" si="309"/>
        <v>-128.87104157277733</v>
      </c>
      <c r="AU497" s="169">
        <f t="shared" si="310"/>
        <v>94.51212256507921</v>
      </c>
      <c r="AV497" s="225"/>
      <c r="AX497">
        <f t="shared" si="311"/>
        <v>0</v>
      </c>
      <c r="AY497">
        <f t="shared" si="312"/>
        <v>0</v>
      </c>
    </row>
    <row r="498" spans="14:51" x14ac:dyDescent="0.3">
      <c r="N498" s="170">
        <v>80</v>
      </c>
      <c r="O498" s="199">
        <f t="shared" si="313"/>
        <v>630957.34448019415</v>
      </c>
      <c r="P498" s="189" t="str">
        <f t="shared" si="279"/>
        <v>20.7142857142857</v>
      </c>
      <c r="Q498" s="160" t="str">
        <f t="shared" si="280"/>
        <v>1+906.153580867429i</v>
      </c>
      <c r="R498" s="160">
        <f t="shared" si="288"/>
        <v>906.154132650105</v>
      </c>
      <c r="S498" s="160">
        <f t="shared" si="289"/>
        <v>1.5696927615547851</v>
      </c>
      <c r="T498" s="160" t="str">
        <f t="shared" si="281"/>
        <v>1+0.0792884383259i</v>
      </c>
      <c r="U498" s="160">
        <f t="shared" si="290"/>
        <v>1.0031384034380102</v>
      </c>
      <c r="V498" s="160">
        <f t="shared" si="291"/>
        <v>7.9122909196139846E-2</v>
      </c>
      <c r="W498" s="98" t="str">
        <f t="shared" si="282"/>
        <v>1-20.8132150605487i</v>
      </c>
      <c r="X498" s="160">
        <f t="shared" si="292"/>
        <v>20.837224411054635</v>
      </c>
      <c r="Y498" s="160">
        <f t="shared" si="293"/>
        <v>-1.5227868493690591</v>
      </c>
      <c r="Z498" s="98" t="str">
        <f t="shared" si="283"/>
        <v>-32.2025746380181-1.55302268674536i</v>
      </c>
      <c r="AA498" s="160">
        <f t="shared" si="294"/>
        <v>32.240001438937192</v>
      </c>
      <c r="AB498" s="160">
        <f t="shared" si="295"/>
        <v>-3.0934033280715423</v>
      </c>
      <c r="AC498" s="171" t="str">
        <f t="shared" si="296"/>
        <v>0.0147734085791347+0.00118509374610326i</v>
      </c>
      <c r="AD498" s="190">
        <f t="shared" si="297"/>
        <v>-36.582528796320247</v>
      </c>
      <c r="AE498" s="169">
        <f t="shared" si="298"/>
        <v>4.5863338537626319</v>
      </c>
      <c r="AF498" s="98" t="str">
        <f t="shared" si="284"/>
        <v>-0.0000897803247373448</v>
      </c>
      <c r="AG498" s="98" t="str">
        <f t="shared" si="285"/>
        <v>7.92884383259001i</v>
      </c>
      <c r="AH498" s="98">
        <f t="shared" si="299"/>
        <v>7.9288438325900099</v>
      </c>
      <c r="AI498" s="98">
        <f t="shared" si="300"/>
        <v>1.5707963267948966</v>
      </c>
      <c r="AJ498" s="98" t="str">
        <f t="shared" si="286"/>
        <v>1+931.639150329325i</v>
      </c>
      <c r="AK498" s="98">
        <f t="shared" si="301"/>
        <v>931.639687017651</v>
      </c>
      <c r="AL498" s="98">
        <f t="shared" si="302"/>
        <v>1.5697229502460464</v>
      </c>
      <c r="AM498" s="98" t="str">
        <f t="shared" si="287"/>
        <v>1+1863.27830065865i</v>
      </c>
      <c r="AN498" s="98">
        <f t="shared" si="303"/>
        <v>1863.2785690028709</v>
      </c>
      <c r="AO498" s="98">
        <f t="shared" si="304"/>
        <v>1.5702596383658869</v>
      </c>
      <c r="AP498" s="168" t="str">
        <f t="shared" si="305"/>
        <v>-1.21541076021228E-08+0.0000226464980048448i</v>
      </c>
      <c r="AQ498" s="98">
        <f t="shared" si="306"/>
        <v>-92.899977681496637</v>
      </c>
      <c r="AR498" s="169">
        <f t="shared" si="307"/>
        <v>90.030749964181666</v>
      </c>
      <c r="AS498" s="168" t="str">
        <f t="shared" si="308"/>
        <v>-2.70177807542025E-08+3.34551564155222E-07i</v>
      </c>
      <c r="AT498" s="190">
        <f t="shared" si="309"/>
        <v>-129.48250647781688</v>
      </c>
      <c r="AU498" s="169">
        <f t="shared" si="310"/>
        <v>94.617083817944319</v>
      </c>
      <c r="AV498" s="225"/>
      <c r="AX498">
        <f t="shared" si="311"/>
        <v>0</v>
      </c>
      <c r="AY498">
        <f t="shared" si="312"/>
        <v>0</v>
      </c>
    </row>
    <row r="499" spans="14:51" x14ac:dyDescent="0.3">
      <c r="N499" s="170">
        <v>81</v>
      </c>
      <c r="O499" s="199">
        <f t="shared" si="313"/>
        <v>645654.22903465747</v>
      </c>
      <c r="P499" s="189" t="str">
        <f t="shared" si="279"/>
        <v>20.7142857142857</v>
      </c>
      <c r="Q499" s="160" t="str">
        <f t="shared" si="280"/>
        <v>1+927.260609231753i</v>
      </c>
      <c r="R499" s="160">
        <f t="shared" si="288"/>
        <v>927.26114845432937</v>
      </c>
      <c r="S499" s="160">
        <f t="shared" si="289"/>
        <v>1.5697178817468025</v>
      </c>
      <c r="T499" s="160" t="str">
        <f t="shared" si="281"/>
        <v>1+0.0811353033077784i</v>
      </c>
      <c r="U499" s="160">
        <f t="shared" si="290"/>
        <v>1.0032860695947319</v>
      </c>
      <c r="V499" s="160">
        <f t="shared" si="291"/>
        <v>8.095796701013927E-2</v>
      </c>
      <c r="W499" s="98" t="str">
        <f t="shared" si="282"/>
        <v>1-21.2980171182918i</v>
      </c>
      <c r="X499" s="160">
        <f t="shared" si="292"/>
        <v>21.321480557668846</v>
      </c>
      <c r="Y499" s="160">
        <f t="shared" si="293"/>
        <v>-1.5238780567955938</v>
      </c>
      <c r="Z499" s="98" t="str">
        <f t="shared" si="283"/>
        <v>-33.7673637722597-1.58919723219956i</v>
      </c>
      <c r="AA499" s="160">
        <f t="shared" si="294"/>
        <v>33.804739371439439</v>
      </c>
      <c r="AB499" s="160">
        <f t="shared" si="295"/>
        <v>-3.0945642424861437</v>
      </c>
      <c r="AC499" s="171" t="str">
        <f t="shared" si="296"/>
        <v>0.0140887784799815+0.0011568304240685i</v>
      </c>
      <c r="AD499" s="190">
        <f t="shared" si="297"/>
        <v>-36.993351047748419</v>
      </c>
      <c r="AE499" s="169">
        <f t="shared" si="298"/>
        <v>4.6940295569029509</v>
      </c>
      <c r="AF499" s="98" t="str">
        <f t="shared" si="284"/>
        <v>-0.0000897803247373448</v>
      </c>
      <c r="AG499" s="98" t="str">
        <f t="shared" si="285"/>
        <v>8.11353033077785i</v>
      </c>
      <c r="AH499" s="98">
        <f t="shared" si="299"/>
        <v>8.1135303307778504</v>
      </c>
      <c r="AI499" s="98">
        <f t="shared" si="300"/>
        <v>1.5707963267948966</v>
      </c>
      <c r="AJ499" s="98" t="str">
        <f t="shared" si="286"/>
        <v>1+953.339813866396i</v>
      </c>
      <c r="AK499" s="98">
        <f t="shared" si="301"/>
        <v>953.34033833821093</v>
      </c>
      <c r="AL499" s="98">
        <f t="shared" si="302"/>
        <v>1.5697473832611282</v>
      </c>
      <c r="AM499" s="98" t="str">
        <f t="shared" si="287"/>
        <v>1+1906.6796277328i</v>
      </c>
      <c r="AN499" s="98">
        <f t="shared" si="303"/>
        <v>1906.6798899687617</v>
      </c>
      <c r="AO499" s="98">
        <f t="shared" si="304"/>
        <v>1.5702718548837455</v>
      </c>
      <c r="AP499" s="168" t="str">
        <f t="shared" si="305"/>
        <v>-1.16070832516159E-08+0.0000221310013484338i</v>
      </c>
      <c r="AQ499" s="98">
        <f t="shared" si="306"/>
        <v>-93.099977512595089</v>
      </c>
      <c r="AR499" s="169">
        <f t="shared" si="307"/>
        <v>90.030050010450353</v>
      </c>
      <c r="AS499" s="168" t="str">
        <f t="shared" si="308"/>
        <v>-2.57653452996999E-08+3.11785348111216E-07i</v>
      </c>
      <c r="AT499" s="190">
        <f t="shared" si="309"/>
        <v>-130.09332856034351</v>
      </c>
      <c r="AU499" s="169">
        <f t="shared" si="310"/>
        <v>94.7240795673533</v>
      </c>
      <c r="AV499" s="225"/>
      <c r="AX499">
        <f t="shared" si="311"/>
        <v>0</v>
      </c>
      <c r="AY499">
        <f t="shared" si="312"/>
        <v>0</v>
      </c>
    </row>
    <row r="500" spans="14:51" x14ac:dyDescent="0.3">
      <c r="N500" s="170">
        <v>82</v>
      </c>
      <c r="O500" s="199">
        <f t="shared" si="313"/>
        <v>660693.44800759677</v>
      </c>
      <c r="P500" s="189" t="str">
        <f t="shared" si="279"/>
        <v>20.7142857142857</v>
      </c>
      <c r="Q500" s="160" t="str">
        <f t="shared" si="280"/>
        <v>1+948.859283444834i</v>
      </c>
      <c r="R500" s="160">
        <f t="shared" si="288"/>
        <v>948.85981039321291</v>
      </c>
      <c r="S500" s="160">
        <f t="shared" si="289"/>
        <v>1.5697424301347547</v>
      </c>
      <c r="T500" s="160" t="str">
        <f t="shared" si="281"/>
        <v>1+0.083025187301423i</v>
      </c>
      <c r="U500" s="160">
        <f t="shared" si="290"/>
        <v>1.0034406717521651</v>
      </c>
      <c r="V500" s="160">
        <f t="shared" si="291"/>
        <v>8.2835203206867825E-2</v>
      </c>
      <c r="W500" s="98" t="str">
        <f t="shared" si="282"/>
        <v>1-21.7941116666235i</v>
      </c>
      <c r="X500" s="160">
        <f t="shared" si="292"/>
        <v>21.817041580774756</v>
      </c>
      <c r="Y500" s="160">
        <f t="shared" si="293"/>
        <v>-1.524944533366021</v>
      </c>
      <c r="Z500" s="98" t="str">
        <f t="shared" si="283"/>
        <v>-35.4058991464036-1.62621439106178i</v>
      </c>
      <c r="AA500" s="160">
        <f t="shared" si="294"/>
        <v>35.443225976355471</v>
      </c>
      <c r="AB500" s="160">
        <f t="shared" si="295"/>
        <v>-3.0956943058436583</v>
      </c>
      <c r="AC500" s="171" t="str">
        <f t="shared" si="296"/>
        <v>0.013436742104276+0.00112921787570688i</v>
      </c>
      <c r="AD500" s="190">
        <f t="shared" si="297"/>
        <v>-37.403555486085985</v>
      </c>
      <c r="AE500" s="169">
        <f t="shared" si="298"/>
        <v>4.8038240036340936</v>
      </c>
      <c r="AF500" s="98" t="str">
        <f t="shared" si="284"/>
        <v>-0.0000897803247373448</v>
      </c>
      <c r="AG500" s="98" t="str">
        <f t="shared" si="285"/>
        <v>8.3025187301423i</v>
      </c>
      <c r="AH500" s="98">
        <f t="shared" si="299"/>
        <v>8.3025187301422996</v>
      </c>
      <c r="AI500" s="98">
        <f t="shared" si="300"/>
        <v>1.5707963267948966</v>
      </c>
      <c r="AJ500" s="98" t="str">
        <f t="shared" si="286"/>
        <v>1+975.54595079172i</v>
      </c>
      <c r="AK500" s="98">
        <f t="shared" si="301"/>
        <v>975.54646332510515</v>
      </c>
      <c r="AL500" s="98">
        <f t="shared" si="302"/>
        <v>1.5697712601140965</v>
      </c>
      <c r="AM500" s="98" t="str">
        <f t="shared" si="287"/>
        <v>1+1951.09190158345i</v>
      </c>
      <c r="AN500" s="98">
        <f t="shared" si="303"/>
        <v>1951.0921578501932</v>
      </c>
      <c r="AO500" s="98">
        <f t="shared" si="304"/>
        <v>1.570283793319859</v>
      </c>
      <c r="AP500" s="168" t="str">
        <f t="shared" si="305"/>
        <v>-1.10846789995496E-08+0.0000216272387902122i</v>
      </c>
      <c r="AQ500" s="98">
        <f t="shared" si="306"/>
        <v>-93.299977351295354</v>
      </c>
      <c r="AR500" s="169">
        <f t="shared" si="307"/>
        <v>90.029365989550485</v>
      </c>
      <c r="AS500" s="168" t="str">
        <f t="shared" si="308"/>
        <v>-2.45708066171145E-08+2.90587113034003E-07i</v>
      </c>
      <c r="AT500" s="190">
        <f t="shared" si="309"/>
        <v>-130.70353283738132</v>
      </c>
      <c r="AU500" s="169">
        <f t="shared" si="310"/>
        <v>94.83318999318459</v>
      </c>
      <c r="AV500" s="225"/>
      <c r="AX500">
        <f t="shared" si="311"/>
        <v>0</v>
      </c>
      <c r="AY500">
        <f t="shared" si="312"/>
        <v>0</v>
      </c>
    </row>
    <row r="501" spans="14:51" x14ac:dyDescent="0.3">
      <c r="N501" s="170">
        <v>83</v>
      </c>
      <c r="O501" s="199">
        <f t="shared" si="313"/>
        <v>676082.97539198259</v>
      </c>
      <c r="P501" s="189" t="str">
        <f t="shared" si="279"/>
        <v>20.7142857142857</v>
      </c>
      <c r="Q501" s="160" t="str">
        <f t="shared" si="280"/>
        <v>1+970.961055409637i</v>
      </c>
      <c r="R501" s="160">
        <f t="shared" si="288"/>
        <v>970.96157036321267</v>
      </c>
      <c r="S501" s="160">
        <f t="shared" si="289"/>
        <v>1.5697664197344032</v>
      </c>
      <c r="T501" s="160" t="str">
        <f t="shared" si="281"/>
        <v>1+0.0849590923483432i</v>
      </c>
      <c r="U501" s="160">
        <f t="shared" si="290"/>
        <v>1.0036025345587039</v>
      </c>
      <c r="V501" s="160">
        <f t="shared" si="291"/>
        <v>8.475556016905518E-2</v>
      </c>
      <c r="W501" s="98" t="str">
        <f t="shared" si="282"/>
        <v>1-22.30176174144i</v>
      </c>
      <c r="X501" s="160">
        <f t="shared" si="292"/>
        <v>22.324170237031364</v>
      </c>
      <c r="Y501" s="160">
        <f t="shared" si="293"/>
        <v>-1.5259868348309675</v>
      </c>
      <c r="Z501" s="98" t="str">
        <f t="shared" si="283"/>
        <v>-37.1216563136612-1.66409379031963i</v>
      </c>
      <c r="AA501" s="160">
        <f t="shared" si="294"/>
        <v>37.158936685709435</v>
      </c>
      <c r="AB501" s="160">
        <f t="shared" si="295"/>
        <v>-3.0967945330593438</v>
      </c>
      <c r="AC501" s="171" t="str">
        <f t="shared" si="296"/>
        <v>0.0128156698555011+0.00110224987674514i</v>
      </c>
      <c r="AD501" s="190">
        <f t="shared" si="297"/>
        <v>-37.813165641059548</v>
      </c>
      <c r="AE501" s="169">
        <f t="shared" si="298"/>
        <v>4.9157967509563578</v>
      </c>
      <c r="AF501" s="98" t="str">
        <f t="shared" si="284"/>
        <v>-0.0000897803247373448</v>
      </c>
      <c r="AG501" s="98" t="str">
        <f t="shared" si="285"/>
        <v>8.49590923483433i</v>
      </c>
      <c r="AH501" s="98">
        <f t="shared" si="299"/>
        <v>8.4959092348343308</v>
      </c>
      <c r="AI501" s="98">
        <f t="shared" si="300"/>
        <v>1.5707963267948966</v>
      </c>
      <c r="AJ501" s="98" t="str">
        <f t="shared" si="286"/>
        <v>1+998.269335093033i</v>
      </c>
      <c r="AK501" s="98">
        <f t="shared" si="301"/>
        <v>998.26983595973991</v>
      </c>
      <c r="AL501" s="98">
        <f t="shared" si="302"/>
        <v>1.5697945934646658</v>
      </c>
      <c r="AM501" s="98" t="str">
        <f t="shared" si="287"/>
        <v>1+1996.53867018607i</v>
      </c>
      <c r="AN501" s="98">
        <f t="shared" si="303"/>
        <v>1996.5389206194709</v>
      </c>
      <c r="AO501" s="98">
        <f t="shared" si="304"/>
        <v>1.5702954600041301</v>
      </c>
      <c r="AP501" s="168" t="str">
        <f t="shared" si="305"/>
        <v>-1.05857867636208E-08+0.0000211349432320517i</v>
      </c>
      <c r="AQ501" s="98">
        <f t="shared" si="306"/>
        <v>-93.499977197255362</v>
      </c>
      <c r="AR501" s="169">
        <f t="shared" si="307"/>
        <v>90.028697538810619</v>
      </c>
      <c r="AS501" s="168" t="str">
        <f t="shared" si="308"/>
        <v>-2.34316525208678E-08+2.70846786694577E-07i</v>
      </c>
      <c r="AT501" s="190">
        <f t="shared" si="309"/>
        <v>-131.31314283831489</v>
      </c>
      <c r="AU501" s="169">
        <f t="shared" si="310"/>
        <v>94.944494289766979</v>
      </c>
      <c r="AV501" s="225"/>
      <c r="AX501">
        <f t="shared" si="311"/>
        <v>0</v>
      </c>
      <c r="AY501">
        <f t="shared" si="312"/>
        <v>0</v>
      </c>
    </row>
    <row r="502" spans="14:51" x14ac:dyDescent="0.3">
      <c r="N502" s="170">
        <v>84</v>
      </c>
      <c r="O502" s="199">
        <f t="shared" si="313"/>
        <v>691830.97091893724</v>
      </c>
      <c r="P502" s="189" t="str">
        <f t="shared" si="279"/>
        <v>20.7142857142857</v>
      </c>
      <c r="Q502" s="160" t="str">
        <f t="shared" si="280"/>
        <v>1+993.577643778206i</v>
      </c>
      <c r="R502" s="160">
        <f t="shared" si="288"/>
        <v>993.57814701001337</v>
      </c>
      <c r="S502" s="160">
        <f t="shared" si="289"/>
        <v>1.5697898632652412</v>
      </c>
      <c r="T502" s="160" t="str">
        <f t="shared" si="281"/>
        <v>1+0.086938043830593i</v>
      </c>
      <c r="U502" s="160">
        <f t="shared" si="290"/>
        <v>1.0037719977490358</v>
      </c>
      <c r="V502" s="160">
        <f t="shared" si="291"/>
        <v>8.6719999409187204E-2</v>
      </c>
      <c r="W502" s="98" t="str">
        <f t="shared" si="282"/>
        <v>1-22.8212365055306i</v>
      </c>
      <c r="X502" s="160">
        <f t="shared" si="292"/>
        <v>22.843135416167424</v>
      </c>
      <c r="Y502" s="160">
        <f t="shared" si="293"/>
        <v>-1.5270055047685251</v>
      </c>
      <c r="Z502" s="98" t="str">
        <f t="shared" si="283"/>
        <v>-38.9182746250194-1.70285551413199i</v>
      </c>
      <c r="AA502" s="160">
        <f t="shared" si="294"/>
        <v>38.95551073584376</v>
      </c>
      <c r="AB502" s="160">
        <f t="shared" si="295"/>
        <v>-3.0978658931208476</v>
      </c>
      <c r="AC502" s="171" t="str">
        <f t="shared" si="296"/>
        <v>0.0122240205872607+0.00107591869840364i</v>
      </c>
      <c r="AD502" s="190">
        <f t="shared" si="297"/>
        <v>-38.222203621843164</v>
      </c>
      <c r="AE502" s="169">
        <f t="shared" si="298"/>
        <v>5.0300265348760398</v>
      </c>
      <c r="AF502" s="98" t="str">
        <f t="shared" si="284"/>
        <v>-0.0000897803247373448</v>
      </c>
      <c r="AG502" s="98" t="str">
        <f t="shared" si="285"/>
        <v>8.69380438305931i</v>
      </c>
      <c r="AH502" s="98">
        <f t="shared" si="299"/>
        <v>8.6938043830593106</v>
      </c>
      <c r="AI502" s="98">
        <f t="shared" si="300"/>
        <v>1.5707963267948966</v>
      </c>
      <c r="AJ502" s="98" t="str">
        <f t="shared" si="286"/>
        <v>1+1021.52201500947i</v>
      </c>
      <c r="AK502" s="98">
        <f t="shared" si="301"/>
        <v>1021.5225044750644</v>
      </c>
      <c r="AL502" s="98">
        <f t="shared" si="302"/>
        <v>1.5698173956843857</v>
      </c>
      <c r="AM502" s="98" t="str">
        <f t="shared" si="287"/>
        <v>1+2043.04403001894i</v>
      </c>
      <c r="AN502" s="98">
        <f t="shared" si="303"/>
        <v>2043.0442747517814</v>
      </c>
      <c r="AO502" s="98">
        <f t="shared" si="304"/>
        <v>1.5703068611223767</v>
      </c>
      <c r="AP502" s="168" t="str">
        <f t="shared" si="305"/>
        <v>-1.01093483330358E-08+0.0000206538536555495i</v>
      </c>
      <c r="AQ502" s="98">
        <f t="shared" si="306"/>
        <v>-93.699977050148277</v>
      </c>
      <c r="AR502" s="169">
        <f t="shared" si="307"/>
        <v>90.028044303814411</v>
      </c>
      <c r="AS502" s="168" t="str">
        <f t="shared" si="308"/>
        <v>-2.23454442242449E-08+2.52462255454807E-07i</v>
      </c>
      <c r="AT502" s="190">
        <f t="shared" si="309"/>
        <v>-131.92218067199144</v>
      </c>
      <c r="AU502" s="169">
        <f t="shared" si="310"/>
        <v>95.058070838690426</v>
      </c>
      <c r="AV502" s="225"/>
      <c r="AX502">
        <f t="shared" si="311"/>
        <v>0</v>
      </c>
      <c r="AY502">
        <f t="shared" si="312"/>
        <v>0</v>
      </c>
    </row>
    <row r="503" spans="14:51" x14ac:dyDescent="0.3">
      <c r="N503" s="170">
        <v>85</v>
      </c>
      <c r="O503" s="199">
        <f t="shared" si="313"/>
        <v>707945.78438413853</v>
      </c>
      <c r="P503" s="189" t="str">
        <f t="shared" si="279"/>
        <v>20.7142857142857</v>
      </c>
      <c r="Q503" s="160" t="str">
        <f t="shared" si="280"/>
        <v>1+1016.72104016506i</v>
      </c>
      <c r="R503" s="160">
        <f t="shared" si="288"/>
        <v>1016.7215319419186</v>
      </c>
      <c r="S503" s="160">
        <f t="shared" si="289"/>
        <v>1.5698127731572358</v>
      </c>
      <c r="T503" s="160" t="str">
        <f t="shared" si="281"/>
        <v>1+0.088963091014443i</v>
      </c>
      <c r="U503" s="160">
        <f t="shared" si="290"/>
        <v>1.0039494168347547</v>
      </c>
      <c r="V503" s="160">
        <f t="shared" si="291"/>
        <v>8.8729501818774731E-2</v>
      </c>
      <c r="W503" s="98" t="str">
        <f t="shared" si="282"/>
        <v>1-23.3528113912912i</v>
      </c>
      <c r="X503" s="160">
        <f t="shared" si="292"/>
        <v>23.374212283566262</v>
      </c>
      <c r="Y503" s="160">
        <f t="shared" si="293"/>
        <v>-1.5280010748296682</v>
      </c>
      <c r="Z503" s="98" t="str">
        <f t="shared" si="283"/>
        <v>-40.7995649487938-1.74252011447791i</v>
      </c>
      <c r="AA503" s="160">
        <f t="shared" si="294"/>
        <v>40.836758886574287</v>
      </c>
      <c r="AB503" s="160">
        <f t="shared" si="295"/>
        <v>-3.0989093118818087</v>
      </c>
      <c r="AC503" s="171" t="str">
        <f t="shared" si="296"/>
        <v>0.0116603361865572+0.00105021538150611i</v>
      </c>
      <c r="AD503" s="190">
        <f t="shared" si="297"/>
        <v>-38.630690179630911</v>
      </c>
      <c r="AE503" s="169">
        <f t="shared" si="298"/>
        <v>5.1465914303011626</v>
      </c>
      <c r="AF503" s="98" t="str">
        <f t="shared" si="284"/>
        <v>-0.0000897803247373448</v>
      </c>
      <c r="AG503" s="98" t="str">
        <f t="shared" si="285"/>
        <v>8.89630910144429i</v>
      </c>
      <c r="AH503" s="98">
        <f t="shared" si="299"/>
        <v>8.8963091014442899</v>
      </c>
      <c r="AI503" s="98">
        <f t="shared" si="300"/>
        <v>1.5707963267948966</v>
      </c>
      <c r="AJ503" s="98" t="str">
        <f t="shared" si="286"/>
        <v>1+1045.31631941971i</v>
      </c>
      <c r="AK503" s="98">
        <f t="shared" si="301"/>
        <v>1045.3167977437124</v>
      </c>
      <c r="AL503" s="98">
        <f t="shared" si="302"/>
        <v>1.5698396788632001</v>
      </c>
      <c r="AM503" s="98" t="str">
        <f t="shared" si="287"/>
        <v>1+2090.63263883942i</v>
      </c>
      <c r="AN503" s="98">
        <f t="shared" si="303"/>
        <v>2090.6328780014624</v>
      </c>
      <c r="AO503" s="98">
        <f t="shared" si="304"/>
        <v>1.5703180027196106</v>
      </c>
      <c r="AP503" s="168" t="str">
        <f t="shared" si="305"/>
        <v>-9.65435312395804E-09+0.0000201837149836476i</v>
      </c>
      <c r="AQ503" s="98">
        <f t="shared" si="306"/>
        <v>-93.899976909662087</v>
      </c>
      <c r="AR503" s="169">
        <f t="shared" si="307"/>
        <v>90.027405938212752</v>
      </c>
      <c r="AS503" s="168" t="str">
        <f t="shared" si="308"/>
        <v>-2.13098209348511E-08+2.35338763052834E-07i</v>
      </c>
      <c r="AT503" s="190">
        <f t="shared" si="309"/>
        <v>-132.53066708929299</v>
      </c>
      <c r="AU503" s="169">
        <f t="shared" si="310"/>
        <v>95.173997368513895</v>
      </c>
      <c r="AV503" s="225"/>
      <c r="AX503">
        <f t="shared" si="311"/>
        <v>0</v>
      </c>
      <c r="AY503">
        <f t="shared" si="312"/>
        <v>0</v>
      </c>
    </row>
    <row r="504" spans="14:51" x14ac:dyDescent="0.3">
      <c r="N504" s="170">
        <v>86</v>
      </c>
      <c r="O504" s="199">
        <f t="shared" si="313"/>
        <v>724435.96007499192</v>
      </c>
      <c r="P504" s="189" t="str">
        <f t="shared" si="279"/>
        <v>20.7142857142857</v>
      </c>
      <c r="Q504" s="160" t="str">
        <f t="shared" si="280"/>
        <v>1+1040.40351550531i</v>
      </c>
      <c r="R504" s="160">
        <f t="shared" si="288"/>
        <v>1040.4039960879657</v>
      </c>
      <c r="S504" s="160">
        <f t="shared" si="289"/>
        <v>1.5698351615574184</v>
      </c>
      <c r="T504" s="160" t="str">
        <f t="shared" si="281"/>
        <v>1+0.0910353076067146i</v>
      </c>
      <c r="U504" s="160">
        <f t="shared" si="290"/>
        <v>1.0041351638255924</v>
      </c>
      <c r="V504" s="160">
        <f t="shared" si="291"/>
        <v>9.0785067910038889E-2</v>
      </c>
      <c r="W504" s="98" t="str">
        <f t="shared" si="282"/>
        <v>1-23.8967682467625i</v>
      </c>
      <c r="X504" s="160">
        <f t="shared" si="292"/>
        <v>23.917682426177429</v>
      </c>
      <c r="Y504" s="160">
        <f t="shared" si="293"/>
        <v>-1.5289740649801729</v>
      </c>
      <c r="Z504" s="98" t="str">
        <f t="shared" si="283"/>
        <v>-42.7695177539898-1.7831086220535i</v>
      </c>
      <c r="AA504" s="160">
        <f t="shared" si="294"/>
        <v>42.806671504181338</v>
      </c>
      <c r="AB504" s="160">
        <f t="shared" si="295"/>
        <v>-3.0999256746489072</v>
      </c>
      <c r="AC504" s="171" t="str">
        <f t="shared" si="296"/>
        <v>0.0111232365416387+0.00102512997209401i</v>
      </c>
      <c r="AD504" s="190">
        <f t="shared" si="297"/>
        <v>-39.038644765962218</v>
      </c>
      <c r="AE504" s="169">
        <f t="shared" si="298"/>
        <v>5.2655689988775665</v>
      </c>
      <c r="AF504" s="98" t="str">
        <f t="shared" si="284"/>
        <v>-0.0000897803247373448</v>
      </c>
      <c r="AG504" s="98" t="str">
        <f t="shared" si="285"/>
        <v>9.10353076067146i</v>
      </c>
      <c r="AH504" s="98">
        <f t="shared" si="299"/>
        <v>9.1035307606714593</v>
      </c>
      <c r="AI504" s="98">
        <f t="shared" si="300"/>
        <v>1.5707963267948966</v>
      </c>
      <c r="AJ504" s="98" t="str">
        <f t="shared" si="286"/>
        <v>1+1069.6648643789i</v>
      </c>
      <c r="AK504" s="98">
        <f t="shared" si="301"/>
        <v>1069.6653318149233</v>
      </c>
      <c r="AL504" s="98">
        <f t="shared" si="302"/>
        <v>1.5698614548158567</v>
      </c>
      <c r="AM504" s="98" t="str">
        <f t="shared" si="287"/>
        <v>1+2139.3297287578i</v>
      </c>
      <c r="AN504" s="98">
        <f t="shared" si="303"/>
        <v>2139.3299624758497</v>
      </c>
      <c r="AO504" s="98">
        <f t="shared" si="304"/>
        <v>1.5703288907032436</v>
      </c>
      <c r="AP504" s="168" t="str">
        <f t="shared" si="305"/>
        <v>-9.21983603597465E-09+0.0000197242779454019i</v>
      </c>
      <c r="AQ504" s="98">
        <f t="shared" si="306"/>
        <v>-94.099976775498803</v>
      </c>
      <c r="AR504" s="169">
        <f t="shared" si="307"/>
        <v>90.026782103540214</v>
      </c>
      <c r="AS504" s="168" t="str">
        <f t="shared" si="308"/>
        <v>-2.03225029168476E-08+2.19388357669474E-07i</v>
      </c>
      <c r="AT504" s="190">
        <f t="shared" si="309"/>
        <v>-133.13862154146102</v>
      </c>
      <c r="AU504" s="169">
        <f t="shared" si="310"/>
        <v>95.292351102417783</v>
      </c>
      <c r="AV504" s="225"/>
      <c r="AX504">
        <f t="shared" si="311"/>
        <v>0</v>
      </c>
      <c r="AY504">
        <f t="shared" si="312"/>
        <v>0</v>
      </c>
    </row>
    <row r="505" spans="14:51" x14ac:dyDescent="0.3">
      <c r="N505" s="170">
        <v>87</v>
      </c>
      <c r="O505" s="199">
        <f t="shared" si="313"/>
        <v>741310.24130091805</v>
      </c>
      <c r="P505" s="189" t="str">
        <f t="shared" si="279"/>
        <v>20.7142857142857</v>
      </c>
      <c r="Q505" s="160" t="str">
        <f t="shared" si="280"/>
        <v>1+1064.63762656084i</v>
      </c>
      <c r="R505" s="160">
        <f t="shared" si="288"/>
        <v>1064.6380962041037</v>
      </c>
      <c r="S505" s="160">
        <f t="shared" si="289"/>
        <v>1.5698570403363257</v>
      </c>
      <c r="T505" s="160" t="str">
        <f t="shared" si="281"/>
        <v>1+0.0931557923240736i</v>
      </c>
      <c r="U505" s="160">
        <f t="shared" si="290"/>
        <v>1.0043296279825293</v>
      </c>
      <c r="V505" s="160">
        <f t="shared" si="291"/>
        <v>9.2887718048958401E-2</v>
      </c>
      <c r="W505" s="98" t="str">
        <f t="shared" si="282"/>
        <v>1-24.4533954850693i</v>
      </c>
      <c r="X505" s="160">
        <f t="shared" si="292"/>
        <v>24.47383400183158</v>
      </c>
      <c r="Y505" s="160">
        <f t="shared" si="293"/>
        <v>-1.5299249837389828</v>
      </c>
      <c r="Z505" s="98" t="str">
        <f t="shared" si="283"/>
        <v>-44.832311574623-1.82464255742273i</v>
      </c>
      <c r="AA505" s="160">
        <f t="shared" si="294"/>
        <v>44.869427025385939</v>
      </c>
      <c r="AB505" s="160">
        <f t="shared" si="295"/>
        <v>-3.1009158285797596</v>
      </c>
      <c r="AC505" s="171" t="str">
        <f t="shared" si="296"/>
        <v>0.0106114148627358+0.00100065172368062i</v>
      </c>
      <c r="AD505" s="190">
        <f t="shared" si="297"/>
        <v>-39.446085587065532</v>
      </c>
      <c r="AE505" s="169">
        <f t="shared" si="298"/>
        <v>5.387036425704447</v>
      </c>
      <c r="AF505" s="98" t="str">
        <f t="shared" si="284"/>
        <v>-0.0000897803247373448</v>
      </c>
      <c r="AG505" s="98" t="str">
        <f t="shared" si="285"/>
        <v>9.31557923240736i</v>
      </c>
      <c r="AH505" s="98">
        <f t="shared" si="299"/>
        <v>9.3155792324073605</v>
      </c>
      <c r="AI505" s="98">
        <f t="shared" si="300"/>
        <v>1.5707963267948966</v>
      </c>
      <c r="AJ505" s="98" t="str">
        <f t="shared" si="286"/>
        <v>1+1094.58055980786i</v>
      </c>
      <c r="AK505" s="98">
        <f t="shared" si="301"/>
        <v>1094.5810166037452</v>
      </c>
      <c r="AL505" s="98">
        <f t="shared" si="302"/>
        <v>1.5698827350881712</v>
      </c>
      <c r="AM505" s="98" t="str">
        <f t="shared" si="287"/>
        <v>1+2189.16111961574i</v>
      </c>
      <c r="AN505" s="98">
        <f t="shared" si="303"/>
        <v>2189.161348013718</v>
      </c>
      <c r="AO505" s="98">
        <f t="shared" si="304"/>
        <v>1.5703395308462178</v>
      </c>
      <c r="AP505" s="168" t="str">
        <f t="shared" si="305"/>
        <v>-8.80487540503639E-09+0.0000192752989438295i</v>
      </c>
      <c r="AQ505" s="98">
        <f t="shared" si="306"/>
        <v>-94.299976647373725</v>
      </c>
      <c r="AR505" s="169">
        <f t="shared" si="307"/>
        <v>90.026172469035544</v>
      </c>
      <c r="AS505" s="168" t="str">
        <f t="shared" si="308"/>
        <v>-1.93812932983398E-08+2.04529383082477E-07i</v>
      </c>
      <c r="AT505" s="190">
        <f t="shared" si="309"/>
        <v>-133.74606223443925</v>
      </c>
      <c r="AU505" s="169">
        <f t="shared" si="310"/>
        <v>95.413208894740009</v>
      </c>
      <c r="AV505" s="225"/>
      <c r="AX505">
        <f t="shared" si="311"/>
        <v>0</v>
      </c>
      <c r="AY505">
        <f t="shared" si="312"/>
        <v>0</v>
      </c>
    </row>
    <row r="506" spans="14:51" x14ac:dyDescent="0.3">
      <c r="N506" s="170">
        <v>88</v>
      </c>
      <c r="O506" s="199">
        <f t="shared" si="313"/>
        <v>758577.57502918423</v>
      </c>
      <c r="P506" s="189" t="str">
        <f t="shared" si="279"/>
        <v>20.7142857142857</v>
      </c>
      <c r="Q506" s="160" t="str">
        <f t="shared" si="280"/>
        <v>1+1089.43622257812i</v>
      </c>
      <c r="R506" s="160">
        <f t="shared" si="288"/>
        <v>1089.4366815310025</v>
      </c>
      <c r="S506" s="160">
        <f t="shared" si="289"/>
        <v>1.569878421094292</v>
      </c>
      <c r="T506" s="160" t="str">
        <f t="shared" si="281"/>
        <v>1+0.0953256694755858i</v>
      </c>
      <c r="U506" s="160">
        <f t="shared" si="290"/>
        <v>1.0045332166040946</v>
      </c>
      <c r="V506" s="160">
        <f t="shared" si="291"/>
        <v>9.503849267854507E-2</v>
      </c>
      <c r="W506" s="98" t="str">
        <f t="shared" si="282"/>
        <v>1-25.0229882373412i</v>
      </c>
      <c r="X506" s="160">
        <f t="shared" si="292"/>
        <v>25.042961892038967</v>
      </c>
      <c r="Y506" s="160">
        <f t="shared" si="293"/>
        <v>-1.5308543284129701</v>
      </c>
      <c r="Z506" s="98" t="str">
        <f t="shared" si="283"/>
        <v>-46.9923218729516-1.86714394242791i</v>
      </c>
      <c r="AA506" s="160">
        <f t="shared" si="294"/>
        <v>47.029400820261685</v>
      </c>
      <c r="AB506" s="160">
        <f t="shared" si="295"/>
        <v>-3.1018805849074136</v>
      </c>
      <c r="AC506" s="171" t="str">
        <f t="shared" si="296"/>
        <v>0.0101236333269785+0.000976769270594594i</v>
      </c>
      <c r="AD506" s="190">
        <f t="shared" si="297"/>
        <v>-39.85302965446219</v>
      </c>
      <c r="AE506" s="169">
        <f t="shared" si="298"/>
        <v>5.5110706457699985</v>
      </c>
      <c r="AF506" s="98" t="str">
        <f t="shared" si="284"/>
        <v>-0.0000897803247373448</v>
      </c>
      <c r="AG506" s="98" t="str">
        <f t="shared" si="285"/>
        <v>9.53256694755858i</v>
      </c>
      <c r="AH506" s="98">
        <f t="shared" si="299"/>
        <v>9.5325669475585801</v>
      </c>
      <c r="AI506" s="98">
        <f t="shared" si="300"/>
        <v>1.5707963267948966</v>
      </c>
      <c r="AJ506" s="98" t="str">
        <f t="shared" si="286"/>
        <v>1+1120.07661633813i</v>
      </c>
      <c r="AK506" s="98">
        <f t="shared" si="301"/>
        <v>1120.0770627360755</v>
      </c>
      <c r="AL506" s="98">
        <f t="shared" si="302"/>
        <v>1.5699035309631486</v>
      </c>
      <c r="AM506" s="98" t="str">
        <f t="shared" si="287"/>
        <v>1+2240.15323267627i</v>
      </c>
      <c r="AN506" s="98">
        <f t="shared" si="303"/>
        <v>2240.153455875276</v>
      </c>
      <c r="AO506" s="98">
        <f t="shared" si="304"/>
        <v>1.5703499287900684</v>
      </c>
      <c r="AP506" s="168" t="str">
        <f t="shared" si="305"/>
        <v>-8.40859104852437E-09+0.0000188365399267614i</v>
      </c>
      <c r="AQ506" s="98">
        <f t="shared" si="306"/>
        <v>-94.499976525015398</v>
      </c>
      <c r="AR506" s="169">
        <f t="shared" si="307"/>
        <v>90.025576711466314</v>
      </c>
      <c r="AS506" s="168" t="str">
        <f t="shared" si="308"/>
        <v>-1.84840788573605E-08+1.90686010114178E-07i</v>
      </c>
      <c r="AT506" s="190">
        <f t="shared" si="309"/>
        <v>-134.35300617947757</v>
      </c>
      <c r="AU506" s="169">
        <f t="shared" si="310"/>
        <v>95.536647357236305</v>
      </c>
      <c r="AV506" s="225"/>
      <c r="AX506">
        <f t="shared" si="311"/>
        <v>0</v>
      </c>
      <c r="AY506">
        <f t="shared" si="312"/>
        <v>0</v>
      </c>
    </row>
    <row r="507" spans="14:51" x14ac:dyDescent="0.3">
      <c r="N507" s="170">
        <v>89</v>
      </c>
      <c r="O507" s="199">
        <f t="shared" si="313"/>
        <v>776247.11662869214</v>
      </c>
      <c r="P507" s="189" t="str">
        <f t="shared" si="279"/>
        <v>20.7142857142857</v>
      </c>
      <c r="Q507" s="160" t="str">
        <f t="shared" si="280"/>
        <v>1+1114.81245210101i</v>
      </c>
      <c r="R507" s="160">
        <f t="shared" si="288"/>
        <v>1114.8129006068536</v>
      </c>
      <c r="S507" s="160">
        <f t="shared" si="289"/>
        <v>1.5698993151675997</v>
      </c>
      <c r="T507" s="160" t="str">
        <f t="shared" si="281"/>
        <v>1+0.0975460895588384i</v>
      </c>
      <c r="U507" s="160">
        <f t="shared" si="290"/>
        <v>1.0047463558471963</v>
      </c>
      <c r="V507" s="160">
        <f t="shared" si="291"/>
        <v>9.7238452531123967E-2</v>
      </c>
      <c r="W507" s="98" t="str">
        <f t="shared" si="282"/>
        <v>1-25.605848509195i</v>
      </c>
      <c r="X507" s="160">
        <f t="shared" si="292"/>
        <v>25.625367858351687</v>
      </c>
      <c r="Y507" s="160">
        <f t="shared" si="293"/>
        <v>-1.5317625853280585</v>
      </c>
      <c r="Z507" s="98" t="str">
        <f t="shared" si="283"/>
        <v>-49.2541303204152-1.91063531186595i</v>
      </c>
      <c r="AA507" s="160">
        <f t="shared" si="294"/>
        <v>49.291174472874893</v>
      </c>
      <c r="AB507" s="160">
        <f t="shared" si="295"/>
        <v>-3.1028207210057395</v>
      </c>
      <c r="AC507" s="171" t="str">
        <f t="shared" si="296"/>
        <v>0.0096587190214436+0.000953470776270731i</v>
      </c>
      <c r="AD507" s="190">
        <f t="shared" si="297"/>
        <v>-40.259492832050753</v>
      </c>
      <c r="AE507" s="169">
        <f t="shared" si="298"/>
        <v>5.6377484608574582</v>
      </c>
      <c r="AF507" s="98" t="str">
        <f t="shared" si="284"/>
        <v>-0.0000897803247373448</v>
      </c>
      <c r="AG507" s="98" t="str">
        <f t="shared" si="285"/>
        <v>9.75460895588384i</v>
      </c>
      <c r="AH507" s="98">
        <f t="shared" si="299"/>
        <v>9.7546089558838407</v>
      </c>
      <c r="AI507" s="98">
        <f t="shared" si="300"/>
        <v>1.5707963267948966</v>
      </c>
      <c r="AJ507" s="98" t="str">
        <f t="shared" si="286"/>
        <v>1+1146.16655231635i</v>
      </c>
      <c r="AK507" s="98">
        <f t="shared" si="301"/>
        <v>1146.1669885530414</v>
      </c>
      <c r="AL507" s="98">
        <f t="shared" si="302"/>
        <v>1.5699238534669648</v>
      </c>
      <c r="AM507" s="98" t="str">
        <f t="shared" si="287"/>
        <v>1+2292.33310463271i</v>
      </c>
      <c r="AN507" s="98">
        <f t="shared" si="303"/>
        <v>2292.3333227510871</v>
      </c>
      <c r="AO507" s="98">
        <f t="shared" si="304"/>
        <v>1.5703600900479138</v>
      </c>
      <c r="AP507" s="168" t="str">
        <f t="shared" si="305"/>
        <v>-8.03014239830581E-09+0.0000184077682606378i</v>
      </c>
      <c r="AQ507" s="98">
        <f t="shared" si="306"/>
        <v>-94.69997640816409</v>
      </c>
      <c r="AR507" s="169">
        <f t="shared" si="307"/>
        <v>90.024994514957584</v>
      </c>
      <c r="AS507" s="168" t="str">
        <f t="shared" si="308"/>
        <v>-1.76288299820095E-08+1.77787804935242E-07i</v>
      </c>
      <c r="AT507" s="190">
        <f t="shared" si="309"/>
        <v>-134.95946924021484</v>
      </c>
      <c r="AU507" s="169">
        <f t="shared" si="310"/>
        <v>95.662742975815064</v>
      </c>
      <c r="AV507" s="225"/>
      <c r="AX507">
        <f t="shared" si="311"/>
        <v>0</v>
      </c>
      <c r="AY507">
        <f t="shared" si="312"/>
        <v>0</v>
      </c>
    </row>
    <row r="508" spans="14:51" x14ac:dyDescent="0.3">
      <c r="N508" s="170">
        <v>90</v>
      </c>
      <c r="O508" s="199">
        <f t="shared" si="313"/>
        <v>794328.23472428333</v>
      </c>
      <c r="P508" s="189" t="str">
        <f t="shared" si="279"/>
        <v>20.7142857142857</v>
      </c>
      <c r="Q508" s="160" t="str">
        <f t="shared" si="280"/>
        <v>1+1140.77976994229i</v>
      </c>
      <c r="R508" s="160">
        <f t="shared" si="288"/>
        <v>1140.7802082388982</v>
      </c>
      <c r="S508" s="160">
        <f t="shared" si="289"/>
        <v>1.5699197336344901</v>
      </c>
      <c r="T508" s="160" t="str">
        <f t="shared" si="281"/>
        <v>1+0.0998182298699504i</v>
      </c>
      <c r="U508" s="160">
        <f t="shared" si="290"/>
        <v>1.004969491583884</v>
      </c>
      <c r="V508" s="160">
        <f t="shared" si="291"/>
        <v>9.9488678828319785E-2</v>
      </c>
      <c r="W508" s="98" t="str">
        <f t="shared" si="282"/>
        <v>1-26.2022853408619i</v>
      </c>
      <c r="X508" s="160">
        <f t="shared" si="292"/>
        <v>26.221360702372912</v>
      </c>
      <c r="Y508" s="160">
        <f t="shared" si="293"/>
        <v>-1.5326502300566767</v>
      </c>
      <c r="Z508" s="98" t="str">
        <f t="shared" si="283"/>
        <v>-51.6225345159772-1.95513972543658i</v>
      </c>
      <c r="AA508" s="160">
        <f t="shared" si="294"/>
        <v>51.659545499348305</v>
      </c>
      <c r="AB508" s="160">
        <f t="shared" si="295"/>
        <v>-3.1037369823087091</v>
      </c>
      <c r="AC508" s="171" t="str">
        <f t="shared" si="296"/>
        <v>0.00921556016066071+0.000930744059834066i</v>
      </c>
      <c r="AD508" s="190">
        <f t="shared" si="297"/>
        <v>-40.665489879879921</v>
      </c>
      <c r="AE508" s="169">
        <f t="shared" si="298"/>
        <v>5.7671466475936457</v>
      </c>
      <c r="AF508" s="98" t="str">
        <f t="shared" si="284"/>
        <v>-0.0000897803247373448</v>
      </c>
      <c r="AG508" s="98" t="str">
        <f t="shared" si="285"/>
        <v>9.98182298699503i</v>
      </c>
      <c r="AH508" s="98">
        <f t="shared" si="299"/>
        <v>9.9818229869950308</v>
      </c>
      <c r="AI508" s="98">
        <f t="shared" si="300"/>
        <v>1.5707963267948966</v>
      </c>
      <c r="AJ508" s="98" t="str">
        <f t="shared" si="286"/>
        <v>1+1172.86420097192i</v>
      </c>
      <c r="AK508" s="98">
        <f t="shared" si="301"/>
        <v>1172.8646272786557</v>
      </c>
      <c r="AL508" s="98">
        <f t="shared" si="302"/>
        <v>1.5699437133748138</v>
      </c>
      <c r="AM508" s="98" t="str">
        <f t="shared" si="287"/>
        <v>1+2345.72840194384i</v>
      </c>
      <c r="AN508" s="98">
        <f t="shared" si="303"/>
        <v>2345.7286150972368</v>
      </c>
      <c r="AO508" s="98">
        <f t="shared" si="304"/>
        <v>1.5703700200073794</v>
      </c>
      <c r="AP508" s="168" t="str">
        <f t="shared" si="305"/>
        <v>-7.66872671780944E-09+0.0000179887566071721i</v>
      </c>
      <c r="AQ508" s="98">
        <f t="shared" si="306"/>
        <v>-94.899976296571964</v>
      </c>
      <c r="AR508" s="169">
        <f t="shared" si="307"/>
        <v>90.024425570824434</v>
      </c>
      <c r="AS508" s="168" t="str">
        <f t="shared" si="308"/>
        <v>-1.68135999683499E-08+1.65769331107038E-07i</v>
      </c>
      <c r="AT508" s="190">
        <f t="shared" si="309"/>
        <v>-135.56546617645188</v>
      </c>
      <c r="AU508" s="169">
        <f t="shared" si="310"/>
        <v>95.791572218418096</v>
      </c>
      <c r="AV508" s="225"/>
      <c r="AX508">
        <f t="shared" si="311"/>
        <v>0</v>
      </c>
      <c r="AY508">
        <f t="shared" si="312"/>
        <v>0</v>
      </c>
    </row>
    <row r="509" spans="14:51" x14ac:dyDescent="0.3">
      <c r="N509" s="170">
        <v>91</v>
      </c>
      <c r="O509" s="199">
        <f t="shared" si="313"/>
        <v>812830.51616410096</v>
      </c>
      <c r="P509" s="189" t="str">
        <f t="shared" si="279"/>
        <v>20.7142857142857</v>
      </c>
      <c r="Q509" s="160" t="str">
        <f t="shared" si="280"/>
        <v>1+1167.3519443176i</v>
      </c>
      <c r="R509" s="160">
        <f t="shared" si="288"/>
        <v>1167.3523726373633</v>
      </c>
      <c r="S509" s="160">
        <f t="shared" si="289"/>
        <v>1.5699396873210367</v>
      </c>
      <c r="T509" s="160" t="str">
        <f t="shared" si="281"/>
        <v>1+0.10214329512779i</v>
      </c>
      <c r="U509" s="160">
        <f t="shared" si="290"/>
        <v>1.0052030902954701</v>
      </c>
      <c r="V509" s="160">
        <f t="shared" si="291"/>
        <v>0.10179027346734511</v>
      </c>
      <c r="W509" s="98" t="str">
        <f t="shared" si="282"/>
        <v>1-26.8126149710447i</v>
      </c>
      <c r="X509" s="160">
        <f t="shared" si="292"/>
        <v>26.831256429498232</v>
      </c>
      <c r="Y509" s="160">
        <f t="shared" si="293"/>
        <v>-1.5335177276415204</v>
      </c>
      <c r="Z509" s="98" t="str">
        <f t="shared" si="283"/>
        <v>-54.1025581624735-2.00068077996897i</v>
      </c>
      <c r="AA509" s="160">
        <f t="shared" si="294"/>
        <v>54.139537523949762</v>
      </c>
      <c r="AB509" s="160">
        <f t="shared" si="295"/>
        <v>-3.1046300840953607</v>
      </c>
      <c r="AC509" s="171" t="str">
        <f t="shared" si="296"/>
        <v>0.00879310255705399+0.000908576703881259i</v>
      </c>
      <c r="AD509" s="190">
        <f t="shared" si="297"/>
        <v>-41.071034494796464</v>
      </c>
      <c r="AE509" s="169">
        <f t="shared" si="298"/>
        <v>5.8993420572362902</v>
      </c>
      <c r="AF509" s="98" t="str">
        <f t="shared" si="284"/>
        <v>-0.0000897803247373448</v>
      </c>
      <c r="AG509" s="98" t="str">
        <f t="shared" si="285"/>
        <v>10.214329512779i</v>
      </c>
      <c r="AH509" s="98">
        <f t="shared" si="299"/>
        <v>10.214329512779001</v>
      </c>
      <c r="AI509" s="98">
        <f t="shared" si="300"/>
        <v>1.5707963267948966</v>
      </c>
      <c r="AJ509" s="98" t="str">
        <f t="shared" si="286"/>
        <v>1+1200.18371775153i</v>
      </c>
      <c r="AK509" s="98">
        <f t="shared" si="301"/>
        <v>1200.1841343543431</v>
      </c>
      <c r="AL509" s="98">
        <f t="shared" si="302"/>
        <v>1.5699631212166183</v>
      </c>
      <c r="AM509" s="98" t="str">
        <f t="shared" si="287"/>
        <v>1+2400.36743550306i</v>
      </c>
      <c r="AN509" s="98">
        <f t="shared" si="303"/>
        <v>2400.3676438044936</v>
      </c>
      <c r="AO509" s="98">
        <f t="shared" si="304"/>
        <v>1.5703797239334527</v>
      </c>
      <c r="AP509" s="168" t="str">
        <f t="shared" si="305"/>
        <v>-7.32357739934616E-09+0.0000175792828028237i</v>
      </c>
      <c r="AQ509" s="98">
        <f t="shared" si="306"/>
        <v>-95.09997619000228</v>
      </c>
      <c r="AR509" s="169">
        <f t="shared" si="307"/>
        <v>90.023869577408291</v>
      </c>
      <c r="AS509" s="168" t="str">
        <f t="shared" si="308"/>
        <v>-1.6036523792743E-08+1.5456978253287E-07i</v>
      </c>
      <c r="AT509" s="190">
        <f t="shared" si="309"/>
        <v>-136.17101068479877</v>
      </c>
      <c r="AU509" s="169">
        <f t="shared" si="310"/>
        <v>95.923211634644588</v>
      </c>
      <c r="AV509" s="225"/>
      <c r="AX509">
        <f t="shared" si="311"/>
        <v>0</v>
      </c>
      <c r="AY509">
        <f t="shared" si="312"/>
        <v>0</v>
      </c>
    </row>
    <row r="510" spans="14:51" x14ac:dyDescent="0.3">
      <c r="N510" s="170">
        <v>92</v>
      </c>
      <c r="O510" s="199">
        <f t="shared" si="313"/>
        <v>831763.77110267128</v>
      </c>
      <c r="P510" s="189" t="str">
        <f t="shared" si="279"/>
        <v>20.7142857142857</v>
      </c>
      <c r="Q510" s="160" t="str">
        <f t="shared" si="280"/>
        <v>1+1194.54306414551i</v>
      </c>
      <c r="R510" s="160">
        <f t="shared" si="288"/>
        <v>1194.5434827155284</v>
      </c>
      <c r="S510" s="160">
        <f t="shared" si="289"/>
        <v>1.5699591868068843</v>
      </c>
      <c r="T510" s="160" t="str">
        <f t="shared" si="281"/>
        <v>1+0.104522518112732i</v>
      </c>
      <c r="U510" s="160">
        <f t="shared" si="290"/>
        <v>1.0054476400054984</v>
      </c>
      <c r="V510" s="160">
        <f t="shared" si="291"/>
        <v>0.10414435919209586</v>
      </c>
      <c r="W510" s="98" t="str">
        <f t="shared" si="282"/>
        <v>1-27.437161004592i</v>
      </c>
      <c r="X510" s="160">
        <f t="shared" si="292"/>
        <v>27.45537841647614</v>
      </c>
      <c r="Y510" s="160">
        <f t="shared" si="293"/>
        <v>-1.5343655328156145</v>
      </c>
      <c r="Z510" s="98" t="str">
        <f t="shared" si="283"/>
        <v>-56.6994617225611-2.04728262193304i</v>
      </c>
      <c r="AA510" s="160">
        <f t="shared" si="294"/>
        <v>56.736410934797775</v>
      </c>
      <c r="AB510" s="160">
        <f t="shared" si="295"/>
        <v>-3.1055007131512049</v>
      </c>
      <c r="AC510" s="171" t="str">
        <f t="shared" si="296"/>
        <v>0.00839034632471901+0.000886956145980336i</v>
      </c>
      <c r="AD510" s="190">
        <f t="shared" si="297"/>
        <v>-41.476139348142695</v>
      </c>
      <c r="AE510" s="169">
        <f t="shared" si="298"/>
        <v>6.034411707731131</v>
      </c>
      <c r="AF510" s="98" t="str">
        <f t="shared" si="284"/>
        <v>-0.0000897803247373448</v>
      </c>
      <c r="AG510" s="98" t="str">
        <f t="shared" si="285"/>
        <v>10.4522518112732i</v>
      </c>
      <c r="AH510" s="98">
        <f t="shared" si="299"/>
        <v>10.4522518112732</v>
      </c>
      <c r="AI510" s="98">
        <f t="shared" si="300"/>
        <v>1.5707963267948966</v>
      </c>
      <c r="AJ510" s="98" t="str">
        <f t="shared" si="286"/>
        <v>1+1228.1395878246i</v>
      </c>
      <c r="AK510" s="98">
        <f t="shared" si="301"/>
        <v>1228.1399949443787</v>
      </c>
      <c r="AL510" s="98">
        <f t="shared" si="302"/>
        <v>1.5699820872826145</v>
      </c>
      <c r="AM510" s="98" t="str">
        <f t="shared" si="287"/>
        <v>1+2456.2791756492i</v>
      </c>
      <c r="AN510" s="98">
        <f t="shared" si="303"/>
        <v>2456.2793792091147</v>
      </c>
      <c r="AO510" s="98">
        <f t="shared" si="304"/>
        <v>1.5703892069712768</v>
      </c>
      <c r="AP510" s="168" t="str">
        <f t="shared" si="305"/>
        <v>-6.99396233806007E-09+0.0000171791297410135i</v>
      </c>
      <c r="AQ510" s="98">
        <f t="shared" si="306"/>
        <v>-95.299976088228931</v>
      </c>
      <c r="AR510" s="169">
        <f t="shared" si="307"/>
        <v>90.02332623991704</v>
      </c>
      <c r="AS510" s="168" t="str">
        <f t="shared" si="308"/>
        <v>-1.52958164725839E-08+1.44132644746503E-07i</v>
      </c>
      <c r="AT510" s="190">
        <f t="shared" si="309"/>
        <v>-136.77611543637164</v>
      </c>
      <c r="AU510" s="169">
        <f t="shared" si="310"/>
        <v>96.057737947648178</v>
      </c>
      <c r="AV510" s="225"/>
      <c r="AX510">
        <f t="shared" si="311"/>
        <v>0</v>
      </c>
      <c r="AY510">
        <f t="shared" si="312"/>
        <v>0</v>
      </c>
    </row>
    <row r="511" spans="14:51" x14ac:dyDescent="0.3">
      <c r="N511" s="170">
        <v>93</v>
      </c>
      <c r="O511" s="199">
        <f t="shared" si="313"/>
        <v>851138.03820237669</v>
      </c>
      <c r="P511" s="189" t="str">
        <f t="shared" si="279"/>
        <v>20.7142857142857</v>
      </c>
      <c r="Q511" s="160" t="str">
        <f t="shared" si="280"/>
        <v>1+1222.36754651768i</v>
      </c>
      <c r="R511" s="160">
        <f t="shared" si="288"/>
        <v>1222.3679555598849</v>
      </c>
      <c r="S511" s="160">
        <f t="shared" si="289"/>
        <v>1.5699782424308595</v>
      </c>
      <c r="T511" s="160" t="str">
        <f t="shared" si="281"/>
        <v>1+0.106957160320297i</v>
      </c>
      <c r="U511" s="160">
        <f t="shared" si="290"/>
        <v>1.0057036512530826</v>
      </c>
      <c r="V511" s="160">
        <f t="shared" si="291"/>
        <v>0.10655207974745674</v>
      </c>
      <c r="W511" s="98" t="str">
        <f t="shared" si="282"/>
        <v>1-28.0762545840778i</v>
      </c>
      <c r="X511" s="160">
        <f t="shared" si="292"/>
        <v>28.094057582875951</v>
      </c>
      <c r="Y511" s="160">
        <f t="shared" si="293"/>
        <v>-1.5351940902186614</v>
      </c>
      <c r="Z511" s="98" t="str">
        <f t="shared" si="283"/>
        <v>-59.4187535768638-2.09496996024224i</v>
      </c>
      <c r="AA511" s="160">
        <f t="shared" si="294"/>
        <v>59.455674041779915</v>
      </c>
      <c r="AB511" s="160">
        <f t="shared" si="295"/>
        <v>-3.1063495293158576</v>
      </c>
      <c r="AC511" s="171" t="str">
        <f t="shared" si="296"/>
        <v>0.00800634279866862+0.0008658697560782i</v>
      </c>
      <c r="AD511" s="190">
        <f t="shared" si="297"/>
        <v>-41.880816120664512</v>
      </c>
      <c r="AE511" s="169">
        <f t="shared" si="298"/>
        <v>6.1724328685086221</v>
      </c>
      <c r="AF511" s="98" t="str">
        <f t="shared" si="284"/>
        <v>-0.0000897803247373448</v>
      </c>
      <c r="AG511" s="98" t="str">
        <f t="shared" si="285"/>
        <v>10.6957160320297i</v>
      </c>
      <c r="AH511" s="98">
        <f t="shared" si="299"/>
        <v>10.695716032029701</v>
      </c>
      <c r="AI511" s="98">
        <f t="shared" si="300"/>
        <v>1.5707963267948966</v>
      </c>
      <c r="AJ511" s="98" t="str">
        <f t="shared" si="286"/>
        <v>1+1256.74663376349i</v>
      </c>
      <c r="AK511" s="98">
        <f t="shared" si="301"/>
        <v>1256.7470316160941</v>
      </c>
      <c r="AL511" s="98">
        <f t="shared" si="302"/>
        <v>1.5700006216288072</v>
      </c>
      <c r="AM511" s="98" t="str">
        <f t="shared" si="287"/>
        <v>1+2513.49326752698i</v>
      </c>
      <c r="AN511" s="98">
        <f t="shared" si="303"/>
        <v>2513.4934664533057</v>
      </c>
      <c r="AO511" s="98">
        <f t="shared" si="304"/>
        <v>1.5703984741488772</v>
      </c>
      <c r="AP511" s="168" t="str">
        <f t="shared" si="305"/>
        <v>-6.67918237906252E-09+0.0000167880852570195i</v>
      </c>
      <c r="AQ511" s="98">
        <f t="shared" si="306"/>
        <v>-95.499975991036166</v>
      </c>
      <c r="AR511" s="169">
        <f t="shared" si="307"/>
        <v>90.022795270268645</v>
      </c>
      <c r="AS511" s="168" t="str">
        <f t="shared" si="308"/>
        <v>-1.45897711102571E-08+1.34405382198956E-07i</v>
      </c>
      <c r="AT511" s="190">
        <f t="shared" si="309"/>
        <v>-137.38079211170063</v>
      </c>
      <c r="AU511" s="169">
        <f t="shared" si="310"/>
        <v>96.195228138777253</v>
      </c>
      <c r="AV511" s="225"/>
      <c r="AX511">
        <f t="shared" si="311"/>
        <v>0</v>
      </c>
      <c r="AY511">
        <f t="shared" si="312"/>
        <v>0</v>
      </c>
    </row>
    <row r="512" spans="14:51" x14ac:dyDescent="0.3">
      <c r="N512" s="170">
        <v>94</v>
      </c>
      <c r="O512" s="199">
        <f t="shared" si="313"/>
        <v>870963.58995608077</v>
      </c>
      <c r="P512" s="189" t="str">
        <f t="shared" si="279"/>
        <v>20.7142857142857</v>
      </c>
      <c r="Q512" s="160" t="str">
        <f t="shared" si="280"/>
        <v>1+1250.84014434296i</v>
      </c>
      <c r="R512" s="160">
        <f t="shared" si="288"/>
        <v>1250.8405440742304</v>
      </c>
      <c r="S512" s="160">
        <f t="shared" si="289"/>
        <v>1.5699968642964504</v>
      </c>
      <c r="T512" s="160" t="str">
        <f t="shared" si="281"/>
        <v>1+0.109448512630009i</v>
      </c>
      <c r="U512" s="160">
        <f t="shared" si="290"/>
        <v>1.0059716581081801</v>
      </c>
      <c r="V512" s="160">
        <f t="shared" si="291"/>
        <v>0.1090146000150978</v>
      </c>
      <c r="W512" s="98" t="str">
        <f t="shared" si="282"/>
        <v>1-28.7302345653772i</v>
      </c>
      <c r="X512" s="160">
        <f t="shared" si="292"/>
        <v>28.747632566553978</v>
      </c>
      <c r="Y512" s="160">
        <f t="shared" si="293"/>
        <v>-1.5360038346096785</v>
      </c>
      <c r="Z512" s="98" t="str">
        <f t="shared" si="283"/>
        <v>-62.2662017079863-2.14376807935458i</v>
      </c>
      <c r="AA512" s="160">
        <f t="shared" si="294"/>
        <v>62.303094760354369</v>
      </c>
      <c r="AB512" s="160">
        <f t="shared" si="295"/>
        <v>-3.1071771669258279</v>
      </c>
      <c r="AC512" s="171" t="str">
        <f t="shared" si="296"/>
        <v>0.00764019165324639+0.000845304901717821i</v>
      </c>
      <c r="AD512" s="190">
        <f t="shared" si="297"/>
        <v>-42.285075534777413</v>
      </c>
      <c r="AE512" s="169">
        <f t="shared" si="298"/>
        <v>6.3134831384327699</v>
      </c>
      <c r="AF512" s="98" t="str">
        <f t="shared" si="284"/>
        <v>-0.0000897803247373448</v>
      </c>
      <c r="AG512" s="98" t="str">
        <f t="shared" si="285"/>
        <v>10.9448512630009i</v>
      </c>
      <c r="AH512" s="98">
        <f t="shared" si="299"/>
        <v>10.944851263000899</v>
      </c>
      <c r="AI512" s="98">
        <f t="shared" si="300"/>
        <v>1.5707963267948966</v>
      </c>
      <c r="AJ512" s="98" t="str">
        <f t="shared" si="286"/>
        <v>1+1286.0200234026i</v>
      </c>
      <c r="AK512" s="98">
        <f t="shared" si="301"/>
        <v>1286.0204121989757</v>
      </c>
      <c r="AL512" s="98">
        <f t="shared" si="302"/>
        <v>1.5700187340823011</v>
      </c>
      <c r="AM512" s="98" t="str">
        <f t="shared" si="287"/>
        <v>1+2572.04004680521i</v>
      </c>
      <c r="AN512" s="98">
        <f t="shared" si="303"/>
        <v>2572.04024120342</v>
      </c>
      <c r="AO512" s="98">
        <f t="shared" si="304"/>
        <v>1.5704075303798273</v>
      </c>
      <c r="AP512" s="168" t="str">
        <f t="shared" si="305"/>
        <v>-6.37856983445535E-09+0.0000164059420154931i</v>
      </c>
      <c r="AQ512" s="98">
        <f t="shared" si="306"/>
        <v>-95.699975898217815</v>
      </c>
      <c r="AR512" s="169">
        <f t="shared" si="307"/>
        <v>90.022276386938557</v>
      </c>
      <c r="AS512" s="168" t="str">
        <f t="shared" si="308"/>
        <v>-1.39167566990035E-08+1.25339149414068E-07i</v>
      </c>
      <c r="AT512" s="190">
        <f t="shared" si="309"/>
        <v>-137.98505143299519</v>
      </c>
      <c r="AU512" s="169">
        <f t="shared" si="310"/>
        <v>96.335759525371316</v>
      </c>
      <c r="AV512" s="225"/>
      <c r="AX512">
        <f t="shared" si="311"/>
        <v>0</v>
      </c>
      <c r="AY512">
        <f t="shared" si="312"/>
        <v>0</v>
      </c>
    </row>
    <row r="513" spans="14:51" x14ac:dyDescent="0.3">
      <c r="N513" s="170">
        <v>95</v>
      </c>
      <c r="O513" s="199">
        <f t="shared" si="313"/>
        <v>891250.93813374708</v>
      </c>
      <c r="P513" s="189" t="str">
        <f t="shared" si="279"/>
        <v>20.7142857142857</v>
      </c>
      <c r="Q513" s="160" t="str">
        <f t="shared" si="280"/>
        <v>1+1279.9759541696i</v>
      </c>
      <c r="R513" s="160">
        <f t="shared" si="288"/>
        <v>1279.9763448018787</v>
      </c>
      <c r="S513" s="160">
        <f t="shared" si="289"/>
        <v>1.5700150622771654</v>
      </c>
      <c r="T513" s="160" t="str">
        <f t="shared" si="281"/>
        <v>1+0.11199789598984i</v>
      </c>
      <c r="U513" s="160">
        <f t="shared" si="290"/>
        <v>1.0062522192304229</v>
      </c>
      <c r="V513" s="160">
        <f t="shared" si="291"/>
        <v>0.11153310612895212</v>
      </c>
      <c r="W513" s="98" t="str">
        <f t="shared" si="282"/>
        <v>1-29.3994476973328i</v>
      </c>
      <c r="X513" s="160">
        <f t="shared" si="292"/>
        <v>29.416449903212435</v>
      </c>
      <c r="Y513" s="160">
        <f t="shared" si="293"/>
        <v>-1.5367951910759299</v>
      </c>
      <c r="Z513" s="98" t="str">
        <f t="shared" si="283"/>
        <v>-65.2478459351792-2.19370285267871i</v>
      </c>
      <c r="AA513" s="160">
        <f t="shared" si="294"/>
        <v>65.284712846015736</v>
      </c>
      <c r="AB513" s="160">
        <f t="shared" si="295"/>
        <v>-3.1079842361606209</v>
      </c>
      <c r="AC513" s="171" t="str">
        <f t="shared" si="296"/>
        <v>0.00729103820481445+0.000825249002717819i</v>
      </c>
      <c r="AD513" s="190">
        <f t="shared" si="297"/>
        <v>-42.688927384328494</v>
      </c>
      <c r="AE513" s="169">
        <f t="shared" si="298"/>
        <v>6.457640517265812</v>
      </c>
      <c r="AF513" s="98" t="str">
        <f t="shared" si="284"/>
        <v>-0.0000897803247373448</v>
      </c>
      <c r="AG513" s="98" t="str">
        <f t="shared" si="285"/>
        <v>11.199789598984i</v>
      </c>
      <c r="AH513" s="98">
        <f t="shared" si="299"/>
        <v>11.199789598983999</v>
      </c>
      <c r="AI513" s="98">
        <f t="shared" si="300"/>
        <v>1.5707963267948966</v>
      </c>
      <c r="AJ513" s="98" t="str">
        <f t="shared" si="286"/>
        <v>1+1315.97527788062i</v>
      </c>
      <c r="AK513" s="98">
        <f t="shared" si="301"/>
        <v>1315.9756578269125</v>
      </c>
      <c r="AL513" s="98">
        <f t="shared" si="302"/>
        <v>1.570036434246511</v>
      </c>
      <c r="AM513" s="98" t="str">
        <f t="shared" si="287"/>
        <v>1+2631.95055576124i</v>
      </c>
      <c r="AN513" s="98">
        <f t="shared" si="303"/>
        <v>2631.9507457344066</v>
      </c>
      <c r="AO513" s="98">
        <f t="shared" si="304"/>
        <v>1.5704163804658551</v>
      </c>
      <c r="AP513" s="168" t="str">
        <f t="shared" si="305"/>
        <v>-6.09148706709699E-09+0.0000160324974005348i</v>
      </c>
      <c r="AQ513" s="98">
        <f t="shared" si="306"/>
        <v>-95.899975809576944</v>
      </c>
      <c r="AR513" s="169">
        <f t="shared" si="307"/>
        <v>90.021769314810356</v>
      </c>
      <c r="AS513" s="168" t="str">
        <f t="shared" si="308"/>
        <v>-1.32752157557977E-08+1.1688852407226E-07i</v>
      </c>
      <c r="AT513" s="190">
        <f t="shared" si="309"/>
        <v>-138.58890319390548</v>
      </c>
      <c r="AU513" s="169">
        <f t="shared" si="310"/>
        <v>96.479409832076186</v>
      </c>
      <c r="AV513" s="225"/>
      <c r="AX513">
        <f t="shared" si="311"/>
        <v>0</v>
      </c>
      <c r="AY513">
        <f t="shared" si="312"/>
        <v>0</v>
      </c>
    </row>
    <row r="514" spans="14:51" x14ac:dyDescent="0.3">
      <c r="N514" s="170">
        <v>96</v>
      </c>
      <c r="O514" s="199">
        <f t="shared" si="313"/>
        <v>912010.83935591124</v>
      </c>
      <c r="P514" s="189" t="str">
        <f t="shared" si="279"/>
        <v>20.7142857142857</v>
      </c>
      <c r="Q514" s="160" t="str">
        <f t="shared" si="280"/>
        <v>1+1309.79042418962i</v>
      </c>
      <c r="R514" s="160">
        <f t="shared" si="288"/>
        <v>1309.790805930025</v>
      </c>
      <c r="S514" s="160">
        <f t="shared" si="289"/>
        <v>1.5700328460217663</v>
      </c>
      <c r="T514" s="160" t="str">
        <f t="shared" si="281"/>
        <v>1+0.114606662116592i</v>
      </c>
      <c r="U514" s="160">
        <f t="shared" si="290"/>
        <v>1.0065459189731518</v>
      </c>
      <c r="V514" s="160">
        <f t="shared" si="291"/>
        <v>0.11410880556841804</v>
      </c>
      <c r="W514" s="98" t="str">
        <f t="shared" si="282"/>
        <v>1-30.0842488056052i</v>
      </c>
      <c r="X514" s="160">
        <f t="shared" si="292"/>
        <v>30.100864210144497</v>
      </c>
      <c r="Y514" s="160">
        <f t="shared" si="293"/>
        <v>-1.5375685752381583</v>
      </c>
      <c r="Z514" s="98" t="str">
        <f t="shared" si="283"/>
        <v>-68.3700107256039-2.24480075629243i</v>
      </c>
      <c r="AA514" s="160">
        <f t="shared" si="294"/>
        <v>68.406852705373339</v>
      </c>
      <c r="AB514" s="160">
        <f t="shared" si="295"/>
        <v>-3.1087713242995885</v>
      </c>
      <c r="AC514" s="171" t="str">
        <f t="shared" si="296"/>
        <v>0.00695807088509905+0.000805689576750449i</v>
      </c>
      <c r="AD514" s="190">
        <f t="shared" si="297"/>
        <v>-43.092380561980349</v>
      </c>
      <c r="AE514" s="169">
        <f t="shared" si="298"/>
        <v>6.6049834709615451</v>
      </c>
      <c r="AF514" s="98" t="str">
        <f t="shared" si="284"/>
        <v>-0.0000897803247373448</v>
      </c>
      <c r="AG514" s="98" t="str">
        <f t="shared" si="285"/>
        <v>11.4606662116592i</v>
      </c>
      <c r="AH514" s="98">
        <f t="shared" si="299"/>
        <v>11.4606662116592</v>
      </c>
      <c r="AI514" s="98">
        <f t="shared" si="300"/>
        <v>1.5707963267948966</v>
      </c>
      <c r="AJ514" s="98" t="str">
        <f t="shared" si="286"/>
        <v>1+1346.62827986995i</v>
      </c>
      <c r="AK514" s="98">
        <f t="shared" si="301"/>
        <v>1346.6286511676115</v>
      </c>
      <c r="AL514" s="98">
        <f t="shared" si="302"/>
        <v>1.5700537315062542</v>
      </c>
      <c r="AM514" s="98" t="str">
        <f t="shared" si="287"/>
        <v>1+2693.25655973991i</v>
      </c>
      <c r="AN514" s="98">
        <f t="shared" si="303"/>
        <v>2693.25674538876</v>
      </c>
      <c r="AO514" s="98">
        <f t="shared" si="304"/>
        <v>1.5704250290993875</v>
      </c>
      <c r="AP514" s="168" t="str">
        <f t="shared" si="305"/>
        <v>-5.81732513810912E-09+0.0000156675534082712i</v>
      </c>
      <c r="AQ514" s="98">
        <f t="shared" si="306"/>
        <v>-96.099975724925656</v>
      </c>
      <c r="AR514" s="169">
        <f t="shared" si="307"/>
        <v>90.021273785029905</v>
      </c>
      <c r="AS514" s="168" t="str">
        <f t="shared" si="308"/>
        <v>-1.26636618348977E-08+1.09011260252598E-07i</v>
      </c>
      <c r="AT514" s="190">
        <f t="shared" si="309"/>
        <v>-139.19235628690598</v>
      </c>
      <c r="AU514" s="169">
        <f t="shared" si="310"/>
        <v>96.626257255991433</v>
      </c>
      <c r="AV514" s="225"/>
      <c r="AX514">
        <f t="shared" si="311"/>
        <v>0</v>
      </c>
      <c r="AY514">
        <f t="shared" si="312"/>
        <v>0</v>
      </c>
    </row>
    <row r="515" spans="14:51" x14ac:dyDescent="0.3">
      <c r="N515" s="170">
        <v>97</v>
      </c>
      <c r="O515" s="199">
        <f t="shared" si="313"/>
        <v>933254.30079699249</v>
      </c>
      <c r="P515" s="189" t="str">
        <f t="shared" si="279"/>
        <v>20.7142857142857</v>
      </c>
      <c r="Q515" s="160" t="str">
        <f t="shared" si="280"/>
        <v>1+1340.29936242967i</v>
      </c>
      <c r="R515" s="160">
        <f t="shared" si="288"/>
        <v>1340.2997354806052</v>
      </c>
      <c r="S515" s="160">
        <f t="shared" si="289"/>
        <v>1.5700502249593848</v>
      </c>
      <c r="T515" s="160" t="str">
        <f t="shared" si="281"/>
        <v>1+0.117276194212596i</v>
      </c>
      <c r="U515" s="160">
        <f t="shared" si="290"/>
        <v>1.0068533685343612</v>
      </c>
      <c r="V515" s="160">
        <f t="shared" si="291"/>
        <v>0.11674292722722361</v>
      </c>
      <c r="W515" s="98" t="str">
        <f t="shared" si="282"/>
        <v>1-30.7850009808065i</v>
      </c>
      <c r="X515" s="160">
        <f t="shared" si="292"/>
        <v>30.80123837426439</v>
      </c>
      <c r="Y515" s="160">
        <f t="shared" si="293"/>
        <v>-1.538324393452138</v>
      </c>
      <c r="Z515" s="98" t="str">
        <f t="shared" si="283"/>
        <v>-71.6393186093771-2.29708888298058i</v>
      </c>
      <c r="AA515" s="160">
        <f t="shared" si="294"/>
        <v>71.676136811020712</v>
      </c>
      <c r="AB515" s="160">
        <f t="shared" si="295"/>
        <v>-3.1095389968963567</v>
      </c>
      <c r="AC515" s="171" t="str">
        <f t="shared" si="296"/>
        <v>0.00664051887272708+0.000786614277066249i</v>
      </c>
      <c r="AD515" s="190">
        <f t="shared" si="297"/>
        <v>-43.495443084335733</v>
      </c>
      <c r="AE515" s="169">
        <f t="shared" si="298"/>
        <v>6.7555909910596341</v>
      </c>
      <c r="AF515" s="98" t="str">
        <f t="shared" si="284"/>
        <v>-0.0000897803247373448</v>
      </c>
      <c r="AG515" s="98" t="str">
        <f t="shared" si="285"/>
        <v>11.7276194212596i</v>
      </c>
      <c r="AH515" s="98">
        <f t="shared" si="299"/>
        <v>11.7276194212596</v>
      </c>
      <c r="AI515" s="98">
        <f t="shared" si="300"/>
        <v>1.5707963267948966</v>
      </c>
      <c r="AJ515" s="98" t="str">
        <f t="shared" si="286"/>
        <v>1+1377.99528199801i</v>
      </c>
      <c r="AK515" s="98">
        <f t="shared" si="301"/>
        <v>1377.9956448439068</v>
      </c>
      <c r="AL515" s="98">
        <f t="shared" si="302"/>
        <v>1.5700706350327251</v>
      </c>
      <c r="AM515" s="98" t="str">
        <f t="shared" si="287"/>
        <v>1+2755.99056399602i</v>
      </c>
      <c r="AN515" s="98">
        <f t="shared" si="303"/>
        <v>2755.9907454189861</v>
      </c>
      <c r="AO515" s="98">
        <f t="shared" si="304"/>
        <v>1.5704334808660396</v>
      </c>
      <c r="AP515" s="168" t="str">
        <f t="shared" si="305"/>
        <v>-5.5555025152536E-09+0.0000153109165418783i</v>
      </c>
      <c r="AQ515" s="98">
        <f t="shared" si="306"/>
        <v>-96.299975644084199</v>
      </c>
      <c r="AR515" s="169">
        <f t="shared" si="307"/>
        <v>90.020789534862828</v>
      </c>
      <c r="AS515" s="168" t="str">
        <f t="shared" si="308"/>
        <v>-1.20806769661113E-08+1.01668060217497E-07i</v>
      </c>
      <c r="AT515" s="190">
        <f t="shared" si="309"/>
        <v>-139.79541872841997</v>
      </c>
      <c r="AU515" s="169">
        <f t="shared" si="310"/>
        <v>96.776380525922491</v>
      </c>
      <c r="AV515" s="225"/>
      <c r="AX515">
        <f t="shared" si="311"/>
        <v>0</v>
      </c>
      <c r="AY515">
        <f t="shared" si="312"/>
        <v>0</v>
      </c>
    </row>
    <row r="516" spans="14:51" x14ac:dyDescent="0.3">
      <c r="N516" s="170">
        <v>98</v>
      </c>
      <c r="O516" s="199">
        <f t="shared" si="313"/>
        <v>954992.58602143743</v>
      </c>
      <c r="P516" s="189" t="str">
        <f t="shared" si="279"/>
        <v>20.7142857142857</v>
      </c>
      <c r="Q516" s="160" t="str">
        <f t="shared" si="280"/>
        <v>1+1371.51894513265i</v>
      </c>
      <c r="R516" s="160">
        <f t="shared" si="288"/>
        <v>1371.5193096919113</v>
      </c>
      <c r="S516" s="160">
        <f t="shared" si="289"/>
        <v>1.570067208304522</v>
      </c>
      <c r="T516" s="160" t="str">
        <f t="shared" si="281"/>
        <v>1+0.120007907699107i</v>
      </c>
      <c r="U516" s="160">
        <f t="shared" si="290"/>
        <v>1.0071752071562907</v>
      </c>
      <c r="V516" s="160">
        <f t="shared" si="291"/>
        <v>0.11943672145574931</v>
      </c>
      <c r="W516" s="98" t="str">
        <f t="shared" si="282"/>
        <v>1-31.5020757710154i</v>
      </c>
      <c r="X516" s="160">
        <f t="shared" si="292"/>
        <v>31.517943744521077</v>
      </c>
      <c r="Y516" s="160">
        <f t="shared" si="293"/>
        <v>-1.5390630430065586</v>
      </c>
      <c r="Z516" s="98" t="str">
        <f t="shared" si="283"/>
        <v>-75.0627042268435-2.35059495660005i</v>
      </c>
      <c r="AA516" s="160">
        <f t="shared" si="294"/>
        <v>75.099499748644021</v>
      </c>
      <c r="AB516" s="160">
        <f t="shared" si="295"/>
        <v>-3.1102877988770485</v>
      </c>
      <c r="AC516" s="171" t="str">
        <f t="shared" si="296"/>
        <v>0.00633764987153237+0.000768010923450145i</v>
      </c>
      <c r="AD516" s="190">
        <f t="shared" si="297"/>
        <v>-43.898122114910862</v>
      </c>
      <c r="AE516" s="169">
        <f t="shared" si="298"/>
        <v>6.9095426484096611</v>
      </c>
      <c r="AF516" s="98" t="str">
        <f t="shared" si="284"/>
        <v>-0.0000897803247373448</v>
      </c>
      <c r="AG516" s="98" t="str">
        <f t="shared" si="285"/>
        <v>12.0007907699107i</v>
      </c>
      <c r="AH516" s="98">
        <f t="shared" si="299"/>
        <v>12.000790769910701</v>
      </c>
      <c r="AI516" s="98">
        <f t="shared" si="300"/>
        <v>1.5707963267948966</v>
      </c>
      <c r="AJ516" s="98" t="str">
        <f t="shared" si="286"/>
        <v>1+1410.0929154645i</v>
      </c>
      <c r="AK516" s="98">
        <f t="shared" si="301"/>
        <v>1410.0932700510182</v>
      </c>
      <c r="AL516" s="98">
        <f t="shared" si="302"/>
        <v>1.5700871537883587</v>
      </c>
      <c r="AM516" s="98" t="str">
        <f t="shared" si="287"/>
        <v>1+2820.18583092901i</v>
      </c>
      <c r="AN516" s="98">
        <f t="shared" si="303"/>
        <v>2820.1860082222856</v>
      </c>
      <c r="AO516" s="98">
        <f t="shared" si="304"/>
        <v>1.570441740247045</v>
      </c>
      <c r="AP516" s="168" t="str">
        <f t="shared" si="305"/>
        <v>-5.30546383944181E-09+0.0000149623977089922i</v>
      </c>
      <c r="AQ516" s="98">
        <f t="shared" si="306"/>
        <v>-96.499975566881261</v>
      </c>
      <c r="AR516" s="169">
        <f t="shared" si="307"/>
        <v>90.020316307555206</v>
      </c>
      <c r="AS516" s="168" t="str">
        <f t="shared" si="308"/>
        <v>-1.15249090537319E-08+9.4822363264028E-08i</v>
      </c>
      <c r="AT516" s="190">
        <f t="shared" si="309"/>
        <v>-140.39809768179214</v>
      </c>
      <c r="AU516" s="169">
        <f t="shared" si="310"/>
        <v>96.929858955964875</v>
      </c>
      <c r="AV516" s="225"/>
      <c r="AX516">
        <f t="shared" si="311"/>
        <v>0</v>
      </c>
      <c r="AY516">
        <f t="shared" si="312"/>
        <v>0</v>
      </c>
    </row>
    <row r="517" spans="14:51" x14ac:dyDescent="0.3">
      <c r="N517" s="170">
        <v>99</v>
      </c>
      <c r="O517" s="199">
        <f t="shared" si="313"/>
        <v>977237.22095581202</v>
      </c>
      <c r="P517" s="189" t="str">
        <f t="shared" si="279"/>
        <v>20.7142857142857</v>
      </c>
      <c r="Q517" s="160" t="str">
        <f t="shared" si="280"/>
        <v>1+1403.46572533453i</v>
      </c>
      <c r="R517" s="160">
        <f t="shared" si="288"/>
        <v>1403.4660815954114</v>
      </c>
      <c r="S517" s="160">
        <f t="shared" si="289"/>
        <v>1.5700838050619326</v>
      </c>
      <c r="T517" s="160" t="str">
        <f t="shared" si="281"/>
        <v>1+0.122803250966771i</v>
      </c>
      <c r="U517" s="160">
        <f t="shared" si="290"/>
        <v>1.0075121033754422</v>
      </c>
      <c r="V517" s="160">
        <f t="shared" si="291"/>
        <v>0.12219146007445465</v>
      </c>
      <c r="W517" s="98" t="str">
        <f t="shared" si="282"/>
        <v>1-32.2358533787774i</v>
      </c>
      <c r="X517" s="160">
        <f t="shared" si="292"/>
        <v>32.251360328799066</v>
      </c>
      <c r="Y517" s="160">
        <f t="shared" si="293"/>
        <v>-1.5397849123172715</v>
      </c>
      <c r="Z517" s="98" t="str">
        <f t="shared" si="283"/>
        <v>-78.6474290378798-2.40534734677932i</v>
      </c>
      <c r="AA517" s="160">
        <f t="shared" si="294"/>
        <v>78.684202926171892</v>
      </c>
      <c r="AB517" s="160">
        <f t="shared" si="295"/>
        <v>-3.1110182555680264</v>
      </c>
      <c r="AC517" s="171" t="str">
        <f t="shared" si="296"/>
        <v>0.00604876802515437+0.00074986752735172i</v>
      </c>
      <c r="AD517" s="190">
        <f t="shared" si="297"/>
        <v>-44.300423985059147</v>
      </c>
      <c r="AE517" s="169">
        <f t="shared" si="298"/>
        <v>7.0669186414162093</v>
      </c>
      <c r="AF517" s="98" t="str">
        <f t="shared" si="284"/>
        <v>-0.0000897803247373448</v>
      </c>
      <c r="AG517" s="98" t="str">
        <f t="shared" si="285"/>
        <v>12.2803250966771i</v>
      </c>
      <c r="AH517" s="98">
        <f t="shared" si="299"/>
        <v>12.2803250966771</v>
      </c>
      <c r="AI517" s="98">
        <f t="shared" si="300"/>
        <v>1.5707963267948966</v>
      </c>
      <c r="AJ517" s="98" t="str">
        <f t="shared" si="286"/>
        <v>1+1442.93819885956i</v>
      </c>
      <c r="AK517" s="98">
        <f t="shared" si="301"/>
        <v>1442.9385453747057</v>
      </c>
      <c r="AL517" s="98">
        <f t="shared" si="302"/>
        <v>1.5701032965315815</v>
      </c>
      <c r="AM517" s="98" t="str">
        <f t="shared" si="287"/>
        <v>1+2885.87639771913i</v>
      </c>
      <c r="AN517" s="98">
        <f t="shared" si="303"/>
        <v>2885.8765709767185</v>
      </c>
      <c r="AO517" s="98">
        <f t="shared" si="304"/>
        <v>1.5704498116216321</v>
      </c>
      <c r="AP517" s="168" t="str">
        <f t="shared" si="305"/>
        <v>-5.06667874675812E-09+0.0000146218121214566i</v>
      </c>
      <c r="AQ517" s="98">
        <f t="shared" si="306"/>
        <v>-96.69997549315292</v>
      </c>
      <c r="AR517" s="169">
        <f t="shared" si="307"/>
        <v>90.019853852197485</v>
      </c>
      <c r="AS517" s="168" t="str">
        <f t="shared" si="308"/>
        <v>-1.09950692653152E-08+8.84401502922176E-08i</v>
      </c>
      <c r="AT517" s="190">
        <f t="shared" si="309"/>
        <v>-141.00039947821207</v>
      </c>
      <c r="AU517" s="169">
        <f t="shared" si="310"/>
        <v>97.086772493613708</v>
      </c>
      <c r="AV517" s="225"/>
      <c r="AX517">
        <f t="shared" si="311"/>
        <v>0</v>
      </c>
      <c r="AY517">
        <f t="shared" si="312"/>
        <v>0</v>
      </c>
    </row>
    <row r="518" spans="14:51" x14ac:dyDescent="0.3">
      <c r="N518" s="170">
        <v>100</v>
      </c>
      <c r="O518" s="199">
        <f t="shared" si="313"/>
        <v>1000000</v>
      </c>
      <c r="P518" s="189" t="str">
        <f t="shared" si="279"/>
        <v>20.7142857142857</v>
      </c>
      <c r="Q518" s="160" t="str">
        <f t="shared" si="280"/>
        <v>1+1436.15664164105i</v>
      </c>
      <c r="R518" s="160">
        <f t="shared" si="288"/>
        <v>1436.1569897924458</v>
      </c>
      <c r="S518" s="160">
        <f t="shared" si="289"/>
        <v>1.5701000240314009</v>
      </c>
      <c r="T518" s="160" t="str">
        <f t="shared" si="281"/>
        <v>1+0.125663706143592i</v>
      </c>
      <c r="U518" s="160">
        <f t="shared" si="290"/>
        <v>1.0078647563248468</v>
      </c>
      <c r="V518" s="160">
        <f t="shared" si="291"/>
        <v>0.12500843635595246</v>
      </c>
      <c r="W518" s="98" t="str">
        <f t="shared" si="282"/>
        <v>1-32.9867228626928i</v>
      </c>
      <c r="X518" s="160">
        <f t="shared" si="292"/>
        <v>33.001876995408914</v>
      </c>
      <c r="Y518" s="160">
        <f t="shared" si="293"/>
        <v>-1.5404903811179178</v>
      </c>
      <c r="Z518" s="98" t="str">
        <f t="shared" si="283"/>
        <v>-82.401096724422-2.46137508396038i</v>
      </c>
      <c r="AA518" s="160">
        <f t="shared" si="294"/>
        <v>82.43784997615775</v>
      </c>
      <c r="AB518" s="160">
        <f t="shared" si="295"/>
        <v>-3.1117308736583822</v>
      </c>
      <c r="AC518" s="171" t="str">
        <f t="shared" si="296"/>
        <v>0.0057732119583098+0.000732172312009095i</v>
      </c>
      <c r="AD518" s="190">
        <f t="shared" si="297"/>
        <v>-44.702354212940207</v>
      </c>
      <c r="AE518" s="169">
        <f t="shared" si="298"/>
        <v>7.2277998389627331</v>
      </c>
      <c r="AF518" s="98" t="str">
        <f t="shared" si="284"/>
        <v>-0.0000897803247373448</v>
      </c>
      <c r="AG518" s="98" t="str">
        <f t="shared" si="285"/>
        <v>12.5663706143592i</v>
      </c>
      <c r="AH518" s="98">
        <f t="shared" si="299"/>
        <v>12.566370614359201</v>
      </c>
      <c r="AI518" s="98">
        <f t="shared" si="300"/>
        <v>1.5707963267948966</v>
      </c>
      <c r="AJ518" s="98" t="str">
        <f t="shared" si="286"/>
        <v>1+1476.5485471872i</v>
      </c>
      <c r="AK518" s="98">
        <f t="shared" si="301"/>
        <v>1476.5488858146998</v>
      </c>
      <c r="AL518" s="98">
        <f t="shared" si="302"/>
        <v>1.5701190718214564</v>
      </c>
      <c r="AM518" s="98" t="str">
        <f t="shared" si="287"/>
        <v>1+2953.09709437441i</v>
      </c>
      <c r="AN518" s="98">
        <f t="shared" si="303"/>
        <v>2953.0972636881747</v>
      </c>
      <c r="AO518" s="98">
        <f t="shared" si="304"/>
        <v>1.5704576992693466</v>
      </c>
      <c r="AP518" s="168" t="str">
        <f t="shared" si="305"/>
        <v>-4.83864074350156E-09+0.00001428897919735i</v>
      </c>
      <c r="AQ518" s="98">
        <f t="shared" si="306"/>
        <v>-96.899975422743069</v>
      </c>
      <c r="AR518" s="169">
        <f t="shared" si="307"/>
        <v>90.019401923591388</v>
      </c>
      <c r="AS518" s="168" t="str">
        <f t="shared" si="308"/>
        <v>-1.0489929433776E-08+8.24897628554008E-08i</v>
      </c>
      <c r="AT518" s="190">
        <f t="shared" si="309"/>
        <v>-141.60232963568328</v>
      </c>
      <c r="AU518" s="169">
        <f t="shared" si="310"/>
        <v>97.247201762554155</v>
      </c>
      <c r="AV518" s="225"/>
      <c r="AX518">
        <f t="shared" si="311"/>
        <v>0</v>
      </c>
      <c r="AY518">
        <f t="shared" si="312"/>
        <v>0</v>
      </c>
    </row>
    <row r="519" spans="14:51" x14ac:dyDescent="0.3">
      <c r="N519" s="170">
        <v>1</v>
      </c>
      <c r="O519" s="199">
        <f>10^(6+(N519/100))</f>
        <v>1023292.9922807553</v>
      </c>
      <c r="P519" s="189" t="str">
        <f t="shared" si="279"/>
        <v>20.7142857142857</v>
      </c>
      <c r="Q519" s="160" t="str">
        <f t="shared" si="280"/>
        <v>1+1469.60902720875i</v>
      </c>
      <c r="R519" s="160">
        <f t="shared" si="288"/>
        <v>1469.6093674352542</v>
      </c>
      <c r="S519" s="160">
        <f t="shared" si="289"/>
        <v>1.5701158738124048</v>
      </c>
      <c r="T519" s="160" t="str">
        <f t="shared" si="281"/>
        <v>1+0.128590789880766i</v>
      </c>
      <c r="U519" s="160">
        <f t="shared" si="290"/>
        <v>1.0082338970904319</v>
      </c>
      <c r="V519" s="160">
        <f t="shared" si="291"/>
        <v>0.12788896497305366</v>
      </c>
      <c r="W519" s="98" t="str">
        <f t="shared" si="282"/>
        <v>1-33.7550823437009i</v>
      </c>
      <c r="X519" s="160">
        <f t="shared" si="292"/>
        <v>33.769891679275908</v>
      </c>
      <c r="Y519" s="160">
        <f t="shared" si="293"/>
        <v>-1.54117982064697</v>
      </c>
      <c r="Z519" s="98" t="str">
        <f t="shared" si="283"/>
        <v>-86.3316693188968-2.51870787479111i</v>
      </c>
      <c r="AA519" s="160">
        <f t="shared" si="294"/>
        <v>86.368402884074925</v>
      </c>
      <c r="AB519" s="160">
        <f t="shared" si="295"/>
        <v>-3.1124261421019868</v>
      </c>
      <c r="AC519" s="171" t="str">
        <f t="shared" si="296"/>
        <v>0.00551035293589682+0.00071491372827795i</v>
      </c>
      <c r="AD519" s="190">
        <f t="shared" si="297"/>
        <v>-45.103917520622005</v>
      </c>
      <c r="AE519" s="169">
        <f t="shared" si="298"/>
        <v>7.3922678181345667</v>
      </c>
      <c r="AF519" s="98" t="str">
        <f t="shared" si="284"/>
        <v>-0.0000897803247373448</v>
      </c>
      <c r="AG519" s="98" t="str">
        <f t="shared" si="285"/>
        <v>12.8590789880766i</v>
      </c>
      <c r="AH519" s="98">
        <f t="shared" si="299"/>
        <v>12.8590789880766</v>
      </c>
      <c r="AI519" s="98">
        <f t="shared" si="300"/>
        <v>1.5707963267948966</v>
      </c>
      <c r="AJ519" s="98" t="str">
        <f t="shared" si="286"/>
        <v>1+1510.941781099i</v>
      </c>
      <c r="AK519" s="98">
        <f t="shared" si="301"/>
        <v>1510.9421120183983</v>
      </c>
      <c r="AL519" s="98">
        <f t="shared" si="302"/>
        <v>1.570134488022219</v>
      </c>
      <c r="AM519" s="98" t="str">
        <f t="shared" si="287"/>
        <v>1+3021.883562198i</v>
      </c>
      <c r="AN519" s="98">
        <f t="shared" si="303"/>
        <v>3021.8837276577128</v>
      </c>
      <c r="AO519" s="98">
        <f t="shared" si="304"/>
        <v>1.5704654073723197</v>
      </c>
      <c r="AP519" s="168" t="str">
        <f t="shared" si="305"/>
        <v>-4.62086613185711E-09+0.0000139637224652453i</v>
      </c>
      <c r="AQ519" s="98">
        <f t="shared" si="306"/>
        <v>-97.099975355502167</v>
      </c>
      <c r="AR519" s="169">
        <f t="shared" si="307"/>
        <v>90.018960282119963</v>
      </c>
      <c r="AS519" s="168" t="str">
        <f t="shared" si="308"/>
        <v>-1.00083194915231E-08+7.69417355617786E-08i</v>
      </c>
      <c r="AT519" s="190">
        <f t="shared" si="309"/>
        <v>-142.20389287612417</v>
      </c>
      <c r="AU519" s="169">
        <f t="shared" si="310"/>
        <v>97.411228100254505</v>
      </c>
      <c r="AV519" s="225"/>
      <c r="AX519">
        <f t="shared" si="311"/>
        <v>0</v>
      </c>
      <c r="AY519">
        <f t="shared" si="312"/>
        <v>0</v>
      </c>
    </row>
    <row r="520" spans="14:51" x14ac:dyDescent="0.3">
      <c r="N520" s="170">
        <v>2</v>
      </c>
      <c r="O520" s="199">
        <f t="shared" ref="O520:O560" si="314">10^(6+(N520/100))</f>
        <v>1047128.5480509007</v>
      </c>
      <c r="P520" s="189" t="str">
        <f t="shared" si="279"/>
        <v>20.7142857142857</v>
      </c>
      <c r="Q520" s="160" t="str">
        <f t="shared" si="280"/>
        <v>1+1503.84061893525i</v>
      </c>
      <c r="R520" s="160">
        <f t="shared" si="288"/>
        <v>1503.8409514172552</v>
      </c>
      <c r="S520" s="160">
        <f t="shared" si="289"/>
        <v>1.5701313628086759</v>
      </c>
      <c r="T520" s="160" t="str">
        <f t="shared" si="281"/>
        <v>1+0.131586054156834i</v>
      </c>
      <c r="U520" s="160">
        <f t="shared" si="290"/>
        <v>1.008620290123377</v>
      </c>
      <c r="V520" s="160">
        <f t="shared" si="291"/>
        <v>0.13083438191002375</v>
      </c>
      <c r="W520" s="98" t="str">
        <f t="shared" si="282"/>
        <v>1-34.5413392161689i</v>
      </c>
      <c r="X520" s="160">
        <f t="shared" si="292"/>
        <v>34.555811592935385</v>
      </c>
      <c r="Y520" s="160">
        <f t="shared" si="293"/>
        <v>-1.541853593831219</v>
      </c>
      <c r="Z520" s="98" t="str">
        <f t="shared" si="283"/>
        <v>-90.4474840927576-2.57737611787609i</v>
      </c>
      <c r="AA520" s="160">
        <f t="shared" si="294"/>
        <v>90.484198876724534</v>
      </c>
      <c r="AB520" s="160">
        <f t="shared" si="295"/>
        <v>-3.1131045329635083</v>
      </c>
      <c r="AC520" s="171" t="str">
        <f t="shared" si="296"/>
        <v>0.00525959313180025+0.000698080466784157i</v>
      </c>
      <c r="AD520" s="190">
        <f t="shared" si="297"/>
        <v>-45.50511784939733</v>
      </c>
      <c r="AE520" s="169">
        <f t="shared" si="298"/>
        <v>7.5604048968329396</v>
      </c>
      <c r="AF520" s="98" t="str">
        <f t="shared" si="284"/>
        <v>-0.0000897803247373448</v>
      </c>
      <c r="AG520" s="98" t="str">
        <f t="shared" si="285"/>
        <v>13.1586054156834i</v>
      </c>
      <c r="AH520" s="98">
        <f t="shared" si="299"/>
        <v>13.1586054156834</v>
      </c>
      <c r="AI520" s="98">
        <f t="shared" si="300"/>
        <v>1.5707963267948966</v>
      </c>
      <c r="AJ520" s="98" t="str">
        <f t="shared" si="286"/>
        <v>1+1546.1361363428i</v>
      </c>
      <c r="AK520" s="98">
        <f t="shared" si="301"/>
        <v>1546.1364597295546</v>
      </c>
      <c r="AL520" s="98">
        <f t="shared" si="302"/>
        <v>1.5701495533077141</v>
      </c>
      <c r="AM520" s="98" t="str">
        <f t="shared" si="287"/>
        <v>1+3092.27227268561i</v>
      </c>
      <c r="AN520" s="98">
        <f t="shared" si="303"/>
        <v>3092.2724343789996</v>
      </c>
      <c r="AO520" s="98">
        <f t="shared" si="304"/>
        <v>1.5704729400174859</v>
      </c>
      <c r="AP520" s="168" t="str">
        <f t="shared" si="305"/>
        <v>-4.41289298391967E-09+0.0000136458694706462i</v>
      </c>
      <c r="AQ520" s="98">
        <f t="shared" si="306"/>
        <v>-97.299975291287467</v>
      </c>
      <c r="AR520" s="169">
        <f t="shared" si="307"/>
        <v>90.018528693620553</v>
      </c>
      <c r="AS520" s="168" t="str">
        <f t="shared" si="308"/>
        <v>-9.54912495137397E-09+7.17686407908594E-08i</v>
      </c>
      <c r="AT520" s="190">
        <f t="shared" si="309"/>
        <v>-142.80509314068479</v>
      </c>
      <c r="AU520" s="169">
        <f t="shared" si="310"/>
        <v>97.578933590453474</v>
      </c>
      <c r="AV520" s="225"/>
      <c r="AX520">
        <f t="shared" si="311"/>
        <v>0</v>
      </c>
      <c r="AY520">
        <f t="shared" si="312"/>
        <v>0</v>
      </c>
    </row>
    <row r="521" spans="14:51" x14ac:dyDescent="0.3">
      <c r="N521" s="170">
        <v>3</v>
      </c>
      <c r="O521" s="199">
        <f t="shared" si="314"/>
        <v>1071519.3052376076</v>
      </c>
      <c r="P521" s="189" t="str">
        <f t="shared" si="279"/>
        <v>20.7142857142857</v>
      </c>
      <c r="Q521" s="160" t="str">
        <f t="shared" si="280"/>
        <v>1+1538.86956686359i</v>
      </c>
      <c r="R521" s="160">
        <f t="shared" si="288"/>
        <v>1538.8698917773827</v>
      </c>
      <c r="S521" s="160">
        <f t="shared" si="289"/>
        <v>1.5701464992326559</v>
      </c>
      <c r="T521" s="160" t="str">
        <f t="shared" si="281"/>
        <v>1+0.134651087100564i</v>
      </c>
      <c r="U521" s="160">
        <f t="shared" si="290"/>
        <v>1.0090247347103853</v>
      </c>
      <c r="V521" s="160">
        <f t="shared" si="291"/>
        <v>0.13384604433407749</v>
      </c>
      <c r="W521" s="98" t="str">
        <f t="shared" si="282"/>
        <v>1-35.345910363898i</v>
      </c>
      <c r="X521" s="160">
        <f t="shared" si="292"/>
        <v>35.360053442447054</v>
      </c>
      <c r="Y521" s="160">
        <f t="shared" si="293"/>
        <v>-1.5425120554657414</v>
      </c>
      <c r="Z521" s="98" t="str">
        <f t="shared" si="283"/>
        <v>-94.7572712409568-2.63741091989438i</v>
      </c>
      <c r="AA521" s="160">
        <f t="shared" si="294"/>
        <v>94.793968106587016</v>
      </c>
      <c r="AB521" s="160">
        <f t="shared" si="295"/>
        <v>-3.1137665022124557</v>
      </c>
      <c r="AC521" s="171" t="str">
        <f t="shared" si="296"/>
        <v>0.00502036399990827+0.00068166146693663i</v>
      </c>
      <c r="AD521" s="190">
        <f t="shared" si="297"/>
        <v>-45.90595837339356</v>
      </c>
      <c r="AE521" s="169">
        <f t="shared" si="298"/>
        <v>7.7322941613410459</v>
      </c>
      <c r="AF521" s="98" t="str">
        <f t="shared" si="284"/>
        <v>-0.0000897803247373448</v>
      </c>
      <c r="AG521" s="98" t="str">
        <f t="shared" si="285"/>
        <v>13.4651087100564i</v>
      </c>
      <c r="AH521" s="98">
        <f t="shared" si="299"/>
        <v>13.4651087100564</v>
      </c>
      <c r="AI521" s="98">
        <f t="shared" si="300"/>
        <v>1.5707963267948966</v>
      </c>
      <c r="AJ521" s="98" t="str">
        <f t="shared" si="286"/>
        <v>1+1582.15027343163i</v>
      </c>
      <c r="AK521" s="98">
        <f t="shared" si="301"/>
        <v>1582.1505894572051</v>
      </c>
      <c r="AL521" s="98">
        <f t="shared" si="302"/>
        <v>1.5701642756657279</v>
      </c>
      <c r="AM521" s="98" t="str">
        <f t="shared" si="287"/>
        <v>1+3164.30054686327i</v>
      </c>
      <c r="AN521" s="98">
        <f t="shared" si="303"/>
        <v>3164.3007048760696</v>
      </c>
      <c r="AO521" s="98">
        <f t="shared" si="304"/>
        <v>1.57048030119875</v>
      </c>
      <c r="AP521" s="168" t="str">
        <f t="shared" si="305"/>
        <v>-4.21428016189287E-09+0.0000133352516845535i</v>
      </c>
      <c r="AQ521" s="98">
        <f t="shared" si="306"/>
        <v>-97.499975229962985</v>
      </c>
      <c r="AR521" s="169">
        <f t="shared" si="307"/>
        <v>90.01810692926054</v>
      </c>
      <c r="AS521" s="168" t="str">
        <f t="shared" si="308"/>
        <v>-9.1112844456722E-09+6.69449447744513E-08i</v>
      </c>
      <c r="AT521" s="190">
        <f t="shared" si="309"/>
        <v>-143.40593360335652</v>
      </c>
      <c r="AU521" s="169">
        <f t="shared" si="310"/>
        <v>97.750401090601585</v>
      </c>
      <c r="AV521" s="225"/>
      <c r="AX521">
        <f t="shared" si="311"/>
        <v>0</v>
      </c>
      <c r="AY521">
        <f t="shared" si="312"/>
        <v>0</v>
      </c>
    </row>
    <row r="522" spans="14:51" x14ac:dyDescent="0.3">
      <c r="N522" s="170">
        <v>4</v>
      </c>
      <c r="O522" s="199">
        <f t="shared" si="314"/>
        <v>1096478.196143186</v>
      </c>
      <c r="P522" s="189" t="str">
        <f t="shared" si="279"/>
        <v>20.7142857142857</v>
      </c>
      <c r="Q522" s="160" t="str">
        <f t="shared" si="280"/>
        <v>1+1574.71444380563i</v>
      </c>
      <c r="R522" s="160">
        <f t="shared" si="288"/>
        <v>1574.7147613234833</v>
      </c>
      <c r="S522" s="160">
        <f t="shared" si="289"/>
        <v>1.570161291109849</v>
      </c>
      <c r="T522" s="160" t="str">
        <f t="shared" si="281"/>
        <v>1+0.137787513832993i</v>
      </c>
      <c r="U522" s="160">
        <f t="shared" si="290"/>
        <v>1.0094480665038086</v>
      </c>
      <c r="V522" s="160">
        <f t="shared" si="291"/>
        <v>0.13692533042398056</v>
      </c>
      <c r="W522" s="98" t="str">
        <f t="shared" si="282"/>
        <v>1-36.1692223811605i</v>
      </c>
      <c r="X522" s="160">
        <f t="shared" si="292"/>
        <v>36.183043648342263</v>
      </c>
      <c r="Y522" s="160">
        <f t="shared" si="293"/>
        <v>-1.5431555523903817</v>
      </c>
      <c r="Z522" s="98" t="str">
        <f t="shared" si="283"/>
        <v>-99.270172399859-2.69884411209266i</v>
      </c>
      <c r="AA522" s="160">
        <f t="shared" si="294"/>
        <v>99.306852169621735</v>
      </c>
      <c r="AB522" s="160">
        <f t="shared" si="295"/>
        <v>-3.1144124904689794</v>
      </c>
      <c r="AC522" s="171" t="str">
        <f t="shared" si="296"/>
        <v>0.00479212474044013+0.000665645923266276i</v>
      </c>
      <c r="AD522" s="190">
        <f t="shared" si="297"/>
        <v>-46.306441511547085</v>
      </c>
      <c r="AE522" s="169">
        <f t="shared" si="298"/>
        <v>7.9080194888739674</v>
      </c>
      <c r="AF522" s="98" t="str">
        <f t="shared" si="284"/>
        <v>-0.0000897803247373448</v>
      </c>
      <c r="AG522" s="98" t="str">
        <f t="shared" si="285"/>
        <v>13.7787513832993i</v>
      </c>
      <c r="AH522" s="98">
        <f t="shared" si="299"/>
        <v>13.7787513832993</v>
      </c>
      <c r="AI522" s="98">
        <f t="shared" si="300"/>
        <v>1.5707963267948966</v>
      </c>
      <c r="AJ522" s="98" t="str">
        <f t="shared" si="286"/>
        <v>1+1619.00328753767i</v>
      </c>
      <c r="AK522" s="98">
        <f t="shared" si="301"/>
        <v>1619.0035963696264</v>
      </c>
      <c r="AL522" s="98">
        <f t="shared" si="302"/>
        <v>1.5701786629022239</v>
      </c>
      <c r="AM522" s="98" t="str">
        <f t="shared" si="287"/>
        <v>1+3238.00657507534i</v>
      </c>
      <c r="AN522" s="98">
        <f t="shared" si="303"/>
        <v>3238.0067294913288</v>
      </c>
      <c r="AO522" s="98">
        <f t="shared" si="304"/>
        <v>1.5704874948191048</v>
      </c>
      <c r="AP522" s="168" t="str">
        <f t="shared" si="305"/>
        <v>-4.02460638238709E-09+0.000013031704414114i</v>
      </c>
      <c r="AQ522" s="98">
        <f t="shared" si="306"/>
        <v>-97.699975171398563</v>
      </c>
      <c r="AR522" s="169">
        <f t="shared" si="307"/>
        <v>90.017694765416195</v>
      </c>
      <c r="AS522" s="168" t="str">
        <f t="shared" si="308"/>
        <v>-8.69378733228169E-09+6.24468741701474E-08i</v>
      </c>
      <c r="AT522" s="190">
        <f t="shared" si="309"/>
        <v>-144.00641668294566</v>
      </c>
      <c r="AU522" s="169">
        <f t="shared" si="310"/>
        <v>97.92571425429017</v>
      </c>
      <c r="AV522" s="225"/>
      <c r="AX522">
        <f t="shared" si="311"/>
        <v>0</v>
      </c>
      <c r="AY522">
        <f t="shared" si="312"/>
        <v>0</v>
      </c>
    </row>
    <row r="523" spans="14:51" x14ac:dyDescent="0.3">
      <c r="N523" s="170">
        <v>5</v>
      </c>
      <c r="O523" s="199">
        <f t="shared" si="314"/>
        <v>1122018.4543019643</v>
      </c>
      <c r="P523" s="189" t="str">
        <f t="shared" si="279"/>
        <v>20.7142857142857</v>
      </c>
      <c r="Q523" s="160" t="str">
        <f t="shared" si="280"/>
        <v>1+1611.39425518959i</v>
      </c>
      <c r="R523" s="160">
        <f t="shared" si="288"/>
        <v>1611.3945654798558</v>
      </c>
      <c r="S523" s="160">
        <f t="shared" si="289"/>
        <v>1.5701757462830783</v>
      </c>
      <c r="T523" s="160" t="str">
        <f t="shared" si="281"/>
        <v>1+0.140996997329089i</v>
      </c>
      <c r="U523" s="160">
        <f t="shared" si="290"/>
        <v>1.0098911591136042</v>
      </c>
      <c r="V523" s="160">
        <f t="shared" si="291"/>
        <v>0.14007363915247104</v>
      </c>
      <c r="W523" s="98" t="str">
        <f t="shared" si="282"/>
        <v>1-37.0117117988858i</v>
      </c>
      <c r="X523" s="160">
        <f t="shared" si="292"/>
        <v>37.025218571721922</v>
      </c>
      <c r="Y523" s="160">
        <f t="shared" si="293"/>
        <v>-1.5437844236627905</v>
      </c>
      <c r="Z523" s="98" t="str">
        <f t="shared" si="283"/>
        <v>-103.995760037878-2.76170826716259i</v>
      </c>
      <c r="AA523" s="160">
        <f t="shared" si="294"/>
        <v>104.03242349579682</v>
      </c>
      <c r="AB523" s="160">
        <f t="shared" si="295"/>
        <v>-3.1150429237048631</v>
      </c>
      <c r="AC523" s="171" t="str">
        <f t="shared" si="296"/>
        <v>0.00457436085521839+0.000650023289495059i</v>
      </c>
      <c r="AD523" s="190">
        <f t="shared" si="297"/>
        <v>-46.706568938010719</v>
      </c>
      <c r="AE523" s="169">
        <f t="shared" si="298"/>
        <v>8.0876655651173497</v>
      </c>
      <c r="AF523" s="98" t="str">
        <f t="shared" si="284"/>
        <v>-0.0000897803247373448</v>
      </c>
      <c r="AG523" s="98" t="str">
        <f t="shared" si="285"/>
        <v>14.0996997329089i</v>
      </c>
      <c r="AH523" s="98">
        <f t="shared" si="299"/>
        <v>14.099699732908901</v>
      </c>
      <c r="AI523" s="98">
        <f t="shared" si="300"/>
        <v>1.5707963267948966</v>
      </c>
      <c r="AJ523" s="98" t="str">
        <f t="shared" si="286"/>
        <v>1+1656.7147186168i</v>
      </c>
      <c r="AK523" s="98">
        <f t="shared" si="301"/>
        <v>1656.715020418884</v>
      </c>
      <c r="AL523" s="98">
        <f t="shared" si="302"/>
        <v>1.5701927226454817</v>
      </c>
      <c r="AM523" s="98" t="str">
        <f t="shared" si="287"/>
        <v>1+3313.4294372336i</v>
      </c>
      <c r="AN523" s="98">
        <f t="shared" si="303"/>
        <v>3313.429588134652</v>
      </c>
      <c r="AO523" s="98">
        <f t="shared" si="304"/>
        <v>1.5704945246926996</v>
      </c>
      <c r="AP523" s="168" t="str">
        <f t="shared" si="305"/>
        <v>-3.84346932282938E-09+0.0000127350667153014i</v>
      </c>
      <c r="AQ523" s="98">
        <f t="shared" si="306"/>
        <v>-97.899975115469985</v>
      </c>
      <c r="AR523" s="169">
        <f t="shared" si="307"/>
        <v>90.017291983553989</v>
      </c>
      <c r="AS523" s="168" t="str">
        <f t="shared" si="308"/>
        <v>-8.29567137383784E-09+5.82522923264971E-08i</v>
      </c>
      <c r="AT523" s="190">
        <f t="shared" si="309"/>
        <v>-144.60654405348069</v>
      </c>
      <c r="AU523" s="169">
        <f t="shared" si="310"/>
        <v>98.104957548671337</v>
      </c>
      <c r="AV523" s="225"/>
      <c r="AX523">
        <f t="shared" si="311"/>
        <v>0</v>
      </c>
      <c r="AY523">
        <f t="shared" si="312"/>
        <v>0</v>
      </c>
    </row>
    <row r="524" spans="14:51" x14ac:dyDescent="0.3">
      <c r="N524" s="170">
        <v>6</v>
      </c>
      <c r="O524" s="199">
        <f t="shared" si="314"/>
        <v>1148153.6214968837</v>
      </c>
      <c r="P524" s="189" t="str">
        <f t="shared" si="279"/>
        <v>20.7142857142857</v>
      </c>
      <c r="Q524" s="160" t="str">
        <f t="shared" si="280"/>
        <v>1+1648.92844913697i</v>
      </c>
      <c r="R524" s="160">
        <f t="shared" si="288"/>
        <v>1648.9287523641683</v>
      </c>
      <c r="S524" s="160">
        <f t="shared" si="289"/>
        <v>1.5701898724166441</v>
      </c>
      <c r="T524" s="160" t="str">
        <f t="shared" si="281"/>
        <v>1+0.144281239299485i</v>
      </c>
      <c r="U524" s="160">
        <f t="shared" si="290"/>
        <v>1.0103549257631179</v>
      </c>
      <c r="V524" s="160">
        <f t="shared" si="291"/>
        <v>0.14329239001901545</v>
      </c>
      <c r="W524" s="98" t="str">
        <f t="shared" si="282"/>
        <v>1-37.8738253161147i</v>
      </c>
      <c r="X524" s="160">
        <f t="shared" si="292"/>
        <v>37.887024745624601</v>
      </c>
      <c r="Y524" s="160">
        <f t="shared" si="293"/>
        <v>-1.5443990007280577</v>
      </c>
      <c r="Z524" s="98" t="str">
        <f t="shared" si="283"/>
        <v>-108.944057759964-2.8260367165113i</v>
      </c>
      <c r="AA524" s="160">
        <f t="shared" si="294"/>
        <v>108.9807056534754</v>
      </c>
      <c r="AB524" s="160">
        <f t="shared" si="295"/>
        <v>-3.1156582139028641</v>
      </c>
      <c r="AC524" s="171" t="str">
        <f t="shared" si="296"/>
        <v>0.00436658278600724+0.000634783280685533i</v>
      </c>
      <c r="AD524" s="190">
        <f t="shared" si="297"/>
        <v>-47.106341591059035</v>
      </c>
      <c r="AE524" s="169">
        <f t="shared" si="298"/>
        <v>8.2713178967361287</v>
      </c>
      <c r="AF524" s="98" t="str">
        <f t="shared" si="284"/>
        <v>-0.0000897803247373448</v>
      </c>
      <c r="AG524" s="98" t="str">
        <f t="shared" si="285"/>
        <v>14.4281239299485i</v>
      </c>
      <c r="AH524" s="98">
        <f t="shared" si="299"/>
        <v>14.4281239299485</v>
      </c>
      <c r="AI524" s="98">
        <f t="shared" si="300"/>
        <v>1.5707963267948966</v>
      </c>
      <c r="AJ524" s="98" t="str">
        <f t="shared" si="286"/>
        <v>1+1695.30456176895i</v>
      </c>
      <c r="AK524" s="98">
        <f t="shared" si="301"/>
        <v>1695.3048567011808</v>
      </c>
      <c r="AL524" s="98">
        <f t="shared" si="302"/>
        <v>1.5702064623501408</v>
      </c>
      <c r="AM524" s="98" t="str">
        <f t="shared" si="287"/>
        <v>1+3390.60912353791i</v>
      </c>
      <c r="AN524" s="98">
        <f t="shared" si="303"/>
        <v>3390.6092710040352</v>
      </c>
      <c r="AO524" s="98">
        <f t="shared" si="304"/>
        <v>1.570501394546864</v>
      </c>
      <c r="AP524" s="168" t="str">
        <f t="shared" si="305"/>
        <v>-3.67048476809119E-09+0.0000124451813075855i</v>
      </c>
      <c r="AQ524" s="98">
        <f t="shared" si="306"/>
        <v>-98.099975062058533</v>
      </c>
      <c r="AR524" s="169">
        <f t="shared" si="307"/>
        <v>90.01689837011476</v>
      </c>
      <c r="AS524" s="168" t="str">
        <f t="shared" si="308"/>
        <v>-7.91602049476004E-09+5.43405845040791E-08i</v>
      </c>
      <c r="AT524" s="190">
        <f t="shared" si="309"/>
        <v>-145.20631665311757</v>
      </c>
      <c r="AU524" s="169">
        <f t="shared" si="310"/>
        <v>98.288216266850895</v>
      </c>
      <c r="AV524" s="225"/>
      <c r="AX524">
        <f t="shared" si="311"/>
        <v>0</v>
      </c>
      <c r="AY524">
        <f t="shared" si="312"/>
        <v>0</v>
      </c>
    </row>
    <row r="525" spans="14:51" x14ac:dyDescent="0.3">
      <c r="N525" s="170">
        <v>7</v>
      </c>
      <c r="O525" s="199">
        <f t="shared" si="314"/>
        <v>1174897.5549395324</v>
      </c>
      <c r="P525" s="189" t="str">
        <f t="shared" si="279"/>
        <v>20.7142857142857</v>
      </c>
      <c r="Q525" s="160" t="str">
        <f t="shared" si="280"/>
        <v>1+1687.33692677424i</v>
      </c>
      <c r="R525" s="160">
        <f t="shared" si="288"/>
        <v>1687.3372230991461</v>
      </c>
      <c r="S525" s="160">
        <f t="shared" si="289"/>
        <v>1.5702036770003864</v>
      </c>
      <c r="T525" s="160" t="str">
        <f t="shared" si="281"/>
        <v>1+0.147641981092746i</v>
      </c>
      <c r="U525" s="160">
        <f t="shared" si="290"/>
        <v>1.010840321010688</v>
      </c>
      <c r="V525" s="160">
        <f t="shared" si="291"/>
        <v>0.14658302272922685</v>
      </c>
      <c r="W525" s="98" t="str">
        <f t="shared" si="282"/>
        <v>1-38.7560200368457i</v>
      </c>
      <c r="X525" s="160">
        <f t="shared" si="292"/>
        <v>38.768919111788314</v>
      </c>
      <c r="Y525" s="160">
        <f t="shared" si="293"/>
        <v>-1.5449996075849846</v>
      </c>
      <c r="Z525" s="98" t="str">
        <f t="shared" si="283"/>
        <v>-114.125561569016-2.89186356793413i</v>
      </c>
      <c r="AA525" s="160">
        <f t="shared" si="294"/>
        <v>114.16219461073271</v>
      </c>
      <c r="AB525" s="160">
        <f t="shared" si="295"/>
        <v>-3.1162587596773212</v>
      </c>
      <c r="AC525" s="171" t="str">
        <f t="shared" si="296"/>
        <v>0.0041683246304843+0.00061991587377387i</v>
      </c>
      <c r="AD525" s="190">
        <f t="shared" si="297"/>
        <v>-47.505759680554149</v>
      </c>
      <c r="AE525" s="169">
        <f t="shared" si="298"/>
        <v>8.4590628188048953</v>
      </c>
      <c r="AF525" s="98" t="str">
        <f t="shared" si="284"/>
        <v>-0.0000897803247373448</v>
      </c>
      <c r="AG525" s="98" t="str">
        <f t="shared" si="285"/>
        <v>14.7641981092746i</v>
      </c>
      <c r="AH525" s="98">
        <f t="shared" si="299"/>
        <v>14.7641981092746</v>
      </c>
      <c r="AI525" s="98">
        <f t="shared" si="300"/>
        <v>1.5707963267948966</v>
      </c>
      <c r="AJ525" s="98" t="str">
        <f t="shared" si="286"/>
        <v>1+1734.79327783976i</v>
      </c>
      <c r="AK525" s="98">
        <f t="shared" si="301"/>
        <v>1734.7935660585147</v>
      </c>
      <c r="AL525" s="98">
        <f t="shared" si="302"/>
        <v>1.5702198893011536</v>
      </c>
      <c r="AM525" s="98" t="str">
        <f t="shared" si="287"/>
        <v>1+3469.58655567953i</v>
      </c>
      <c r="AN525" s="98">
        <f t="shared" si="303"/>
        <v>3469.5866997889166</v>
      </c>
      <c r="AO525" s="98">
        <f t="shared" si="304"/>
        <v>1.5705081080240828</v>
      </c>
      <c r="AP525" s="168" t="str">
        <f t="shared" si="305"/>
        <v>-3.50528579552401E-09+0.0000121618944905429i</v>
      </c>
      <c r="AQ525" s="98">
        <f t="shared" si="306"/>
        <v>-98.29997501105106</v>
      </c>
      <c r="AR525" s="169">
        <f t="shared" si="307"/>
        <v>90.016513716400482</v>
      </c>
      <c r="AS525" s="168" t="str">
        <f t="shared" si="308"/>
        <v>-7.55396261896889E-09+5.06925513759745E-08i</v>
      </c>
      <c r="AT525" s="190">
        <f t="shared" si="309"/>
        <v>-145.80573469160524</v>
      </c>
      <c r="AU525" s="169">
        <f t="shared" si="310"/>
        <v>98.475576535205391</v>
      </c>
      <c r="AV525" s="225"/>
      <c r="AX525">
        <f t="shared" si="311"/>
        <v>0</v>
      </c>
      <c r="AY525">
        <f t="shared" si="312"/>
        <v>0</v>
      </c>
    </row>
    <row r="526" spans="14:51" x14ac:dyDescent="0.3">
      <c r="N526" s="170">
        <v>8</v>
      </c>
      <c r="O526" s="199">
        <f t="shared" si="314"/>
        <v>1202264.4346174158</v>
      </c>
      <c r="P526" s="189" t="str">
        <f t="shared" si="279"/>
        <v>20.7142857142857</v>
      </c>
      <c r="Q526" s="160" t="str">
        <f t="shared" si="280"/>
        <v>1+1726.64005278462i</v>
      </c>
      <c r="R526" s="160">
        <f t="shared" si="288"/>
        <v>1726.6403423643487</v>
      </c>
      <c r="S526" s="160">
        <f t="shared" si="289"/>
        <v>1.5702171673536578</v>
      </c>
      <c r="T526" s="160" t="str">
        <f t="shared" si="281"/>
        <v>1+0.151081004618654i</v>
      </c>
      <c r="U526" s="160">
        <f t="shared" si="290"/>
        <v>1.0113483425390986</v>
      </c>
      <c r="V526" s="160">
        <f t="shared" si="291"/>
        <v>0.14994699681709764</v>
      </c>
      <c r="W526" s="98" t="str">
        <f t="shared" si="282"/>
        <v>1-39.6587637123967i</v>
      </c>
      <c r="X526" s="160">
        <f t="shared" si="292"/>
        <v>39.671369262929574</v>
      </c>
      <c r="Y526" s="160">
        <f t="shared" si="293"/>
        <v>-1.5455865609490351</v>
      </c>
      <c r="Z526" s="98" t="str">
        <f t="shared" si="283"/>
        <v>-119.551262129308-2.95922372369902i</v>
      </c>
      <c r="AA526" s="160">
        <f t="shared" si="294"/>
        <v>119.58788099869243</v>
      </c>
      <c r="AB526" s="160">
        <f t="shared" si="295"/>
        <v>-3.1168449468587194</v>
      </c>
      <c r="AC526" s="171" t="str">
        <f t="shared" si="296"/>
        <v>0.00397914293082219+0.000605411306749148i</v>
      </c>
      <c r="AD526" s="190">
        <f t="shared" si="297"/>
        <v>-47.904822694028653</v>
      </c>
      <c r="AE526" s="169">
        <f t="shared" si="298"/>
        <v>8.6509874970923342</v>
      </c>
      <c r="AF526" s="98" t="str">
        <f t="shared" si="284"/>
        <v>-0.0000897803247373448</v>
      </c>
      <c r="AG526" s="98" t="str">
        <f t="shared" si="285"/>
        <v>15.1081004618654i</v>
      </c>
      <c r="AH526" s="98">
        <f t="shared" si="299"/>
        <v>15.1081004618654</v>
      </c>
      <c r="AI526" s="98">
        <f t="shared" si="300"/>
        <v>1.5707963267948966</v>
      </c>
      <c r="AJ526" s="98" t="str">
        <f t="shared" si="286"/>
        <v>1+1775.20180426919i</v>
      </c>
      <c r="AK526" s="98">
        <f t="shared" si="301"/>
        <v>1775.2020859272859</v>
      </c>
      <c r="AL526" s="98">
        <f t="shared" si="302"/>
        <v>1.5702330106176485</v>
      </c>
      <c r="AM526" s="98" t="str">
        <f t="shared" si="287"/>
        <v>1+3550.40360853839i</v>
      </c>
      <c r="AN526" s="98">
        <f t="shared" si="303"/>
        <v>3550.4037493674464</v>
      </c>
      <c r="AO526" s="98">
        <f t="shared" si="304"/>
        <v>1.5705146686839282</v>
      </c>
      <c r="AP526" s="168" t="str">
        <f t="shared" si="305"/>
        <v>-3.34752199667414E-09+0.0000118850560623669i</v>
      </c>
      <c r="AQ526" s="98">
        <f t="shared" si="306"/>
        <v>-98.499974962339252</v>
      </c>
      <c r="AR526" s="169">
        <f t="shared" si="307"/>
        <v>90.016137818463648</v>
      </c>
      <c r="AS526" s="168" t="str">
        <f t="shared" si="308"/>
        <v>-7.20866758999327E-09+4.72903101853263E-08i</v>
      </c>
      <c r="AT526" s="190">
        <f t="shared" si="309"/>
        <v>-146.40479765636792</v>
      </c>
      <c r="AU526" s="169">
        <f t="shared" si="310"/>
        <v>98.667125315555978</v>
      </c>
      <c r="AV526" s="225"/>
      <c r="AX526">
        <f t="shared" si="311"/>
        <v>0</v>
      </c>
      <c r="AY526">
        <f t="shared" si="312"/>
        <v>0</v>
      </c>
    </row>
    <row r="527" spans="14:51" x14ac:dyDescent="0.3">
      <c r="N527" s="170">
        <v>9</v>
      </c>
      <c r="O527" s="199">
        <f t="shared" si="314"/>
        <v>1230268.770812382</v>
      </c>
      <c r="P527" s="189" t="str">
        <f t="shared" si="279"/>
        <v>20.7142857142857</v>
      </c>
      <c r="Q527" s="160" t="str">
        <f t="shared" si="280"/>
        <v>1+1766.85866620577i</v>
      </c>
      <c r="R527" s="160">
        <f t="shared" si="288"/>
        <v>1766.8589491938603</v>
      </c>
      <c r="S527" s="160">
        <f t="shared" si="289"/>
        <v>1.5702303506292019</v>
      </c>
      <c r="T527" s="160" t="str">
        <f t="shared" si="281"/>
        <v>1+0.154600133293005i</v>
      </c>
      <c r="U527" s="160">
        <f t="shared" si="290"/>
        <v>1.01188003301489</v>
      </c>
      <c r="V527" s="160">
        <f t="shared" si="291"/>
        <v>0.15338579120600168</v>
      </c>
      <c r="W527" s="98" t="str">
        <f t="shared" si="282"/>
        <v>1-40.5825349894137i</v>
      </c>
      <c r="X527" s="160">
        <f t="shared" si="292"/>
        <v>40.59485369067103</v>
      </c>
      <c r="Y527" s="160">
        <f t="shared" si="293"/>
        <v>-1.5461601704120154</v>
      </c>
      <c r="Z527" s="98" t="str">
        <f t="shared" si="283"/>
        <v>-125.232668079165-3.02815289905215i</v>
      </c>
      <c r="AA527" s="160">
        <f t="shared" si="294"/>
        <v>125.26927342411766</v>
      </c>
      <c r="AB527" s="160">
        <f t="shared" si="295"/>
        <v>-3.1174171490446874</v>
      </c>
      <c r="AC527" s="171" t="str">
        <f t="shared" si="296"/>
        <v>0.00379861553022688+0.000591260076705565i</v>
      </c>
      <c r="AD527" s="190">
        <f t="shared" si="297"/>
        <v>-48.303529401445289</v>
      </c>
      <c r="AE527" s="169">
        <f t="shared" si="298"/>
        <v>8.8471799251075396</v>
      </c>
      <c r="AF527" s="98" t="str">
        <f t="shared" si="284"/>
        <v>-0.0000897803247373448</v>
      </c>
      <c r="AG527" s="98" t="str">
        <f t="shared" si="285"/>
        <v>15.4600133293005i</v>
      </c>
      <c r="AH527" s="98">
        <f t="shared" si="299"/>
        <v>15.4600133293005</v>
      </c>
      <c r="AI527" s="98">
        <f t="shared" si="300"/>
        <v>1.5707963267948966</v>
      </c>
      <c r="AJ527" s="98" t="str">
        <f t="shared" si="286"/>
        <v>1+1816.55156619281i</v>
      </c>
      <c r="AK527" s="98">
        <f t="shared" si="301"/>
        <v>1816.5518414395858</v>
      </c>
      <c r="AL527" s="98">
        <f t="shared" si="302"/>
        <v>1.5702458332567024</v>
      </c>
      <c r="AM527" s="98" t="str">
        <f t="shared" si="287"/>
        <v>1+3633.10313238563i</v>
      </c>
      <c r="AN527" s="98">
        <f t="shared" si="303"/>
        <v>3633.1032700090254</v>
      </c>
      <c r="AO527" s="98">
        <f t="shared" si="304"/>
        <v>1.5705210800049467</v>
      </c>
      <c r="AP527" s="168" t="str">
        <f t="shared" si="305"/>
        <v>-3.19685873402496E-09+0.0000116145192402306i</v>
      </c>
      <c r="AQ527" s="98">
        <f t="shared" si="306"/>
        <v>-98.699974915819851</v>
      </c>
      <c r="AR527" s="169">
        <f t="shared" si="307"/>
        <v>90.01577047699908</v>
      </c>
      <c r="AS527" s="168" t="str">
        <f t="shared" si="308"/>
        <v>-6.87934517411201E-09+4.41172029871186E-08i</v>
      </c>
      <c r="AT527" s="190">
        <f t="shared" si="309"/>
        <v>-147.00350431726514</v>
      </c>
      <c r="AU527" s="169">
        <f t="shared" si="310"/>
        <v>98.86295040210662</v>
      </c>
      <c r="AV527" s="225"/>
      <c r="AX527">
        <f t="shared" si="311"/>
        <v>0</v>
      </c>
      <c r="AY527">
        <f t="shared" si="312"/>
        <v>0</v>
      </c>
    </row>
    <row r="528" spans="14:51" x14ac:dyDescent="0.3">
      <c r="N528" s="170">
        <v>10</v>
      </c>
      <c r="O528" s="199">
        <f t="shared" si="314"/>
        <v>1258925.4117941677</v>
      </c>
      <c r="P528" s="189" t="str">
        <f t="shared" si="279"/>
        <v>20.7142857142857</v>
      </c>
      <c r="Q528" s="160" t="str">
        <f t="shared" si="280"/>
        <v>1+1808.01409147888i</v>
      </c>
      <c r="R528" s="160">
        <f t="shared" si="288"/>
        <v>1808.0143680253759</v>
      </c>
      <c r="S528" s="160">
        <f t="shared" si="289"/>
        <v>1.5702432338169479</v>
      </c>
      <c r="T528" s="160" t="str">
        <f t="shared" si="281"/>
        <v>1+0.158201233004402i</v>
      </c>
      <c r="U528" s="160">
        <f t="shared" si="290"/>
        <v>1.0124364820195453</v>
      </c>
      <c r="V528" s="160">
        <f t="shared" si="291"/>
        <v>0.15690090370420545</v>
      </c>
      <c r="W528" s="98" t="str">
        <f t="shared" si="282"/>
        <v>1-41.5278236636555i</v>
      </c>
      <c r="X528" s="160">
        <f t="shared" si="292"/>
        <v>41.539862039246906</v>
      </c>
      <c r="Y528" s="160">
        <f t="shared" si="293"/>
        <v>-1.5467207385985229</v>
      </c>
      <c r="Z528" s="98" t="str">
        <f t="shared" si="283"/>
        <v>-131.181830442327-3.09868764115471i</v>
      </c>
      <c r="AA528" s="160">
        <f t="shared" si="294"/>
        <v>131.2184228806949</v>
      </c>
      <c r="AB528" s="160">
        <f t="shared" si="295"/>
        <v>-3.1179757281197209</v>
      </c>
      <c r="AC528" s="171" t="str">
        <f t="shared" si="296"/>
        <v>0.00362634049312434+0.000577452936963476i</v>
      </c>
      <c r="AD528" s="190">
        <f t="shared" si="297"/>
        <v>-48.701877858685449</v>
      </c>
      <c r="AE528" s="169">
        <f t="shared" si="298"/>
        <v>9.0477289157913106</v>
      </c>
      <c r="AF528" s="98" t="str">
        <f t="shared" si="284"/>
        <v>-0.0000897803247373448</v>
      </c>
      <c r="AG528" s="98" t="str">
        <f t="shared" si="285"/>
        <v>15.8201233004403i</v>
      </c>
      <c r="AH528" s="98">
        <f t="shared" si="299"/>
        <v>15.820123300440301</v>
      </c>
      <c r="AI528" s="98">
        <f t="shared" si="300"/>
        <v>1.5707963267948966</v>
      </c>
      <c r="AJ528" s="98" t="str">
        <f t="shared" si="286"/>
        <v>1+1858.86448780173i</v>
      </c>
      <c r="AK528" s="98">
        <f t="shared" si="301"/>
        <v>1858.8647567831254</v>
      </c>
      <c r="AL528" s="98">
        <f t="shared" si="302"/>
        <v>1.5702583640170318</v>
      </c>
      <c r="AM528" s="98" t="str">
        <f t="shared" si="287"/>
        <v>1+3717.72897560347i</v>
      </c>
      <c r="AN528" s="98">
        <f t="shared" si="303"/>
        <v>3717.7291100941752</v>
      </c>
      <c r="AO528" s="98">
        <f t="shared" si="304"/>
        <v>1.5705273453865032</v>
      </c>
      <c r="AP528" s="168" t="str">
        <f t="shared" si="305"/>
        <v>-3.05297643119179E-09+0.000011350140582464i</v>
      </c>
      <c r="AQ528" s="98">
        <f t="shared" si="306"/>
        <v>-98.899974871394249</v>
      </c>
      <c r="AR528" s="169">
        <f t="shared" si="307"/>
        <v>90.015411497238347</v>
      </c>
      <c r="AS528" s="168" t="str">
        <f t="shared" si="308"/>
        <v>-6.56524314634916E-09+4.11577114466364E-08i</v>
      </c>
      <c r="AT528" s="190">
        <f t="shared" si="309"/>
        <v>-147.60185273007971</v>
      </c>
      <c r="AU528" s="169">
        <f t="shared" si="310"/>
        <v>99.063140413029657</v>
      </c>
      <c r="AV528" s="225"/>
      <c r="AX528">
        <f t="shared" si="311"/>
        <v>0</v>
      </c>
      <c r="AY528">
        <f t="shared" si="312"/>
        <v>0</v>
      </c>
    </row>
    <row r="529" spans="14:51" x14ac:dyDescent="0.3">
      <c r="N529" s="170">
        <v>11</v>
      </c>
      <c r="O529" s="199">
        <f t="shared" si="314"/>
        <v>1288249.5516931366</v>
      </c>
      <c r="P529" s="189" t="str">
        <f t="shared" si="279"/>
        <v>20.7142857142857</v>
      </c>
      <c r="Q529" s="160" t="str">
        <f t="shared" si="280"/>
        <v>1+1850.1281497552i</v>
      </c>
      <c r="R529" s="160">
        <f t="shared" si="288"/>
        <v>1850.12842000673</v>
      </c>
      <c r="S529" s="160">
        <f t="shared" si="289"/>
        <v>1.5702558237477151</v>
      </c>
      <c r="T529" s="160" t="str">
        <f t="shared" si="281"/>
        <v>1+0.16188621310358i</v>
      </c>
      <c r="U529" s="160">
        <f t="shared" si="290"/>
        <v>1.0130188280545518</v>
      </c>
      <c r="V529" s="160">
        <f t="shared" si="291"/>
        <v>0.16049385043046566</v>
      </c>
      <c r="W529" s="98" t="str">
        <f t="shared" si="282"/>
        <v>1-42.4951309396896i</v>
      </c>
      <c r="X529" s="160">
        <f t="shared" si="292"/>
        <v>42.506895365121224</v>
      </c>
      <c r="Y529" s="160">
        <f t="shared" si="293"/>
        <v>-1.5472685613192136</v>
      </c>
      <c r="Z529" s="98" t="str">
        <f t="shared" si="283"/>
        <v>-137.411368189785-3.1708653484606i</v>
      </c>
      <c r="AA529" s="160">
        <f t="shared" si="294"/>
        <v>137.44794831079412</v>
      </c>
      <c r="AB529" s="160">
        <f t="shared" si="295"/>
        <v>-3.1185210347457528</v>
      </c>
      <c r="AC529" s="171" t="str">
        <f t="shared" si="296"/>
        <v>0.00346193508499806+0.000563980893428204i</v>
      </c>
      <c r="AD529" s="190">
        <f t="shared" si="297"/>
        <v>-49.099865409821213</v>
      </c>
      <c r="AE529" s="169">
        <f t="shared" si="298"/>
        <v>9.2527240877192565</v>
      </c>
      <c r="AF529" s="98" t="str">
        <f t="shared" si="284"/>
        <v>-0.0000897803247373448</v>
      </c>
      <c r="AG529" s="98" t="str">
        <f t="shared" si="285"/>
        <v>16.188621310358i</v>
      </c>
      <c r="AH529" s="98">
        <f t="shared" si="299"/>
        <v>16.188621310357998</v>
      </c>
      <c r="AI529" s="98">
        <f t="shared" si="300"/>
        <v>1.5707963267948966</v>
      </c>
      <c r="AJ529" s="98" t="str">
        <f t="shared" si="286"/>
        <v>1+1902.16300396707i</v>
      </c>
      <c r="AK529" s="98">
        <f t="shared" si="301"/>
        <v>1902.1632668257023</v>
      </c>
      <c r="AL529" s="98">
        <f t="shared" si="302"/>
        <v>1.5702706095425958</v>
      </c>
      <c r="AM529" s="98" t="str">
        <f t="shared" si="287"/>
        <v>1+3804.32600793414i</v>
      </c>
      <c r="AN529" s="98">
        <f t="shared" si="303"/>
        <v>3804.3261393634625</v>
      </c>
      <c r="AO529" s="98">
        <f t="shared" si="304"/>
        <v>1.570533468150584</v>
      </c>
      <c r="AP529" s="168" t="str">
        <f t="shared" si="305"/>
        <v>-2.91556989506257E-09+0.0000110917799125019i</v>
      </c>
      <c r="AQ529" s="98">
        <f t="shared" si="306"/>
        <v>-99.099974828968044</v>
      </c>
      <c r="AR529" s="169">
        <f t="shared" si="307"/>
        <v>90.015060688846404</v>
      </c>
      <c r="AS529" s="168" t="str">
        <f t="shared" si="308"/>
        <v>-6.26564545847431E-09+3.83973777084528E-08i</v>
      </c>
      <c r="AT529" s="190">
        <f t="shared" si="309"/>
        <v>-148.19984023878925</v>
      </c>
      <c r="AU529" s="169">
        <f t="shared" si="310"/>
        <v>99.267784776565648</v>
      </c>
      <c r="AV529" s="225"/>
      <c r="AX529">
        <f t="shared" si="311"/>
        <v>0</v>
      </c>
      <c r="AY529">
        <f t="shared" si="312"/>
        <v>0</v>
      </c>
    </row>
    <row r="530" spans="14:51" x14ac:dyDescent="0.3">
      <c r="N530" s="170">
        <v>12</v>
      </c>
      <c r="O530" s="199">
        <f t="shared" si="314"/>
        <v>1318256.7385564097</v>
      </c>
      <c r="P530" s="189" t="str">
        <f t="shared" si="279"/>
        <v>20.7142857142857</v>
      </c>
      <c r="Q530" s="160" t="str">
        <f t="shared" si="280"/>
        <v>1+1893.22317046586i</v>
      </c>
      <c r="R530" s="160">
        <f t="shared" si="288"/>
        <v>1893.223434565715</v>
      </c>
      <c r="S530" s="160">
        <f t="shared" si="289"/>
        <v>1.5702681270968359</v>
      </c>
      <c r="T530" s="160" t="str">
        <f t="shared" si="281"/>
        <v>1+0.165657027415762i</v>
      </c>
      <c r="U530" s="160">
        <f t="shared" si="290"/>
        <v>1.0136282606223184</v>
      </c>
      <c r="V530" s="160">
        <f t="shared" si="291"/>
        <v>0.16416616516504487</v>
      </c>
      <c r="W530" s="98" t="str">
        <f t="shared" si="282"/>
        <v>1-43.4849696966375i</v>
      </c>
      <c r="X530" s="160">
        <f t="shared" si="292"/>
        <v>43.496466402657141</v>
      </c>
      <c r="Y530" s="160">
        <f t="shared" si="293"/>
        <v>-1.5478039277209363</v>
      </c>
      <c r="Z530" s="98" t="str">
        <f t="shared" si="283"/>
        <v>-143.934495006308-3.24472429054561i</v>
      </c>
      <c r="AA530" s="160">
        <f t="shared" si="294"/>
        <v>143.971063371924</v>
      </c>
      <c r="AB530" s="160">
        <f t="shared" si="295"/>
        <v>-3.1190534088255193</v>
      </c>
      <c r="AC530" s="171" t="str">
        <f t="shared" si="296"/>
        <v>0.00330503480816855+0.000550835200331782i</v>
      </c>
      <c r="AD530" s="190">
        <f t="shared" si="297"/>
        <v>-49.497488688222944</v>
      </c>
      <c r="AE530" s="169">
        <f t="shared" si="298"/>
        <v>9.46225584565682</v>
      </c>
      <c r="AF530" s="98" t="str">
        <f t="shared" si="284"/>
        <v>-0.0000897803247373448</v>
      </c>
      <c r="AG530" s="98" t="str">
        <f t="shared" si="285"/>
        <v>16.5657027415762i</v>
      </c>
      <c r="AH530" s="98">
        <f t="shared" si="299"/>
        <v>16.565702741576199</v>
      </c>
      <c r="AI530" s="98">
        <f t="shared" si="300"/>
        <v>1.5707963267948966</v>
      </c>
      <c r="AJ530" s="98" t="str">
        <f t="shared" si="286"/>
        <v>1+1946.47007213521i</v>
      </c>
      <c r="AK530" s="98">
        <f t="shared" si="301"/>
        <v>1946.4703290104503</v>
      </c>
      <c r="AL530" s="98">
        <f t="shared" si="302"/>
        <v>1.5702825763261195</v>
      </c>
      <c r="AM530" s="98" t="str">
        <f t="shared" si="287"/>
        <v>1+3892.94014427043i</v>
      </c>
      <c r="AN530" s="98">
        <f t="shared" si="303"/>
        <v>3892.9402727080569</v>
      </c>
      <c r="AO530" s="98">
        <f t="shared" si="304"/>
        <v>1.5705394515435582</v>
      </c>
      <c r="AP530" s="168" t="str">
        <f t="shared" si="305"/>
        <v>-2.78434766844681E-09+0.0000108393002445624i</v>
      </c>
      <c r="AQ530" s="98">
        <f t="shared" si="306"/>
        <v>-99.299974788451294</v>
      </c>
      <c r="AR530" s="169">
        <f t="shared" si="307"/>
        <v>90.014717865820728</v>
      </c>
      <c r="AS530" s="168" t="str">
        <f t="shared" si="308"/>
        <v>-5.97987048763212E-09+3.58227308877629E-08i</v>
      </c>
      <c r="AT530" s="190">
        <f t="shared" si="309"/>
        <v>-148.79746347667424</v>
      </c>
      <c r="AU530" s="169">
        <f t="shared" si="310"/>
        <v>99.476973711477555</v>
      </c>
      <c r="AV530" s="225"/>
      <c r="AX530">
        <f t="shared" si="311"/>
        <v>0</v>
      </c>
      <c r="AY530">
        <f t="shared" si="312"/>
        <v>0</v>
      </c>
    </row>
    <row r="531" spans="14:51" x14ac:dyDescent="0.3">
      <c r="N531" s="170">
        <v>13</v>
      </c>
      <c r="O531" s="199">
        <f t="shared" si="314"/>
        <v>1348962.8825916562</v>
      </c>
      <c r="P531" s="189" t="str">
        <f t="shared" ref="P531:P560" si="315">COMPLEX(Adc,0)</f>
        <v>20.7142857142857</v>
      </c>
      <c r="Q531" s="160" t="str">
        <f t="shared" ref="Q531:Q560" si="316">IMSUM(COMPLEX(1,0),IMDIV(COMPLEX(0,2*PI()*O531),COMPLEX(wp_lf,0)))</f>
        <v>1+1937.32200316126i</v>
      </c>
      <c r="R531" s="160">
        <f t="shared" si="288"/>
        <v>1937.3222612494692</v>
      </c>
      <c r="S531" s="160">
        <f t="shared" si="289"/>
        <v>1.5702801503876935</v>
      </c>
      <c r="T531" s="160" t="str">
        <f t="shared" ref="T531:T560" si="317">IMSUM(COMPLEX(1,0),IMDIV(COMPLEX(0,2*PI()*O531),COMPLEX(wz_esr,0)))</f>
        <v>1+0.16951567527661i</v>
      </c>
      <c r="U531" s="160">
        <f t="shared" si="290"/>
        <v>1.0142660223848994</v>
      </c>
      <c r="V531" s="160">
        <f t="shared" si="291"/>
        <v>0.16791939862132602</v>
      </c>
      <c r="W531" s="98" t="str">
        <f t="shared" ref="W531:W560" si="318">IMSUB(COMPLEX(1,0),IMDIV(COMPLEX(0,2*PI()*O531),COMPLEX(wz_rhp,0)))</f>
        <v>1-44.4978647601101i</v>
      </c>
      <c r="X531" s="160">
        <f t="shared" si="292"/>
        <v>44.509099835977899</v>
      </c>
      <c r="Y531" s="160">
        <f t="shared" si="293"/>
        <v>-1.5483271204337787</v>
      </c>
      <c r="Z531" s="98" t="str">
        <f t="shared" ref="Z531:Z560" si="319">IF(Dc_Mode_Loop="CCM",IMSUM(COMPLEX(1,0),IMDIV(COMPLEX(0,2*PI()*O531),COMPLEX(Q*(wsl/2),0)),IMDIV(IMPOWER(COMPLEX(0,2*PI()*O531),2),IMPOWER(COMPLEX(wsl/2,0),2))),COMPLEX(1,0))</f>
        <v>-150.765047318445-3.32030362839846i</v>
      </c>
      <c r="AA531" s="160">
        <f t="shared" si="294"/>
        <v>150.80160446466647</v>
      </c>
      <c r="AB531" s="160">
        <f t="shared" si="295"/>
        <v>-3.1195731799405424</v>
      </c>
      <c r="AC531" s="171" t="str">
        <f t="shared" si="296"/>
        <v>0.00315529249006924+0.000538007355482654i</v>
      </c>
      <c r="AD531" s="190">
        <f t="shared" si="297"/>
        <v>-49.894743616554777</v>
      </c>
      <c r="AE531" s="169">
        <f t="shared" si="298"/>
        <v>9.676415355292793</v>
      </c>
      <c r="AF531" s="98" t="str">
        <f t="shared" ref="AF531:AF560" si="320">COMPLEX(Adc_ea,0)</f>
        <v>-0.0000897803247373448</v>
      </c>
      <c r="AG531" s="98" t="str">
        <f t="shared" ref="AG531:AG560" si="321">COMPLEX(0,2*PI()*O531*wp0_ea)</f>
        <v>16.951567527661i</v>
      </c>
      <c r="AH531" s="98">
        <f t="shared" si="299"/>
        <v>16.951567527660998</v>
      </c>
      <c r="AI531" s="98">
        <f t="shared" si="300"/>
        <v>1.5707963267948966</v>
      </c>
      <c r="AJ531" s="98" t="str">
        <f t="shared" ref="AJ531:AJ560" si="322">IMSUM(COMPLEX(1,0),IMDIV(COMPLEX(0,2*PI()*O531),COMPLEX(wp1_ea,0)))</f>
        <v>1+1991.80918450017i</v>
      </c>
      <c r="AK531" s="98">
        <f t="shared" si="301"/>
        <v>1991.8094355282162</v>
      </c>
      <c r="AL531" s="98">
        <f t="shared" si="302"/>
        <v>1.570294270712536</v>
      </c>
      <c r="AM531" s="98" t="str">
        <f t="shared" ref="AM531:AM560" si="323">IMSUM(COMPLEX(1,0),IMDIV(COMPLEX(0,2*PI()*O531),COMPLEX(wz_ea,0)))</f>
        <v>1+3983.61836900035i</v>
      </c>
      <c r="AN531" s="98">
        <f t="shared" si="303"/>
        <v>3983.6184945143787</v>
      </c>
      <c r="AO531" s="98">
        <f t="shared" si="304"/>
        <v>1.5705452987378978</v>
      </c>
      <c r="AP531" s="168" t="str">
        <f t="shared" si="305"/>
        <v>-2.65903141186005E-09+0.0000105925677110176i</v>
      </c>
      <c r="AQ531" s="98">
        <f t="shared" si="306"/>
        <v>-99.499974749758138</v>
      </c>
      <c r="AR531" s="169">
        <f t="shared" si="307"/>
        <v>90.014382846392721</v>
      </c>
      <c r="AS531" s="168" t="str">
        <f t="shared" si="308"/>
        <v>-5.70726936382023E-09+3.34212187706657E-08i</v>
      </c>
      <c r="AT531" s="190">
        <f t="shared" si="309"/>
        <v>-149.39471836631293</v>
      </c>
      <c r="AU531" s="169">
        <f t="shared" si="310"/>
        <v>99.690798201685524</v>
      </c>
      <c r="AV531" s="225"/>
      <c r="AX531">
        <f t="shared" si="311"/>
        <v>0</v>
      </c>
      <c r="AY531">
        <f t="shared" si="312"/>
        <v>0</v>
      </c>
    </row>
    <row r="532" spans="14:51" x14ac:dyDescent="0.3">
      <c r="N532" s="170">
        <v>14</v>
      </c>
      <c r="O532" s="199">
        <f t="shared" si="314"/>
        <v>1380384.2646028849</v>
      </c>
      <c r="P532" s="189" t="str">
        <f t="shared" si="315"/>
        <v>20.7142857142857</v>
      </c>
      <c r="Q532" s="160" t="str">
        <f t="shared" si="316"/>
        <v>1+1982.44802962623i</v>
      </c>
      <c r="R532" s="160">
        <f t="shared" ref="R532:R560" si="324">IMABS(Q532)</f>
        <v>1982.4482818396355</v>
      </c>
      <c r="S532" s="160">
        <f t="shared" ref="S532:S560" si="325">IMARGUMENT(Q532)</f>
        <v>1.5702918999951823</v>
      </c>
      <c r="T532" s="160" t="str">
        <f t="shared" si="317"/>
        <v>1+0.173464202592295i</v>
      </c>
      <c r="U532" s="160">
        <f t="shared" ref="U532:U560" si="326">IMABS(T532)</f>
        <v>1.0149334114024333</v>
      </c>
      <c r="V532" s="160">
        <f t="shared" ref="V532:V560" si="327">IMARGUMENT(T532)</f>
        <v>0.17175511763295595</v>
      </c>
      <c r="W532" s="98" t="str">
        <f t="shared" si="318"/>
        <v>1-45.5343531804773i</v>
      </c>
      <c r="X532" s="160">
        <f t="shared" ref="X532:X560" si="328">IMABS(W532)</f>
        <v>45.545332577163634</v>
      </c>
      <c r="Y532" s="160">
        <f t="shared" ref="Y532:Y560" si="329">IMARGUMENT(W532)</f>
        <v>-1.5488384157150745</v>
      </c>
      <c r="Z532" s="98" t="str">
        <f t="shared" si="319"/>
        <v>-157.917513643439-3.3976434351845i</v>
      </c>
      <c r="AA532" s="160">
        <f t="shared" ref="AA532:AA560" si="330">IMABS(Z532)</f>
        <v>157.95406008152625</v>
      </c>
      <c r="AB532" s="160">
        <f t="shared" ref="AB532:AB560" si="331">IMARGUMENT(Z532)</f>
        <v>-3.1200806677653965</v>
      </c>
      <c r="AC532" s="171" t="str">
        <f t="shared" ref="AC532:AC560" si="332">(IMDIV(IMPRODUCT(P532,T532,W532),IMPRODUCT(Q532,Z532)))</f>
        <v>0.00301237742081672+0.000525489095130276i</v>
      </c>
      <c r="AD532" s="190">
        <f t="shared" ref="AD532:AD560" si="333">20*LOG(IMABS(AC532))</f>
        <v>-50.29162540570853</v>
      </c>
      <c r="AE532" s="169">
        <f t="shared" ref="AE532:AE560" si="334">(180/PI())*IMARGUMENT(AC532)</f>
        <v>9.8952945119524554</v>
      </c>
      <c r="AF532" s="98" t="str">
        <f t="shared" si="320"/>
        <v>-0.0000897803247373448</v>
      </c>
      <c r="AG532" s="98" t="str">
        <f t="shared" si="321"/>
        <v>17.3464202592295i</v>
      </c>
      <c r="AH532" s="98">
        <f t="shared" ref="AH532:AH560" si="335">IMABS(AG532)</f>
        <v>17.3464202592295</v>
      </c>
      <c r="AI532" s="98">
        <f t="shared" ref="AI532:AI560" si="336">IMARGUMENT(AG532)</f>
        <v>1.5707963267948966</v>
      </c>
      <c r="AJ532" s="98" t="str">
        <f t="shared" si="322"/>
        <v>1+2038.20438045946i</v>
      </c>
      <c r="AK532" s="98">
        <f t="shared" ref="AK532:AK560" si="337">IMABS(AJ532)</f>
        <v>2038.2046257734112</v>
      </c>
      <c r="AL532" s="98">
        <f t="shared" ref="AL532:AL560" si="338">IMARGUMENT(AJ532)</f>
        <v>1.5703056989023514</v>
      </c>
      <c r="AM532" s="98" t="str">
        <f t="shared" si="323"/>
        <v>1+4076.40876091894i</v>
      </c>
      <c r="AN532" s="98">
        <f t="shared" ref="AN532:AN560" si="339">IMABS(AM532)</f>
        <v>4076.4088835759212</v>
      </c>
      <c r="AO532" s="98">
        <f t="shared" ref="AO532:AO560" si="340">IMARGUMENT(AM532)</f>
        <v>1.5705510128338613</v>
      </c>
      <c r="AP532" s="168" t="str">
        <f t="shared" ref="AP532:AP560" si="341">IMPRODUCT(AF532,IMDIV(AM532,IMPRODUCT(AG532,AJ532)))</f>
        <v>-2.53935531313239E-09+0.0000103514514914175i</v>
      </c>
      <c r="AQ532" s="98">
        <f t="shared" ref="AQ532:AQ560" si="342">20*LOG(IMABS(AP532))</f>
        <v>-99.699974712806494</v>
      </c>
      <c r="AR532" s="169">
        <f t="shared" ref="AR532:AR560" si="343">(180/PI())*IMARGUMENT(AP532)</f>
        <v>90.014055452931288</v>
      </c>
      <c r="AS532" s="168" t="str">
        <f t="shared" ref="AS532:AS560" si="344">IMPRODUCT(AC532,AP532)</f>
        <v>-5.44722437411864E-09+3.11811443418999E-08i</v>
      </c>
      <c r="AT532" s="190">
        <f t="shared" ref="AT532:AT560" si="345">20*LOG(IMABS(AS532))</f>
        <v>-149.99160011851504</v>
      </c>
      <c r="AU532" s="169">
        <f t="shared" ref="AU532:AU560" si="346">(180/PI())*IMARGUMENT(AS532)</f>
        <v>99.909349964883745</v>
      </c>
      <c r="AV532" s="225"/>
      <c r="AX532">
        <f t="shared" ref="AX532:AX559" si="347">SUM((AT533&lt;0)*(AT532&gt;0))*O532</f>
        <v>0</v>
      </c>
      <c r="AY532">
        <f t="shared" ref="AY532:AY559" si="348">IF(AX532&gt;0,AU532,0)</f>
        <v>0</v>
      </c>
    </row>
    <row r="533" spans="14:51" x14ac:dyDescent="0.3">
      <c r="N533" s="170">
        <v>15</v>
      </c>
      <c r="O533" s="199">
        <f t="shared" si="314"/>
        <v>1412537.5446227565</v>
      </c>
      <c r="P533" s="189" t="str">
        <f t="shared" si="315"/>
        <v>20.7142857142857</v>
      </c>
      <c r="Q533" s="160" t="str">
        <f t="shared" si="316"/>
        <v>1+2028.62517627731i</v>
      </c>
      <c r="R533" s="160">
        <f t="shared" si="324"/>
        <v>2028.6254227496379</v>
      </c>
      <c r="S533" s="160">
        <f t="shared" si="325"/>
        <v>1.5703033821490864</v>
      </c>
      <c r="T533" s="160" t="str">
        <f t="shared" si="317"/>
        <v>1+0.177504702924265i</v>
      </c>
      <c r="U533" s="160">
        <f t="shared" si="326"/>
        <v>1.0156317834531525</v>
      </c>
      <c r="V533" s="160">
        <f t="shared" si="327"/>
        <v>0.17567490425129303</v>
      </c>
      <c r="W533" s="98" t="str">
        <f t="shared" si="318"/>
        <v>1-46.5949845176193i</v>
      </c>
      <c r="X533" s="160">
        <f t="shared" si="328"/>
        <v>46.605714050931375</v>
      </c>
      <c r="Y533" s="160">
        <f t="shared" si="329"/>
        <v>-1.5493380835904229</v>
      </c>
      <c r="Z533" s="98" t="str">
        <f t="shared" si="319"/>
        <v>-165.407065321314-3.47678471749302i</v>
      </c>
      <c r="AA533" s="160">
        <f t="shared" si="330"/>
        <v>165.44360153895715</v>
      </c>
      <c r="AB533" s="160">
        <f t="shared" si="331"/>
        <v>-3.1205761824598182</v>
      </c>
      <c r="AC533" s="171" t="str">
        <f t="shared" si="332"/>
        <v>0.00287597453709582+0.000513272388536289i</v>
      </c>
      <c r="AD533" s="190">
        <f t="shared" si="333"/>
        <v>-50.688128552727811</v>
      </c>
      <c r="AE533" s="169">
        <f t="shared" si="334"/>
        <v>10.118985903077959</v>
      </c>
      <c r="AF533" s="98" t="str">
        <f t="shared" si="320"/>
        <v>-0.0000897803247373448</v>
      </c>
      <c r="AG533" s="98" t="str">
        <f t="shared" si="321"/>
        <v>17.7504702924265i</v>
      </c>
      <c r="AH533" s="98">
        <f t="shared" si="335"/>
        <v>17.750470292426499</v>
      </c>
      <c r="AI533" s="98">
        <f t="shared" si="336"/>
        <v>1.5707963267948966</v>
      </c>
      <c r="AJ533" s="98" t="str">
        <f t="shared" si="322"/>
        <v>1+2085.68025936011i</v>
      </c>
      <c r="AK533" s="98">
        <f t="shared" si="337"/>
        <v>2085.680499090035</v>
      </c>
      <c r="AL533" s="98">
        <f t="shared" si="338"/>
        <v>1.5703168669549308</v>
      </c>
      <c r="AM533" s="98" t="str">
        <f t="shared" si="323"/>
        <v>1+4171.36051872023i</v>
      </c>
      <c r="AN533" s="98">
        <f t="shared" si="339"/>
        <v>4171.3606385851981</v>
      </c>
      <c r="AO533" s="98">
        <f t="shared" si="340"/>
        <v>1.5705565968611364</v>
      </c>
      <c r="AP533" s="168" t="str">
        <f t="shared" si="341"/>
        <v>-2.4250655235887E-09+0.000010115823743129i</v>
      </c>
      <c r="AQ533" s="98">
        <f t="shared" si="342"/>
        <v>-99.899974677517989</v>
      </c>
      <c r="AR533" s="169">
        <f t="shared" si="343"/>
        <v>90.013735511848651</v>
      </c>
      <c r="AS533" s="168" t="str">
        <f t="shared" si="344"/>
        <v>-5.19914744134456E-09+2.90916067878147E-08i</v>
      </c>
      <c r="AT533" s="190">
        <f t="shared" si="345"/>
        <v>-150.58810323024579</v>
      </c>
      <c r="AU533" s="169">
        <f t="shared" si="346"/>
        <v>100.13272141492661</v>
      </c>
      <c r="AV533" s="225"/>
      <c r="AX533">
        <f t="shared" si="347"/>
        <v>0</v>
      </c>
      <c r="AY533">
        <f t="shared" si="348"/>
        <v>0</v>
      </c>
    </row>
    <row r="534" spans="14:51" x14ac:dyDescent="0.3">
      <c r="N534" s="170">
        <v>16</v>
      </c>
      <c r="O534" s="199">
        <f t="shared" si="314"/>
        <v>1445439.7707459298</v>
      </c>
      <c r="P534" s="189" t="str">
        <f t="shared" si="315"/>
        <v>20.7142857142857</v>
      </c>
      <c r="Q534" s="160" t="str">
        <f t="shared" si="316"/>
        <v>1+2075.87792684888i</v>
      </c>
      <c r="R534" s="160">
        <f t="shared" si="324"/>
        <v>2075.8781677108136</v>
      </c>
      <c r="S534" s="160">
        <f t="shared" si="325"/>
        <v>1.5703146029373838</v>
      </c>
      <c r="T534" s="160" t="str">
        <f t="shared" si="317"/>
        <v>1+0.181639318599277i</v>
      </c>
      <c r="U534" s="160">
        <f t="shared" si="326"/>
        <v>1.0163625544367569</v>
      </c>
      <c r="V534" s="160">
        <f t="shared" si="327"/>
        <v>0.17968035474771532</v>
      </c>
      <c r="W534" s="98" t="str">
        <f t="shared" si="318"/>
        <v>1-47.6803211323101i</v>
      </c>
      <c r="X534" s="160">
        <f t="shared" si="328"/>
        <v>47.690806485948805</v>
      </c>
      <c r="Y534" s="160">
        <f t="shared" si="329"/>
        <v>-1.5498263879917642</v>
      </c>
      <c r="Z534" s="98" t="str">
        <f t="shared" si="319"/>
        <v>-173.249588695319-3.55776943707943i</v>
      </c>
      <c r="AA534" s="160">
        <f t="shared" si="330"/>
        <v>173.28611515774892</v>
      </c>
      <c r="AB534" s="160">
        <f t="shared" si="331"/>
        <v>-3.1210600250400939</v>
      </c>
      <c r="AC534" s="171" t="str">
        <f t="shared" si="332"/>
        <v>0.0027457836495854+0.000501349432330263i</v>
      </c>
      <c r="AD534" s="190">
        <f t="shared" si="333"/>
        <v>-51.084246837775382</v>
      </c>
      <c r="AE534" s="169">
        <f t="shared" si="334"/>
        <v>10.347582764243302</v>
      </c>
      <c r="AF534" s="98" t="str">
        <f t="shared" si="320"/>
        <v>-0.0000897803247373448</v>
      </c>
      <c r="AG534" s="98" t="str">
        <f t="shared" si="321"/>
        <v>18.1639318599277i</v>
      </c>
      <c r="AH534" s="98">
        <f t="shared" si="335"/>
        <v>18.1639318599277</v>
      </c>
      <c r="AI534" s="98">
        <f t="shared" si="336"/>
        <v>1.5707963267948966</v>
      </c>
      <c r="AJ534" s="98" t="str">
        <f t="shared" si="322"/>
        <v>1+2134.26199354151i</v>
      </c>
      <c r="AK534" s="98">
        <f t="shared" si="337"/>
        <v>2134.2622278145159</v>
      </c>
      <c r="AL534" s="98">
        <f t="shared" si="338"/>
        <v>1.5703277807917126</v>
      </c>
      <c r="AM534" s="98" t="str">
        <f t="shared" si="323"/>
        <v>1+4268.52398708302i</v>
      </c>
      <c r="AN534" s="98">
        <f t="shared" si="339"/>
        <v>4268.5241042195275</v>
      </c>
      <c r="AO534" s="98">
        <f t="shared" si="340"/>
        <v>1.5705620537804468</v>
      </c>
      <c r="AP534" s="168" t="str">
        <f t="shared" si="341"/>
        <v>-2.31591961960477E-09+9.88555953355408E-06i</v>
      </c>
      <c r="AQ534" s="98">
        <f t="shared" si="342"/>
        <v>-100.09997464381767</v>
      </c>
      <c r="AR534" s="169">
        <f t="shared" si="343"/>
        <v>90.013422853508388</v>
      </c>
      <c r="AS534" s="168" t="str">
        <f t="shared" si="344"/>
        <v>-4.96247867463962E-09+2.71424466492493E-08i</v>
      </c>
      <c r="AT534" s="190">
        <f t="shared" si="345"/>
        <v>-151.18422148159306</v>
      </c>
      <c r="AU534" s="169">
        <f t="shared" si="346"/>
        <v>100.36100561775166</v>
      </c>
      <c r="AV534" s="225"/>
      <c r="AX534">
        <f t="shared" si="347"/>
        <v>0</v>
      </c>
      <c r="AY534">
        <f t="shared" si="348"/>
        <v>0</v>
      </c>
    </row>
    <row r="535" spans="14:51" x14ac:dyDescent="0.3">
      <c r="N535" s="170">
        <v>17</v>
      </c>
      <c r="O535" s="199">
        <f t="shared" si="314"/>
        <v>1479108.3881682095</v>
      </c>
      <c r="P535" s="189" t="str">
        <f t="shared" si="315"/>
        <v>20.7142857142857</v>
      </c>
      <c r="Q535" s="160" t="str">
        <f t="shared" si="316"/>
        <v>1+2124.23133537476i</v>
      </c>
      <c r="R535" s="160">
        <f t="shared" si="324"/>
        <v>2124.231570754007</v>
      </c>
      <c r="S535" s="160">
        <f t="shared" si="325"/>
        <v>1.5703255683094737</v>
      </c>
      <c r="T535" s="160" t="str">
        <f t="shared" si="317"/>
        <v>1+0.185870241845291i</v>
      </c>
      <c r="U535" s="160">
        <f t="shared" si="326"/>
        <v>1.0171272028628606</v>
      </c>
      <c r="V535" s="160">
        <f t="shared" si="327"/>
        <v>0.18377307851517716</v>
      </c>
      <c r="W535" s="98" t="str">
        <f t="shared" si="318"/>
        <v>1-48.7909384843889i</v>
      </c>
      <c r="X535" s="160">
        <f t="shared" si="328"/>
        <v>48.801185212937419</v>
      </c>
      <c r="Y535" s="160">
        <f t="shared" si="329"/>
        <v>-1.5503035868925665</v>
      </c>
      <c r="Z535" s="98" t="str">
        <f t="shared" si="319"/>
        <v>-181.461718808995-3.64064053311402i</v>
      </c>
      <c r="AA535" s="160">
        <f t="shared" si="330"/>
        <v>181.49823596003932</v>
      </c>
      <c r="AB535" s="160">
        <f t="shared" si="331"/>
        <v>-3.1215324877310651</v>
      </c>
      <c r="AC535" s="171" t="str">
        <f t="shared" si="332"/>
        <v>0.00262151871134058+0.000489712644716481i</v>
      </c>
      <c r="AD535" s="190">
        <f t="shared" si="333"/>
        <v>-51.47997332019672</v>
      </c>
      <c r="AE535" s="169">
        <f t="shared" si="334"/>
        <v>10.581178928455982</v>
      </c>
      <c r="AF535" s="98" t="str">
        <f t="shared" si="320"/>
        <v>-0.0000897803247373448</v>
      </c>
      <c r="AG535" s="98" t="str">
        <f t="shared" si="321"/>
        <v>18.5870241845292i</v>
      </c>
      <c r="AH535" s="98">
        <f t="shared" si="335"/>
        <v>18.587024184529199</v>
      </c>
      <c r="AI535" s="98">
        <f t="shared" si="336"/>
        <v>1.5707963267948966</v>
      </c>
      <c r="AJ535" s="98" t="str">
        <f t="shared" si="322"/>
        <v>1+2183.97534168217i</v>
      </c>
      <c r="AK535" s="98">
        <f t="shared" si="337"/>
        <v>2183.9755706224719</v>
      </c>
      <c r="AL535" s="98">
        <f t="shared" si="338"/>
        <v>1.570338446199347</v>
      </c>
      <c r="AM535" s="98" t="str">
        <f t="shared" si="323"/>
        <v>1+4367.95068336436i</v>
      </c>
      <c r="AN535" s="98">
        <f t="shared" si="339"/>
        <v>4367.9507978345146</v>
      </c>
      <c r="AO535" s="98">
        <f t="shared" si="340"/>
        <v>1.5705673864851222</v>
      </c>
      <c r="AP535" s="168" t="str">
        <f t="shared" si="341"/>
        <v>-2.21168608839721E-09+9.66053677389014E-06i</v>
      </c>
      <c r="AQ535" s="98">
        <f t="shared" si="342"/>
        <v>-100.2999746116341</v>
      </c>
      <c r="AR535" s="169">
        <f t="shared" si="343"/>
        <v>90.013117312135435</v>
      </c>
      <c r="AS535" s="168" t="str">
        <f t="shared" si="344"/>
        <v>-4.73668498938691E-09+2.53241948237031E-08i</v>
      </c>
      <c r="AT535" s="190">
        <f t="shared" si="345"/>
        <v>-151.7799479318308</v>
      </c>
      <c r="AU535" s="169">
        <f t="shared" si="346"/>
        <v>100.59429624059143</v>
      </c>
      <c r="AV535" s="225"/>
      <c r="AX535">
        <f t="shared" si="347"/>
        <v>0</v>
      </c>
      <c r="AY535">
        <f t="shared" si="348"/>
        <v>0</v>
      </c>
    </row>
    <row r="536" spans="14:51" x14ac:dyDescent="0.3">
      <c r="N536" s="170">
        <v>18</v>
      </c>
      <c r="O536" s="199">
        <f t="shared" si="314"/>
        <v>1513561.2484362102</v>
      </c>
      <c r="P536" s="189" t="str">
        <f t="shared" si="315"/>
        <v>20.7142857142857</v>
      </c>
      <c r="Q536" s="160" t="str">
        <f t="shared" si="316"/>
        <v>1+2173.71103947218i</v>
      </c>
      <c r="R536" s="160">
        <f t="shared" si="324"/>
        <v>2173.7112694935417</v>
      </c>
      <c r="S536" s="160">
        <f t="shared" si="325"/>
        <v>1.5703362840793311</v>
      </c>
      <c r="T536" s="160" t="str">
        <f t="shared" si="317"/>
        <v>1+0.190199715953816i</v>
      </c>
      <c r="U536" s="160">
        <f t="shared" si="326"/>
        <v>1.0179272724261357</v>
      </c>
      <c r="V536" s="160">
        <f t="shared" si="327"/>
        <v>0.18795469686320435</v>
      </c>
      <c r="W536" s="98" t="str">
        <f t="shared" si="318"/>
        <v>1-49.9274254378765i</v>
      </c>
      <c r="X536" s="160">
        <f t="shared" si="328"/>
        <v>49.937438969722081</v>
      </c>
      <c r="Y536" s="160">
        <f t="shared" si="329"/>
        <v>-1.550769932440168</v>
      </c>
      <c r="Z536" s="98" t="str">
        <f t="shared" si="319"/>
        <v>-190.060874691335-3.72544194494885i</v>
      </c>
      <c r="AA536" s="160">
        <f t="shared" si="330"/>
        <v>190.09738295442293</v>
      </c>
      <c r="AB536" s="160">
        <f t="shared" si="331"/>
        <v>-3.1219938542999777</v>
      </c>
      <c r="AC536" s="171" t="str">
        <f t="shared" si="332"/>
        <v>0.00250290712472179+0.000478354659588i</v>
      </c>
      <c r="AD536" s="190">
        <f t="shared" si="333"/>
        <v>-51.87530033373374</v>
      </c>
      <c r="AE536" s="169">
        <f t="shared" si="334"/>
        <v>10.819868768480113</v>
      </c>
      <c r="AF536" s="98" t="str">
        <f t="shared" si="320"/>
        <v>-0.0000897803247373448</v>
      </c>
      <c r="AG536" s="98" t="str">
        <f t="shared" si="321"/>
        <v>19.0199715953816i</v>
      </c>
      <c r="AH536" s="98">
        <f t="shared" si="335"/>
        <v>19.019971595381602</v>
      </c>
      <c r="AI536" s="98">
        <f t="shared" si="336"/>
        <v>1.5707963267948966</v>
      </c>
      <c r="AJ536" s="98" t="str">
        <f t="shared" si="322"/>
        <v>1+2234.84666245734i</v>
      </c>
      <c r="AK536" s="98">
        <f t="shared" si="337"/>
        <v>2234.8468861863244</v>
      </c>
      <c r="AL536" s="98">
        <f t="shared" si="338"/>
        <v>1.5703488688327647</v>
      </c>
      <c r="AM536" s="98" t="str">
        <f t="shared" si="323"/>
        <v>1+4469.69332491468i</v>
      </c>
      <c r="AN536" s="98">
        <f t="shared" si="339"/>
        <v>4469.6934367791764</v>
      </c>
      <c r="AO536" s="98">
        <f t="shared" si="340"/>
        <v>1.5705725978026319</v>
      </c>
      <c r="AP536" s="168" t="str">
        <f t="shared" si="341"/>
        <v>-2.11214383695627E-09+9.44063615439878E-06i</v>
      </c>
      <c r="AQ536" s="98">
        <f t="shared" si="342"/>
        <v>-100.49997458089905</v>
      </c>
      <c r="AR536" s="169">
        <f t="shared" si="343"/>
        <v>90.012818725728195</v>
      </c>
      <c r="AS536" s="168" t="str">
        <f t="shared" si="344"/>
        <v>-4.52125879378955E-09+2.36280251389047E-08i</v>
      </c>
      <c r="AT536" s="190">
        <f t="shared" si="345"/>
        <v>-152.3752749146328</v>
      </c>
      <c r="AU536" s="169">
        <f t="shared" si="346"/>
        <v>100.83268749420832</v>
      </c>
      <c r="AV536" s="225"/>
      <c r="AX536">
        <f t="shared" si="347"/>
        <v>0</v>
      </c>
      <c r="AY536">
        <f t="shared" si="348"/>
        <v>0</v>
      </c>
    </row>
    <row r="537" spans="14:51" x14ac:dyDescent="0.3">
      <c r="N537" s="170">
        <v>19</v>
      </c>
      <c r="O537" s="199">
        <f t="shared" si="314"/>
        <v>1548816.6189124861</v>
      </c>
      <c r="P537" s="189" t="str">
        <f t="shared" si="315"/>
        <v>20.7142857142857</v>
      </c>
      <c r="Q537" s="160" t="str">
        <f t="shared" si="316"/>
        <v>1+2224.3432739352i</v>
      </c>
      <c r="R537" s="160">
        <f t="shared" si="324"/>
        <v>2224.3434987206374</v>
      </c>
      <c r="S537" s="160">
        <f t="shared" si="325"/>
        <v>1.5703467559285889</v>
      </c>
      <c r="T537" s="160" t="str">
        <f t="shared" si="317"/>
        <v>1+0.19463003646933i</v>
      </c>
      <c r="U537" s="160">
        <f t="shared" si="326"/>
        <v>1.0187643746696546</v>
      </c>
      <c r="V537" s="160">
        <f t="shared" si="327"/>
        <v>0.19222684170036772</v>
      </c>
      <c r="W537" s="98" t="str">
        <f t="shared" si="318"/>
        <v>1-51.090384573199i</v>
      </c>
      <c r="X537" s="160">
        <f t="shared" si="328"/>
        <v>51.100170213389418</v>
      </c>
      <c r="Y537" s="160">
        <f t="shared" si="329"/>
        <v>-1.5512256710853258</v>
      </c>
      <c r="Z537" s="98" t="str">
        <f t="shared" si="319"/>
        <v>-199.065296304873-3.81221863541494i</v>
      </c>
      <c r="AA537" s="160">
        <f t="shared" si="330"/>
        <v>199.10179608399091</v>
      </c>
      <c r="AB537" s="160">
        <f t="shared" si="331"/>
        <v>-3.1224444003733414</v>
      </c>
      <c r="AC537" s="171" t="str">
        <f t="shared" si="332"/>
        <v>0.00238968908462172+0.000467268320595434i</v>
      </c>
      <c r="AD537" s="190">
        <f t="shared" si="333"/>
        <v>-52.27021948094638</v>
      </c>
      <c r="AE537" s="169">
        <f t="shared" si="334"/>
        <v>11.063747131903444</v>
      </c>
      <c r="AF537" s="98" t="str">
        <f t="shared" si="320"/>
        <v>-0.0000897803247373448</v>
      </c>
      <c r="AG537" s="98" t="str">
        <f t="shared" si="321"/>
        <v>19.463003646933i</v>
      </c>
      <c r="AH537" s="98">
        <f t="shared" si="335"/>
        <v>19.463003646933</v>
      </c>
      <c r="AI537" s="98">
        <f t="shared" si="336"/>
        <v>1.5707963267948966</v>
      </c>
      <c r="AJ537" s="98" t="str">
        <f t="shared" si="322"/>
        <v>1+2286.90292851463i</v>
      </c>
      <c r="AK537" s="98">
        <f t="shared" si="337"/>
        <v>2286.9031471509215</v>
      </c>
      <c r="AL537" s="98">
        <f t="shared" si="338"/>
        <v>1.5703590542181749</v>
      </c>
      <c r="AM537" s="98" t="str">
        <f t="shared" si="323"/>
        <v>1+4573.80585702927i</v>
      </c>
      <c r="AN537" s="98">
        <f t="shared" si="339"/>
        <v>4573.8059663474196</v>
      </c>
      <c r="AO537" s="98">
        <f t="shared" si="340"/>
        <v>1.5705776904960844</v>
      </c>
      <c r="AP537" s="168" t="str">
        <f t="shared" si="341"/>
        <v>-2.01708172308069E-09+9.22574108114769E-06i</v>
      </c>
      <c r="AQ537" s="98">
        <f t="shared" si="342"/>
        <v>-100.69997455154727</v>
      </c>
      <c r="AR537" s="169">
        <f t="shared" si="343"/>
        <v>90.012526935972659</v>
      </c>
      <c r="AS537" s="168" t="str">
        <f t="shared" si="344"/>
        <v>-4.31571673941262E-09+2.20457102407756E-08i</v>
      </c>
      <c r="AT537" s="190">
        <f t="shared" si="345"/>
        <v>-152.97019403249362</v>
      </c>
      <c r="AU537" s="169">
        <f t="shared" si="346"/>
        <v>101.0762740678761</v>
      </c>
      <c r="AV537" s="225"/>
      <c r="AX537">
        <f t="shared" si="347"/>
        <v>0</v>
      </c>
      <c r="AY537">
        <f t="shared" si="348"/>
        <v>0</v>
      </c>
    </row>
    <row r="538" spans="14:51" x14ac:dyDescent="0.3">
      <c r="N538" s="170">
        <v>20</v>
      </c>
      <c r="O538" s="199">
        <f t="shared" si="314"/>
        <v>1584893.1924611153</v>
      </c>
      <c r="P538" s="189" t="str">
        <f t="shared" si="315"/>
        <v>20.7142857142857</v>
      </c>
      <c r="Q538" s="160" t="str">
        <f t="shared" si="316"/>
        <v>1+2276.15488464472i</v>
      </c>
      <c r="R538" s="160">
        <f t="shared" si="324"/>
        <v>2276.1551043134159</v>
      </c>
      <c r="S538" s="160">
        <f t="shared" si="325"/>
        <v>1.5703569894095513</v>
      </c>
      <c r="T538" s="160" t="str">
        <f t="shared" si="317"/>
        <v>1+0.199163552406413i</v>
      </c>
      <c r="U538" s="160">
        <f t="shared" si="326"/>
        <v>1.0196401917378217</v>
      </c>
      <c r="V538" s="160">
        <f t="shared" si="327"/>
        <v>0.19659115409812589</v>
      </c>
      <c r="W538" s="98" t="str">
        <f t="shared" si="318"/>
        <v>1-52.2804325066832i</v>
      </c>
      <c r="X538" s="160">
        <f t="shared" si="328"/>
        <v>52.289995439719227</v>
      </c>
      <c r="Y538" s="160">
        <f t="shared" si="329"/>
        <v>-1.5516710437090204</v>
      </c>
      <c r="Z538" s="98" t="str">
        <f t="shared" si="319"/>
        <v>-208.494083235094-3.90101661466219i</v>
      </c>
      <c r="AA538" s="160">
        <f t="shared" si="330"/>
        <v>208.53057491569473</v>
      </c>
      <c r="AB538" s="160">
        <f t="shared" si="331"/>
        <v>-3.1228843937378485</v>
      </c>
      <c r="AC538" s="171" t="str">
        <f t="shared" si="332"/>
        <v>0.00228161695589104+0.000456446675210305i</v>
      </c>
      <c r="AD538" s="190">
        <f t="shared" si="333"/>
        <v>-52.664721626899045</v>
      </c>
      <c r="AE538" s="169">
        <f t="shared" si="334"/>
        <v>11.312909268654348</v>
      </c>
      <c r="AF538" s="98" t="str">
        <f t="shared" si="320"/>
        <v>-0.0000897803247373448</v>
      </c>
      <c r="AG538" s="98" t="str">
        <f t="shared" si="321"/>
        <v>19.9163552406413i</v>
      </c>
      <c r="AH538" s="98">
        <f t="shared" si="335"/>
        <v>19.916355240641298</v>
      </c>
      <c r="AI538" s="98">
        <f t="shared" si="336"/>
        <v>1.5707963267948966</v>
      </c>
      <c r="AJ538" s="98" t="str">
        <f t="shared" si="322"/>
        <v>1+2340.17174077535i</v>
      </c>
      <c r="AK538" s="98">
        <f t="shared" si="337"/>
        <v>2340.1719544348725</v>
      </c>
      <c r="AL538" s="98">
        <f t="shared" si="338"/>
        <v>1.5703690077559951</v>
      </c>
      <c r="AM538" s="98" t="str">
        <f t="shared" si="323"/>
        <v>1+4680.34348155071i</v>
      </c>
      <c r="AN538" s="98">
        <f t="shared" si="339"/>
        <v>4680.343588380475</v>
      </c>
      <c r="AO538" s="98">
        <f t="shared" si="340"/>
        <v>1.5705826672656922</v>
      </c>
      <c r="AP538" s="168" t="str">
        <f t="shared" si="341"/>
        <v>-1.92629810751864E-09+9.01573761419215E-06i</v>
      </c>
      <c r="AQ538" s="98">
        <f t="shared" si="342"/>
        <v>-100.8999745235166</v>
      </c>
      <c r="AR538" s="169">
        <f t="shared" si="343"/>
        <v>90.012241788158477</v>
      </c>
      <c r="AS538" s="168" t="str">
        <f t="shared" si="344"/>
        <v>-4.11959853299071E-09+2.05695805580388E-08i</v>
      </c>
      <c r="AT538" s="190">
        <f t="shared" si="345"/>
        <v>-153.56469615041564</v>
      </c>
      <c r="AU538" s="169">
        <f t="shared" si="346"/>
        <v>101.32515105681283</v>
      </c>
      <c r="AV538" s="225"/>
      <c r="AX538">
        <f t="shared" si="347"/>
        <v>0</v>
      </c>
      <c r="AY538">
        <f t="shared" si="348"/>
        <v>0</v>
      </c>
    </row>
    <row r="539" spans="14:51" x14ac:dyDescent="0.3">
      <c r="N539" s="170">
        <v>21</v>
      </c>
      <c r="O539" s="199">
        <f t="shared" si="314"/>
        <v>1621810.0973589318</v>
      </c>
      <c r="P539" s="189" t="str">
        <f t="shared" si="315"/>
        <v>20.7142857142857</v>
      </c>
      <c r="Q539" s="160" t="str">
        <f t="shared" si="316"/>
        <v>1+2329.17334280254i</v>
      </c>
      <c r="R539" s="160">
        <f t="shared" si="324"/>
        <v>2329.1735574709669</v>
      </c>
      <c r="S539" s="160">
        <f t="shared" si="325"/>
        <v>1.5703669899481365</v>
      </c>
      <c r="T539" s="160" t="str">
        <f t="shared" si="317"/>
        <v>1+0.203802667495222i</v>
      </c>
      <c r="U539" s="160">
        <f t="shared" si="326"/>
        <v>1.0205564792201205</v>
      </c>
      <c r="V539" s="160">
        <f t="shared" si="327"/>
        <v>0.20104928272976733</v>
      </c>
      <c r="W539" s="98" t="str">
        <f t="shared" si="318"/>
        <v>1-53.4982002174956i</v>
      </c>
      <c r="X539" s="160">
        <f t="shared" si="328"/>
        <v>53.507545510060972</v>
      </c>
      <c r="Y539" s="160">
        <f t="shared" si="329"/>
        <v>-1.5521062857465655</v>
      </c>
      <c r="Z539" s="98" t="str">
        <f t="shared" si="319"/>
        <v>-218.367235203217-3.9918829645546i</v>
      </c>
      <c r="AA539" s="160">
        <f t="shared" si="330"/>
        <v>218.40371915308538</v>
      </c>
      <c r="AB539" s="160">
        <f t="shared" si="331"/>
        <v>-3.123314094626358</v>
      </c>
      <c r="AC539" s="171" t="str">
        <f t="shared" si="332"/>
        <v>0.00217845468300033+0.000445882968816161i</v>
      </c>
      <c r="AD539" s="190">
        <f t="shared" si="333"/>
        <v>-53.058796892175451</v>
      </c>
      <c r="AE539" s="169">
        <f t="shared" si="334"/>
        <v>11.567450750666648</v>
      </c>
      <c r="AF539" s="98" t="str">
        <f t="shared" si="320"/>
        <v>-0.0000897803247373448</v>
      </c>
      <c r="AG539" s="98" t="str">
        <f t="shared" si="321"/>
        <v>20.3802667495223i</v>
      </c>
      <c r="AH539" s="98">
        <f t="shared" si="335"/>
        <v>20.380266749522299</v>
      </c>
      <c r="AI539" s="98">
        <f t="shared" si="336"/>
        <v>1.5707963267948966</v>
      </c>
      <c r="AJ539" s="98" t="str">
        <f t="shared" si="322"/>
        <v>1+2394.68134306886i</v>
      </c>
      <c r="AK539" s="98">
        <f t="shared" si="337"/>
        <v>2394.6815518648987</v>
      </c>
      <c r="AL539" s="98">
        <f t="shared" si="338"/>
        <v>1.570378734723715</v>
      </c>
      <c r="AM539" s="98" t="str">
        <f t="shared" si="323"/>
        <v>1+4789.36268613773i</v>
      </c>
      <c r="AN539" s="98">
        <f t="shared" si="339"/>
        <v>4789.3627905357525</v>
      </c>
      <c r="AO539" s="98">
        <f t="shared" si="340"/>
        <v>1.5705875307502031</v>
      </c>
      <c r="AP539" s="168" t="str">
        <f t="shared" si="341"/>
        <v>-1.83960042626604E-09+8.81051440716422E-06i</v>
      </c>
      <c r="AQ539" s="98">
        <f t="shared" si="342"/>
        <v>-101.09997449674744</v>
      </c>
      <c r="AR539" s="169">
        <f t="shared" si="343"/>
        <v>90.011963131096877</v>
      </c>
      <c r="AS539" s="168" t="str">
        <f t="shared" si="344"/>
        <v>-3.93246580682739E-09+1.91924861234293E-08i</v>
      </c>
      <c r="AT539" s="190">
        <f t="shared" si="345"/>
        <v>-154.15877138892287</v>
      </c>
      <c r="AU539" s="169">
        <f t="shared" si="346"/>
        <v>101.5794138817635</v>
      </c>
      <c r="AV539" s="225"/>
      <c r="AX539">
        <f t="shared" si="347"/>
        <v>0</v>
      </c>
      <c r="AY539">
        <f t="shared" si="348"/>
        <v>0</v>
      </c>
    </row>
    <row r="540" spans="14:51" x14ac:dyDescent="0.3">
      <c r="N540" s="170">
        <v>22</v>
      </c>
      <c r="O540" s="199">
        <f t="shared" si="314"/>
        <v>1659586.9074375622</v>
      </c>
      <c r="P540" s="189" t="str">
        <f t="shared" si="315"/>
        <v>20.7142857142857</v>
      </c>
      <c r="Q540" s="160" t="str">
        <f t="shared" si="316"/>
        <v>1+2383.42675949698i</v>
      </c>
      <c r="R540" s="160">
        <f t="shared" si="324"/>
        <v>2383.4269692789571</v>
      </c>
      <c r="S540" s="160">
        <f t="shared" si="325"/>
        <v>1.5703767628467546</v>
      </c>
      <c r="T540" s="160" t="str">
        <f t="shared" si="317"/>
        <v>1+0.208549841455986i</v>
      </c>
      <c r="U540" s="160">
        <f t="shared" si="326"/>
        <v>1.0215150690867545</v>
      </c>
      <c r="V540" s="160">
        <f t="shared" si="327"/>
        <v>0.20560288217810041</v>
      </c>
      <c r="W540" s="98" t="str">
        <f t="shared" si="318"/>
        <v>1-54.7443333821962i</v>
      </c>
      <c r="X540" s="160">
        <f t="shared" si="328"/>
        <v>54.753465985826338</v>
      </c>
      <c r="Y540" s="160">
        <f t="shared" si="329"/>
        <v>-1.5525316273090697</v>
      </c>
      <c r="Z540" s="98" t="str">
        <f t="shared" si="319"/>
        <v>-228.705694488285-4.08486586363366i</v>
      </c>
      <c r="AA540" s="160">
        <f t="shared" si="330"/>
        <v>228.74217105836129</v>
      </c>
      <c r="AB540" s="160">
        <f t="shared" si="331"/>
        <v>-3.1237337559898548</v>
      </c>
      <c r="AC540" s="171" t="str">
        <f t="shared" si="332"/>
        <v>0.0020799772301043+0.000435570638854994i</v>
      </c>
      <c r="AD540" s="190">
        <f t="shared" si="333"/>
        <v>-53.452434645284072</v>
      </c>
      <c r="AE540" s="169">
        <f t="shared" si="334"/>
        <v>11.827467383374987</v>
      </c>
      <c r="AF540" s="98" t="str">
        <f t="shared" si="320"/>
        <v>-0.0000897803247373448</v>
      </c>
      <c r="AG540" s="98" t="str">
        <f t="shared" si="321"/>
        <v>20.8549841455986i</v>
      </c>
      <c r="AH540" s="98">
        <f t="shared" si="335"/>
        <v>20.8549841455986</v>
      </c>
      <c r="AI540" s="98">
        <f t="shared" si="336"/>
        <v>1.5707963267948966</v>
      </c>
      <c r="AJ540" s="98" t="str">
        <f t="shared" si="322"/>
        <v>1+2450.46063710784i</v>
      </c>
      <c r="AK540" s="98">
        <f t="shared" si="337"/>
        <v>2450.4608411511008</v>
      </c>
      <c r="AL540" s="98">
        <f t="shared" si="338"/>
        <v>1.5703882402786942</v>
      </c>
      <c r="AM540" s="98" t="str">
        <f t="shared" si="323"/>
        <v>1+4900.92127421568i</v>
      </c>
      <c r="AN540" s="98">
        <f t="shared" si="339"/>
        <v>4900.9213762373138</v>
      </c>
      <c r="AO540" s="98">
        <f t="shared" si="340"/>
        <v>1.5705922835283004</v>
      </c>
      <c r="AP540" s="168" t="str">
        <f t="shared" si="341"/>
        <v>-1.75680478211428E-09+8.60996264823608E-06i</v>
      </c>
      <c r="AQ540" s="98">
        <f t="shared" si="342"/>
        <v>-101.29997447118313</v>
      </c>
      <c r="AR540" s="169">
        <f t="shared" si="343"/>
        <v>90.011690817040559</v>
      </c>
      <c r="AS540" s="168" t="str">
        <f t="shared" si="344"/>
        <v>-3.75390104515436E-09+1.79077610477983E-08i</v>
      </c>
      <c r="AT540" s="190">
        <f t="shared" si="345"/>
        <v>-154.75240911646719</v>
      </c>
      <c r="AU540" s="169">
        <f t="shared" si="346"/>
        <v>101.83915820041554</v>
      </c>
      <c r="AV540" s="225"/>
      <c r="AX540">
        <f t="shared" si="347"/>
        <v>0</v>
      </c>
      <c r="AY540">
        <f t="shared" si="348"/>
        <v>0</v>
      </c>
    </row>
    <row r="541" spans="14:51" x14ac:dyDescent="0.3">
      <c r="N541" s="170">
        <v>23</v>
      </c>
      <c r="O541" s="199">
        <f t="shared" si="314"/>
        <v>1698243.6524617488</v>
      </c>
      <c r="P541" s="189" t="str">
        <f t="shared" si="315"/>
        <v>20.7142857142857</v>
      </c>
      <c r="Q541" s="160" t="str">
        <f t="shared" si="316"/>
        <v>1+2438.9439006077i</v>
      </c>
      <c r="R541" s="160">
        <f t="shared" si="324"/>
        <v>2438.9441056144569</v>
      </c>
      <c r="S541" s="160">
        <f t="shared" si="325"/>
        <v>1.5703863132871181</v>
      </c>
      <c r="T541" s="160" t="str">
        <f t="shared" si="317"/>
        <v>1+0.213407591303174i</v>
      </c>
      <c r="U541" s="160">
        <f t="shared" si="326"/>
        <v>1.0225178727170603</v>
      </c>
      <c r="V541" s="160">
        <f t="shared" si="327"/>
        <v>0.21025361110540949</v>
      </c>
      <c r="W541" s="98" t="str">
        <f t="shared" si="318"/>
        <v>1-56.019492717083i</v>
      </c>
      <c r="X541" s="160">
        <f t="shared" si="328"/>
        <v>56.028417470773846</v>
      </c>
      <c r="Y541" s="160">
        <f t="shared" si="329"/>
        <v>-1.552947293302299</v>
      </c>
      <c r="Z541" s="98" t="str">
        <f t="shared" si="319"/>
        <v>-239.531390348544-4.18001461266322i</v>
      </c>
      <c r="AA541" s="160">
        <f t="shared" si="330"/>
        <v>239.56785987370807</v>
      </c>
      <c r="AB541" s="160">
        <f t="shared" si="331"/>
        <v>-3.1241436237562534</v>
      </c>
      <c r="AC541" s="171" t="str">
        <f t="shared" si="332"/>
        <v>0.0019859700497915+0.000425503309051551i</v>
      </c>
      <c r="AD541" s="190">
        <f t="shared" si="333"/>
        <v>-53.845623494523124</v>
      </c>
      <c r="AE541" s="169">
        <f t="shared" si="334"/>
        <v>12.093055108717797</v>
      </c>
      <c r="AF541" s="98" t="str">
        <f t="shared" si="320"/>
        <v>-0.0000897803247373448</v>
      </c>
      <c r="AG541" s="98" t="str">
        <f t="shared" si="321"/>
        <v>21.3407591303173i</v>
      </c>
      <c r="AH541" s="98">
        <f t="shared" si="335"/>
        <v>21.340759130317299</v>
      </c>
      <c r="AI541" s="98">
        <f t="shared" si="336"/>
        <v>1.5707963267948966</v>
      </c>
      <c r="AJ541" s="98" t="str">
        <f t="shared" si="322"/>
        <v>1+2507.53919781229i</v>
      </c>
      <c r="AK541" s="98">
        <f t="shared" si="337"/>
        <v>2507.5393972109591</v>
      </c>
      <c r="AL541" s="98">
        <f t="shared" si="338"/>
        <v>1.5703975294608972</v>
      </c>
      <c r="AM541" s="98" t="str">
        <f t="shared" si="323"/>
        <v>1+5015.0783956246i</v>
      </c>
      <c r="AN541" s="98">
        <f t="shared" si="339"/>
        <v>5015.0784953239372</v>
      </c>
      <c r="AO541" s="98">
        <f t="shared" si="340"/>
        <v>1.5705969281199688</v>
      </c>
      <c r="AP541" s="168" t="str">
        <f t="shared" si="341"/>
        <v>-1.67773555458127E-09+8.41397600242819E-06i</v>
      </c>
      <c r="AQ541" s="98">
        <f t="shared" si="342"/>
        <v>-101.49997444676939</v>
      </c>
      <c r="AR541" s="169">
        <f t="shared" si="343"/>
        <v>90.011424701605364</v>
      </c>
      <c r="AS541" s="168" t="str">
        <f t="shared" si="344"/>
        <v>-3.5835065638764E-09+1.67091904584566E-08i</v>
      </c>
      <c r="AT541" s="190">
        <f t="shared" si="345"/>
        <v>-155.34559794129248</v>
      </c>
      <c r="AU541" s="169">
        <f t="shared" si="346"/>
        <v>102.10447981032317</v>
      </c>
      <c r="AV541" s="225"/>
      <c r="AX541">
        <f t="shared" si="347"/>
        <v>0</v>
      </c>
      <c r="AY541">
        <f t="shared" si="348"/>
        <v>0</v>
      </c>
    </row>
    <row r="542" spans="14:51" x14ac:dyDescent="0.3">
      <c r="N542" s="170">
        <v>24</v>
      </c>
      <c r="O542" s="199">
        <f t="shared" si="314"/>
        <v>1737800.8287493798</v>
      </c>
      <c r="P542" s="189" t="str">
        <f t="shared" si="315"/>
        <v>20.7142857142857</v>
      </c>
      <c r="Q542" s="160" t="str">
        <f t="shared" si="316"/>
        <v>1+2495.75420205774i</v>
      </c>
      <c r="R542" s="160">
        <f t="shared" si="324"/>
        <v>2495.7544023979735</v>
      </c>
      <c r="S542" s="160">
        <f t="shared" si="325"/>
        <v>1.5703956463329902</v>
      </c>
      <c r="T542" s="160" t="str">
        <f t="shared" si="317"/>
        <v>1+0.218378492680052i</v>
      </c>
      <c r="U542" s="160">
        <f t="shared" si="326"/>
        <v>1.0235668840213674</v>
      </c>
      <c r="V542" s="160">
        <f t="shared" si="327"/>
        <v>0.21500313027917825</v>
      </c>
      <c r="W542" s="98" t="str">
        <f t="shared" si="318"/>
        <v>1-57.3243543285135i</v>
      </c>
      <c r="X542" s="160">
        <f t="shared" si="328"/>
        <v>57.333075961271824</v>
      </c>
      <c r="Y542" s="160">
        <f t="shared" si="329"/>
        <v>-1.5533535035429915</v>
      </c>
      <c r="Z542" s="98" t="str">
        <f t="shared" si="319"/>
        <v>-250.867285536334-4.2773796607694i</v>
      </c>
      <c r="AA542" s="160">
        <f t="shared" si="330"/>
        <v>250.90374833615164</v>
      </c>
      <c r="AB542" s="160">
        <f t="shared" si="331"/>
        <v>-3.1245439370768304</v>
      </c>
      <c r="AC542" s="171" t="str">
        <f t="shared" si="332"/>
        <v>0.00189622857891235+0.000415674783733937i</v>
      </c>
      <c r="AD542" s="190">
        <f t="shared" si="333"/>
        <v>-54.23835127937646</v>
      </c>
      <c r="AE542" s="169">
        <f t="shared" si="334"/>
        <v>12.364309899317984</v>
      </c>
      <c r="AF542" s="98" t="str">
        <f t="shared" si="320"/>
        <v>-0.0000897803247373448</v>
      </c>
      <c r="AG542" s="98" t="str">
        <f t="shared" si="321"/>
        <v>21.8378492680052i</v>
      </c>
      <c r="AH542" s="98">
        <f t="shared" si="335"/>
        <v>21.837849268005201</v>
      </c>
      <c r="AI542" s="98">
        <f t="shared" si="336"/>
        <v>1.5707963267948966</v>
      </c>
      <c r="AJ542" s="98" t="str">
        <f t="shared" si="322"/>
        <v>1+2565.94728899061i</v>
      </c>
      <c r="AK542" s="98">
        <f t="shared" si="337"/>
        <v>2565.9474838504125</v>
      </c>
      <c r="AL542" s="98">
        <f t="shared" si="338"/>
        <v>1.5704066071955645</v>
      </c>
      <c r="AM542" s="98" t="str">
        <f t="shared" si="323"/>
        <v>1+5131.89457798123i</v>
      </c>
      <c r="AN542" s="98">
        <f t="shared" si="339"/>
        <v>5131.8946754111339</v>
      </c>
      <c r="AO542" s="98">
        <f t="shared" si="340"/>
        <v>1.5706014669878317</v>
      </c>
      <c r="AP542" s="168" t="str">
        <f t="shared" si="341"/>
        <v>-1.60222502739831E-09+8.22245055522973E-06i</v>
      </c>
      <c r="AQ542" s="98">
        <f t="shared" si="342"/>
        <v>-101.69997442345446</v>
      </c>
      <c r="AR542" s="169">
        <f t="shared" si="343"/>
        <v>90.011164643693704</v>
      </c>
      <c r="AS542" s="168" t="str">
        <f t="shared" si="344"/>
        <v>-3.42090354119491E-09+1.55909797269786E-08i</v>
      </c>
      <c r="AT542" s="190">
        <f t="shared" si="345"/>
        <v>-155.93832570283089</v>
      </c>
      <c r="AU542" s="169">
        <f t="shared" si="346"/>
        <v>102.37547454301168</v>
      </c>
      <c r="AV542" s="225"/>
      <c r="AX542">
        <f t="shared" si="347"/>
        <v>0</v>
      </c>
      <c r="AY542">
        <f t="shared" si="348"/>
        <v>0</v>
      </c>
    </row>
    <row r="543" spans="14:51" x14ac:dyDescent="0.3">
      <c r="N543" s="170">
        <v>25</v>
      </c>
      <c r="O543" s="199">
        <f t="shared" si="314"/>
        <v>1778279.4100389241</v>
      </c>
      <c r="P543" s="189" t="str">
        <f t="shared" si="315"/>
        <v>20.7142857142857</v>
      </c>
      <c r="Q543" s="160" t="str">
        <f t="shared" si="316"/>
        <v>1+2553.88778542091i</v>
      </c>
      <c r="R543" s="160">
        <f t="shared" si="324"/>
        <v>2553.8879812008431</v>
      </c>
      <c r="S543" s="160">
        <f t="shared" si="325"/>
        <v>1.5704047669328689</v>
      </c>
      <c r="T543" s="160" t="str">
        <f t="shared" si="317"/>
        <v>1+0.22346518122433i</v>
      </c>
      <c r="U543" s="160">
        <f t="shared" si="326"/>
        <v>1.0246641826567486</v>
      </c>
      <c r="V543" s="160">
        <f t="shared" si="327"/>
        <v>0.21985310044702133</v>
      </c>
      <c r="W543" s="98" t="str">
        <f t="shared" si="318"/>
        <v>1-58.6596100713865i</v>
      </c>
      <c r="X543" s="160">
        <f t="shared" si="328"/>
        <v>58.668133204722892</v>
      </c>
      <c r="Y543" s="160">
        <f t="shared" si="329"/>
        <v>-1.5537504728726663</v>
      </c>
      <c r="Z543" s="98" t="str">
        <f t="shared" si="319"/>
        <v>-262.73742500518-4.37701263218953i</v>
      </c>
      <c r="AA543" s="160">
        <f t="shared" si="330"/>
        <v>262.77388138461356</v>
      </c>
      <c r="AB543" s="160">
        <f t="shared" si="331"/>
        <v>-3.1249349285610393</v>
      </c>
      <c r="AC543" s="171" t="str">
        <f t="shared" si="332"/>
        <v>0.00181055775997961+0.000406079042265149i</v>
      </c>
      <c r="AD543" s="190">
        <f t="shared" si="333"/>
        <v>-54.630605061516988</v>
      </c>
      <c r="AE543" s="169">
        <f t="shared" si="334"/>
        <v>12.641327643504233</v>
      </c>
      <c r="AF543" s="98" t="str">
        <f t="shared" si="320"/>
        <v>-0.0000897803247373448</v>
      </c>
      <c r="AG543" s="98" t="str">
        <f t="shared" si="321"/>
        <v>22.3465181224331i</v>
      </c>
      <c r="AH543" s="98">
        <f t="shared" si="335"/>
        <v>22.3465181224331</v>
      </c>
      <c r="AI543" s="98">
        <f t="shared" si="336"/>
        <v>1.5707963267948966</v>
      </c>
      <c r="AJ543" s="98" t="str">
        <f t="shared" si="322"/>
        <v>1+2625.71587938588i</v>
      </c>
      <c r="AK543" s="98">
        <f t="shared" si="337"/>
        <v>2625.7160698101316</v>
      </c>
      <c r="AL543" s="98">
        <f t="shared" si="338"/>
        <v>1.5704154782958255</v>
      </c>
      <c r="AM543" s="98" t="str">
        <f t="shared" si="323"/>
        <v>1+5251.43175877177i</v>
      </c>
      <c r="AN543" s="98">
        <f t="shared" si="339"/>
        <v>5251.4318539838978</v>
      </c>
      <c r="AO543" s="98">
        <f t="shared" si="340"/>
        <v>1.570605902538456</v>
      </c>
      <c r="AP543" s="168" t="str">
        <f t="shared" si="341"/>
        <v>-1.53011303276291E-09+8.03528475750301E-06i</v>
      </c>
      <c r="AQ543" s="98">
        <f t="shared" si="342"/>
        <v>-101.89997440118887</v>
      </c>
      <c r="AR543" s="169">
        <f t="shared" si="343"/>
        <v>90.010910505419702</v>
      </c>
      <c r="AS543" s="168" t="str">
        <f t="shared" si="344"/>
        <v>-3.26573109667969E-09+1.45477258245081E-08i</v>
      </c>
      <c r="AT543" s="190">
        <f t="shared" si="345"/>
        <v>-156.53057946270582</v>
      </c>
      <c r="AU543" s="169">
        <f t="shared" si="346"/>
        <v>102.65223814892391</v>
      </c>
      <c r="AV543" s="225"/>
      <c r="AX543">
        <f t="shared" si="347"/>
        <v>0</v>
      </c>
      <c r="AY543">
        <f t="shared" si="348"/>
        <v>0</v>
      </c>
    </row>
    <row r="544" spans="14:51" x14ac:dyDescent="0.3">
      <c r="N544" s="170">
        <v>26</v>
      </c>
      <c r="O544" s="199">
        <f t="shared" si="314"/>
        <v>1819700.8586099846</v>
      </c>
      <c r="P544" s="189" t="str">
        <f t="shared" si="315"/>
        <v>20.7142857142857</v>
      </c>
      <c r="Q544" s="160" t="str">
        <f t="shared" si="316"/>
        <v>1+2613.37547389264i</v>
      </c>
      <c r="R544" s="160">
        <f t="shared" si="324"/>
        <v>2613.3756652160782</v>
      </c>
      <c r="S544" s="160">
        <f t="shared" si="325"/>
        <v>1.5704136799226107</v>
      </c>
      <c r="T544" s="160" t="str">
        <f t="shared" si="317"/>
        <v>1+0.228670353965606i</v>
      </c>
      <c r="U544" s="160">
        <f t="shared" si="326"/>
        <v>1.0258119373368373</v>
      </c>
      <c r="V544" s="160">
        <f t="shared" si="327"/>
        <v>0.22480518005426375</v>
      </c>
      <c r="W544" s="98" t="str">
        <f t="shared" si="318"/>
        <v>1-60.0259679159714i</v>
      </c>
      <c r="X544" s="160">
        <f t="shared" si="328"/>
        <v>60.034297066337238</v>
      </c>
      <c r="Y544" s="160">
        <f t="shared" si="329"/>
        <v>-1.5541384112689796</v>
      </c>
      <c r="Z544" s="98" t="str">
        <f t="shared" si="319"/>
        <v>-275.166986912358-4.4789663536439i</v>
      </c>
      <c r="AA544" s="160">
        <f t="shared" si="330"/>
        <v>275.20343716244332</v>
      </c>
      <c r="AB544" s="160">
        <f t="shared" si="331"/>
        <v>-3.1253168245003971</v>
      </c>
      <c r="AC544" s="171" t="str">
        <f t="shared" si="332"/>
        <v>0.00172877158672979+0.000396710233597189i</v>
      </c>
      <c r="AD544" s="190">
        <f t="shared" si="333"/>
        <v>-55.022371115497592</v>
      </c>
      <c r="AE544" s="169">
        <f t="shared" si="334"/>
        <v>12.924204020835525</v>
      </c>
      <c r="AF544" s="98" t="str">
        <f t="shared" si="320"/>
        <v>-0.0000897803247373448</v>
      </c>
      <c r="AG544" s="98" t="str">
        <f t="shared" si="321"/>
        <v>22.8670353965607i</v>
      </c>
      <c r="AH544" s="98">
        <f t="shared" si="335"/>
        <v>22.867035396560699</v>
      </c>
      <c r="AI544" s="98">
        <f t="shared" si="336"/>
        <v>1.5707963267948966</v>
      </c>
      <c r="AJ544" s="98" t="str">
        <f t="shared" si="322"/>
        <v>1+2686.87665909587i</v>
      </c>
      <c r="AK544" s="98">
        <f t="shared" si="337"/>
        <v>2686.8768451855371</v>
      </c>
      <c r="AL544" s="98">
        <f t="shared" si="338"/>
        <v>1.5704241474652492</v>
      </c>
      <c r="AM544" s="98" t="str">
        <f t="shared" si="323"/>
        <v>1+5373.75331819175i</v>
      </c>
      <c r="AN544" s="98">
        <f t="shared" si="339"/>
        <v>5373.7534112365847</v>
      </c>
      <c r="AO544" s="98">
        <f t="shared" si="340"/>
        <v>1.5706102371236288</v>
      </c>
      <c r="AP544" s="168" t="str">
        <f t="shared" si="341"/>
        <v>-1.46124661160256E-09+7.85237937164147E-06i</v>
      </c>
      <c r="AQ544" s="98">
        <f t="shared" si="342"/>
        <v>-102.09997437992541</v>
      </c>
      <c r="AR544" s="169">
        <f t="shared" si="343"/>
        <v>90.010662152036176</v>
      </c>
      <c r="AS544" s="168" t="str">
        <f t="shared" si="344"/>
        <v>-3.11764541644098E-09+1.35743906544323E-08i</v>
      </c>
      <c r="AT544" s="190">
        <f t="shared" si="345"/>
        <v>-157.12234549542299</v>
      </c>
      <c r="AU544" s="169">
        <f t="shared" si="346"/>
        <v>102.93486617287166</v>
      </c>
      <c r="AV544" s="225"/>
      <c r="AX544">
        <f t="shared" si="347"/>
        <v>0</v>
      </c>
      <c r="AY544">
        <f t="shared" si="348"/>
        <v>0</v>
      </c>
    </row>
    <row r="545" spans="14:51" x14ac:dyDescent="0.3">
      <c r="N545" s="170">
        <v>27</v>
      </c>
      <c r="O545" s="199">
        <f t="shared" si="314"/>
        <v>1862087.1366628683</v>
      </c>
      <c r="P545" s="189" t="str">
        <f t="shared" si="315"/>
        <v>20.7142857142857</v>
      </c>
      <c r="Q545" s="160" t="str">
        <f t="shared" si="316"/>
        <v>1+2674.24880863273i</v>
      </c>
      <c r="R545" s="160">
        <f t="shared" si="324"/>
        <v>2674.248995601115</v>
      </c>
      <c r="S545" s="160">
        <f t="shared" si="325"/>
        <v>1.570422390027995</v>
      </c>
      <c r="T545" s="160" t="str">
        <f t="shared" si="317"/>
        <v>1+0.233996770755364i</v>
      </c>
      <c r="U545" s="160">
        <f t="shared" si="326"/>
        <v>1.027012409235613</v>
      </c>
      <c r="V545" s="160">
        <f t="shared" si="327"/>
        <v>0.22986102279768975</v>
      </c>
      <c r="W545" s="98" t="str">
        <f t="shared" si="318"/>
        <v>1-61.4241523232829i</v>
      </c>
      <c r="X545" s="160">
        <f t="shared" si="328"/>
        <v>61.432291904452491</v>
      </c>
      <c r="Y545" s="160">
        <f t="shared" si="329"/>
        <v>-1.55451752395467</v>
      </c>
      <c r="Z545" s="98" t="str">
        <f t="shared" si="319"/>
        <v>-288.182336025128-4.58329488234507i</v>
      </c>
      <c r="AA545" s="160">
        <f t="shared" si="330"/>
        <v>288.21878042361902</v>
      </c>
      <c r="AB545" s="160">
        <f t="shared" si="331"/>
        <v>-3.1256898450820789</v>
      </c>
      <c r="AC545" s="171" t="str">
        <f t="shared" si="332"/>
        <v>0.00165069267252137+0.000387562670956672i</v>
      </c>
      <c r="AD545" s="190">
        <f t="shared" si="333"/>
        <v>-55.41363491921463</v>
      </c>
      <c r="AE545" s="169">
        <f t="shared" si="334"/>
        <v>13.213034367790044</v>
      </c>
      <c r="AF545" s="98" t="str">
        <f t="shared" si="320"/>
        <v>-0.0000897803247373448</v>
      </c>
      <c r="AG545" s="98" t="str">
        <f t="shared" si="321"/>
        <v>23.3996770755365i</v>
      </c>
      <c r="AH545" s="98">
        <f t="shared" si="335"/>
        <v>23.399677075536498</v>
      </c>
      <c r="AI545" s="98">
        <f t="shared" si="336"/>
        <v>1.5707963267948966</v>
      </c>
      <c r="AJ545" s="98" t="str">
        <f t="shared" si="322"/>
        <v>1+2749.46205637553i</v>
      </c>
      <c r="AK545" s="98">
        <f t="shared" si="337"/>
        <v>2749.4622382292796</v>
      </c>
      <c r="AL545" s="98">
        <f t="shared" si="338"/>
        <v>1.5704326193003391</v>
      </c>
      <c r="AM545" s="98" t="str">
        <f t="shared" si="323"/>
        <v>1+5498.92411275107i</v>
      </c>
      <c r="AN545" s="98">
        <f t="shared" si="339"/>
        <v>5498.9242036779469</v>
      </c>
      <c r="AO545" s="98">
        <f t="shared" si="340"/>
        <v>1.5706144730416038</v>
      </c>
      <c r="AP545" s="168" t="str">
        <f t="shared" si="341"/>
        <v>-1.39547968912924E-09+7.67363741895358E-06i</v>
      </c>
      <c r="AQ545" s="98">
        <f t="shared" si="342"/>
        <v>-102.29997435961894</v>
      </c>
      <c r="AR545" s="169">
        <f t="shared" si="343"/>
        <v>90.010419451863129</v>
      </c>
      <c r="AS545" s="168" t="str">
        <f t="shared" si="344"/>
        <v>-2.97631892214021E-09+1.26662762232169E-08i</v>
      </c>
      <c r="AT545" s="190">
        <f t="shared" si="345"/>
        <v>-157.71360927883359</v>
      </c>
      <c r="AU545" s="169">
        <f t="shared" si="346"/>
        <v>103.22345381965316</v>
      </c>
      <c r="AV545" s="225"/>
      <c r="AX545">
        <f t="shared" si="347"/>
        <v>0</v>
      </c>
      <c r="AY545">
        <f t="shared" si="348"/>
        <v>0</v>
      </c>
    </row>
    <row r="546" spans="14:51" x14ac:dyDescent="0.3">
      <c r="N546" s="170">
        <v>28</v>
      </c>
      <c r="O546" s="199">
        <f t="shared" si="314"/>
        <v>1905460.7179632513</v>
      </c>
      <c r="P546" s="189" t="str">
        <f t="shared" si="315"/>
        <v>20.7142857142857</v>
      </c>
      <c r="Q546" s="160" t="str">
        <f t="shared" si="316"/>
        <v>1+2736.54006548905i</v>
      </c>
      <c r="R546" s="160">
        <f t="shared" si="324"/>
        <v>2736.5402482015156</v>
      </c>
      <c r="S546" s="160">
        <f t="shared" si="325"/>
        <v>1.57043090186723</v>
      </c>
      <c r="T546" s="160" t="str">
        <f t="shared" si="317"/>
        <v>1+0.239447255730292i</v>
      </c>
      <c r="U546" s="160">
        <f t="shared" si="326"/>
        <v>1.0282679554847403</v>
      </c>
      <c r="V546" s="160">
        <f t="shared" si="327"/>
        <v>0.23502227500907402</v>
      </c>
      <c r="W546" s="98" t="str">
        <f t="shared" si="318"/>
        <v>1-62.8549046292015i</v>
      </c>
      <c r="X546" s="160">
        <f t="shared" si="328"/>
        <v>62.862858954600668</v>
      </c>
      <c r="Y546" s="160">
        <f t="shared" si="329"/>
        <v>-1.5548880115041432</v>
      </c>
      <c r="Z546" s="98" t="str">
        <f t="shared" si="319"/>
        <v>-301.811079643965-4.69005353465999i</v>
      </c>
      <c r="AA546" s="160">
        <f t="shared" si="330"/>
        <v>301.84751845594781</v>
      </c>
      <c r="AB546" s="160">
        <f t="shared" si="331"/>
        <v>-3.126054204592835</v>
      </c>
      <c r="AC546" s="171" t="str">
        <f t="shared" si="332"/>
        <v>0.00157615184032627+0.000378630826668483i</v>
      </c>
      <c r="AD546" s="190">
        <f t="shared" si="333"/>
        <v>-55.804381144238306</v>
      </c>
      <c r="AE546" s="169">
        <f t="shared" si="334"/>
        <v>13.507913533285652</v>
      </c>
      <c r="AF546" s="98" t="str">
        <f t="shared" si="320"/>
        <v>-0.0000897803247373448</v>
      </c>
      <c r="AG546" s="98" t="str">
        <f t="shared" si="321"/>
        <v>23.9447255730291i</v>
      </c>
      <c r="AH546" s="98">
        <f t="shared" si="335"/>
        <v>23.9447255730291</v>
      </c>
      <c r="AI546" s="98">
        <f t="shared" si="336"/>
        <v>1.5707963267948966</v>
      </c>
      <c r="AJ546" s="98" t="str">
        <f t="shared" si="322"/>
        <v>1+2813.50525483093i</v>
      </c>
      <c r="AK546" s="98">
        <f t="shared" si="337"/>
        <v>2813.5054325451833</v>
      </c>
      <c r="AL546" s="98">
        <f t="shared" si="338"/>
        <v>1.570440898292969</v>
      </c>
      <c r="AM546" s="98" t="str">
        <f t="shared" si="323"/>
        <v>1+5627.01050966188i</v>
      </c>
      <c r="AN546" s="98">
        <f t="shared" si="339"/>
        <v>5627.0105985190075</v>
      </c>
      <c r="AO546" s="98">
        <f t="shared" si="340"/>
        <v>1.5706186125383201</v>
      </c>
      <c r="AP546" s="168" t="str">
        <f t="shared" si="341"/>
        <v>-1.33267276499629E-09+7.49896412824411E-06i</v>
      </c>
      <c r="AQ546" s="98">
        <f t="shared" si="342"/>
        <v>-102.49997434022643</v>
      </c>
      <c r="AR546" s="169">
        <f t="shared" si="343"/>
        <v>90.010182276217975</v>
      </c>
      <c r="AS546" s="168" t="str">
        <f t="shared" si="344"/>
        <v>-2.84143948166547E-09+1.18190015202819E-08i</v>
      </c>
      <c r="AT546" s="190">
        <f t="shared" si="345"/>
        <v>-158.30435548446476</v>
      </c>
      <c r="AU546" s="169">
        <f t="shared" si="346"/>
        <v>103.51809580950368</v>
      </c>
      <c r="AV546" s="225"/>
      <c r="AX546">
        <f t="shared" si="347"/>
        <v>0</v>
      </c>
      <c r="AY546">
        <f t="shared" si="348"/>
        <v>0</v>
      </c>
    </row>
    <row r="547" spans="14:51" x14ac:dyDescent="0.3">
      <c r="N547" s="170">
        <v>29</v>
      </c>
      <c r="O547" s="199">
        <f t="shared" si="314"/>
        <v>1949844.5997580495</v>
      </c>
      <c r="P547" s="189" t="str">
        <f t="shared" si="315"/>
        <v>20.7142857142857</v>
      </c>
      <c r="Q547" s="160" t="str">
        <f t="shared" si="316"/>
        <v>1+2800.28227211045i</v>
      </c>
      <c r="R547" s="160">
        <f t="shared" si="324"/>
        <v>2800.2824506638722</v>
      </c>
      <c r="S547" s="160">
        <f t="shared" si="325"/>
        <v>1.5704392199534003</v>
      </c>
      <c r="T547" s="160" t="str">
        <f t="shared" si="317"/>
        <v>1+0.245024698809664i</v>
      </c>
      <c r="U547" s="160">
        <f t="shared" si="326"/>
        <v>1.0295810327636998</v>
      </c>
      <c r="V547" s="160">
        <f t="shared" si="327"/>
        <v>0.24029057286222513</v>
      </c>
      <c r="W547" s="98" t="str">
        <f t="shared" si="318"/>
        <v>1-64.3189834375366i</v>
      </c>
      <c r="X547" s="160">
        <f t="shared" si="328"/>
        <v>64.326756722518724</v>
      </c>
      <c r="Y547" s="160">
        <f t="shared" si="329"/>
        <v>-1.5552500699477403</v>
      </c>
      <c r="Z547" s="98" t="str">
        <f t="shared" si="319"/>
        <v>-316.082126161305-4.79929891543912i</v>
      </c>
      <c r="AA547" s="160">
        <f t="shared" si="330"/>
        <v>316.11855963978269</v>
      </c>
      <c r="AB547" s="160">
        <f t="shared" si="331"/>
        <v>-3.1264101116137795</v>
      </c>
      <c r="AC547" s="171" t="str">
        <f t="shared" si="332"/>
        <v>0.00150498773314795+0.000369909327122286i</v>
      </c>
      <c r="AD547" s="190">
        <f t="shared" si="333"/>
        <v>-56.194593646103066</v>
      </c>
      <c r="AE547" s="169">
        <f t="shared" si="334"/>
        <v>13.808935723701962</v>
      </c>
      <c r="AF547" s="98" t="str">
        <f t="shared" si="320"/>
        <v>-0.0000897803247373448</v>
      </c>
      <c r="AG547" s="98" t="str">
        <f t="shared" si="321"/>
        <v>24.5024698809665i</v>
      </c>
      <c r="AH547" s="98">
        <f t="shared" si="335"/>
        <v>24.502469880966501</v>
      </c>
      <c r="AI547" s="98">
        <f t="shared" si="336"/>
        <v>1.5707963267948966</v>
      </c>
      <c r="AJ547" s="98" t="str">
        <f t="shared" si="322"/>
        <v>1+2879.04021101355i</v>
      </c>
      <c r="AK547" s="98">
        <f t="shared" si="337"/>
        <v>2879.0403846825329</v>
      </c>
      <c r="AL547" s="98">
        <f t="shared" si="338"/>
        <v>1.570448988832766</v>
      </c>
      <c r="AM547" s="98" t="str">
        <f t="shared" si="323"/>
        <v>1+5758.08042202712i</v>
      </c>
      <c r="AN547" s="98">
        <f t="shared" si="339"/>
        <v>5758.0805088616125</v>
      </c>
      <c r="AO547" s="98">
        <f t="shared" si="340"/>
        <v>1.5706226578085933</v>
      </c>
      <c r="AP547" s="168" t="str">
        <f t="shared" si="341"/>
        <v>-1.27269261740037E-09+7.32826688556595E-06i</v>
      </c>
      <c r="AQ547" s="98">
        <f t="shared" si="342"/>
        <v>-102.69997432170672</v>
      </c>
      <c r="AR547" s="169">
        <f t="shared" si="343"/>
        <v>90.009950499347255</v>
      </c>
      <c r="AS547" s="168" t="str">
        <f t="shared" si="344"/>
        <v>-2.71270965938949E-09+1.10284809871414E-08i</v>
      </c>
      <c r="AT547" s="190">
        <f t="shared" si="345"/>
        <v>-158.89456796780976</v>
      </c>
      <c r="AU547" s="169">
        <f t="shared" si="346"/>
        <v>103.81888622304918</v>
      </c>
      <c r="AV547" s="225"/>
      <c r="AX547">
        <f t="shared" si="347"/>
        <v>0</v>
      </c>
      <c r="AY547">
        <f t="shared" si="348"/>
        <v>0</v>
      </c>
    </row>
    <row r="548" spans="14:51" x14ac:dyDescent="0.3">
      <c r="N548" s="170">
        <v>30</v>
      </c>
      <c r="O548" s="199">
        <f t="shared" si="314"/>
        <v>1995262.31496888</v>
      </c>
      <c r="P548" s="189" t="str">
        <f t="shared" si="315"/>
        <v>20.7142857142857</v>
      </c>
      <c r="Q548" s="160" t="str">
        <f t="shared" si="316"/>
        <v>1+2865.50922545865i</v>
      </c>
      <c r="R548" s="160">
        <f t="shared" si="324"/>
        <v>2865.5093999477008</v>
      </c>
      <c r="S548" s="160">
        <f t="shared" si="325"/>
        <v>1.5704473486968609</v>
      </c>
      <c r="T548" s="160" t="str">
        <f t="shared" si="317"/>
        <v>1+0.250732057227632i</v>
      </c>
      <c r="U548" s="160">
        <f t="shared" si="326"/>
        <v>1.0309542009815957</v>
      </c>
      <c r="V548" s="160">
        <f t="shared" si="327"/>
        <v>0.24566753939756472</v>
      </c>
      <c r="W548" s="98" t="str">
        <f t="shared" si="318"/>
        <v>1-65.8171650222532i</v>
      </c>
      <c r="X548" s="160">
        <f t="shared" si="328"/>
        <v>65.824761386324155</v>
      </c>
      <c r="Y548" s="160">
        <f t="shared" si="329"/>
        <v>-1.5556038908737357</v>
      </c>
      <c r="Z548" s="98" t="str">
        <f t="shared" si="319"/>
        <v>-331.025746380181-4.91108894802949i</v>
      </c>
      <c r="AA548" s="160">
        <f t="shared" si="330"/>
        <v>331.06217476663102</v>
      </c>
      <c r="AB548" s="160">
        <f t="shared" si="331"/>
        <v>-3.1267577692065802</v>
      </c>
      <c r="AC548" s="171" t="str">
        <f t="shared" si="332"/>
        <v>0.00143704644376827+0.000361392947884759i</v>
      </c>
      <c r="AD548" s="190">
        <f t="shared" si="333"/>
        <v>-56.584255454666312</v>
      </c>
      <c r="AE548" s="169">
        <f t="shared" si="334"/>
        <v>14.116194337087101</v>
      </c>
      <c r="AF548" s="98" t="str">
        <f t="shared" si="320"/>
        <v>-0.0000897803247373448</v>
      </c>
      <c r="AG548" s="98" t="str">
        <f t="shared" si="321"/>
        <v>25.0732057227632i</v>
      </c>
      <c r="AH548" s="98">
        <f t="shared" si="335"/>
        <v>25.073205722763198</v>
      </c>
      <c r="AI548" s="98">
        <f t="shared" si="336"/>
        <v>1.5707963267948966</v>
      </c>
      <c r="AJ548" s="98" t="str">
        <f t="shared" si="322"/>
        <v>1+2946.10167242468i</v>
      </c>
      <c r="AK548" s="98">
        <f t="shared" si="337"/>
        <v>2946.1018421404747</v>
      </c>
      <c r="AL548" s="98">
        <f t="shared" si="338"/>
        <v>1.5704568952094373</v>
      </c>
      <c r="AM548" s="98" t="str">
        <f t="shared" si="323"/>
        <v>1+5892.20334484937i</v>
      </c>
      <c r="AN548" s="98">
        <f t="shared" si="339"/>
        <v>5892.2034297072696</v>
      </c>
      <c r="AO548" s="98">
        <f t="shared" si="340"/>
        <v>1.5706266109972786</v>
      </c>
      <c r="AP548" s="168" t="str">
        <f t="shared" si="341"/>
        <v>-1.21541202050107E-09+7.16145518511581E-06i</v>
      </c>
      <c r="AQ548" s="98">
        <f t="shared" si="342"/>
        <v>-102.89997430402055</v>
      </c>
      <c r="AR548" s="169">
        <f t="shared" si="343"/>
        <v>90.00972399836003</v>
      </c>
      <c r="AS548" s="168" t="str">
        <f t="shared" si="344"/>
        <v>-2.58984600401537E-09+1.02909044646435E-08i</v>
      </c>
      <c r="AT548" s="190">
        <f t="shared" si="345"/>
        <v>-159.48422975868687</v>
      </c>
      <c r="AU548" s="169">
        <f t="shared" si="346"/>
        <v>104.12591833544718</v>
      </c>
      <c r="AV548" s="225"/>
      <c r="AX548">
        <f t="shared" si="347"/>
        <v>0</v>
      </c>
      <c r="AY548">
        <f t="shared" si="348"/>
        <v>0</v>
      </c>
    </row>
    <row r="549" spans="14:51" x14ac:dyDescent="0.3">
      <c r="N549" s="170">
        <v>31</v>
      </c>
      <c r="O549" s="199">
        <f t="shared" si="314"/>
        <v>2041737.9446695296</v>
      </c>
      <c r="P549" s="189" t="str">
        <f t="shared" si="315"/>
        <v>20.7142857142857</v>
      </c>
      <c r="Q549" s="160" t="str">
        <f t="shared" si="316"/>
        <v>1+2932.25550972768i</v>
      </c>
      <c r="R549" s="160">
        <f t="shared" si="324"/>
        <v>2932.2556802448753</v>
      </c>
      <c r="S549" s="160">
        <f t="shared" si="325"/>
        <v>1.5704552924075745</v>
      </c>
      <c r="T549" s="160" t="str">
        <f t="shared" si="317"/>
        <v>1+0.256572357101172i</v>
      </c>
      <c r="U549" s="160">
        <f t="shared" si="326"/>
        <v>1.0323901270490974</v>
      </c>
      <c r="V549" s="160">
        <f t="shared" si="327"/>
        <v>0.25115478135843539</v>
      </c>
      <c r="W549" s="98" t="str">
        <f t="shared" si="318"/>
        <v>1-67.3502437390575i</v>
      </c>
      <c r="X549" s="160">
        <f t="shared" si="328"/>
        <v>67.357667208050287</v>
      </c>
      <c r="Y549" s="160">
        <f t="shared" si="329"/>
        <v>-1.5559496615281077</v>
      </c>
      <c r="Z549" s="98" t="str">
        <f t="shared" si="319"/>
        <v>-346.673637722593-5.02548290498602i</v>
      </c>
      <c r="AA549" s="160">
        <f t="shared" si="330"/>
        <v>346.71006124749823</v>
      </c>
      <c r="AB549" s="160">
        <f t="shared" si="331"/>
        <v>-3.1270973750915338</v>
      </c>
      <c r="AC549" s="171" t="str">
        <f t="shared" si="332"/>
        <v>0.00137218116279247+0.000353076608959397i</v>
      </c>
      <c r="AD549" s="190">
        <f t="shared" si="333"/>
        <v>-56.973348764640662</v>
      </c>
      <c r="AE549" s="169">
        <f t="shared" si="334"/>
        <v>14.429781786245176</v>
      </c>
      <c r="AF549" s="98" t="str">
        <f t="shared" si="320"/>
        <v>-0.0000897803247373448</v>
      </c>
      <c r="AG549" s="98" t="str">
        <f t="shared" si="321"/>
        <v>25.6572357101173i</v>
      </c>
      <c r="AH549" s="98">
        <f t="shared" si="335"/>
        <v>25.657235710117298</v>
      </c>
      <c r="AI549" s="98">
        <f t="shared" si="336"/>
        <v>1.5707963267948966</v>
      </c>
      <c r="AJ549" s="98" t="str">
        <f t="shared" si="322"/>
        <v>1+3014.72519593877i</v>
      </c>
      <c r="AK549" s="98">
        <f t="shared" si="337"/>
        <v>3014.7253617913611</v>
      </c>
      <c r="AL549" s="98">
        <f t="shared" si="338"/>
        <v>1.5704646216150444</v>
      </c>
      <c r="AM549" s="98" t="str">
        <f t="shared" si="323"/>
        <v>1+6029.45039187756i</v>
      </c>
      <c r="AN549" s="98">
        <f t="shared" si="339"/>
        <v>6029.4504748038571</v>
      </c>
      <c r="AO549" s="98">
        <f t="shared" si="340"/>
        <v>1.5706304742004085</v>
      </c>
      <c r="AP549" s="168" t="str">
        <f t="shared" si="341"/>
        <v>-1.16070947455871E-09+6.99844058124727E-06i</v>
      </c>
      <c r="AQ549" s="98">
        <f t="shared" si="342"/>
        <v>-103.09997428713038</v>
      </c>
      <c r="AR549" s="169">
        <f t="shared" si="343"/>
        <v>90.009502653162684</v>
      </c>
      <c r="AS549" s="168" t="str">
        <f t="shared" si="344"/>
        <v>-2.47257837210708E-09+9.60271851514462E-09i</v>
      </c>
      <c r="AT549" s="190">
        <f t="shared" si="345"/>
        <v>-160.07332305177104</v>
      </c>
      <c r="AU549" s="169">
        <f t="shared" si="346"/>
        <v>104.43928443940786</v>
      </c>
      <c r="AV549" s="225"/>
      <c r="AX549">
        <f t="shared" si="347"/>
        <v>0</v>
      </c>
      <c r="AY549">
        <f t="shared" si="348"/>
        <v>0</v>
      </c>
    </row>
    <row r="550" spans="14:51" x14ac:dyDescent="0.3">
      <c r="N550" s="170">
        <v>32</v>
      </c>
      <c r="O550" s="199">
        <f t="shared" si="314"/>
        <v>2089296.1308540432</v>
      </c>
      <c r="P550" s="189" t="str">
        <f t="shared" si="315"/>
        <v>20.7142857142857</v>
      </c>
      <c r="Q550" s="160" t="str">
        <f t="shared" si="316"/>
        <v>1+3000.55651468098i</v>
      </c>
      <c r="R550" s="160">
        <f t="shared" si="324"/>
        <v>3000.5566813167306</v>
      </c>
      <c r="S550" s="160">
        <f t="shared" si="325"/>
        <v>1.5704630552973982</v>
      </c>
      <c r="T550" s="160" t="str">
        <f t="shared" si="317"/>
        <v>1+0.262548695034586i</v>
      </c>
      <c r="U550" s="160">
        <f t="shared" si="326"/>
        <v>1.0338915887385698</v>
      </c>
      <c r="V550" s="160">
        <f t="shared" si="327"/>
        <v>0.25675388583381753</v>
      </c>
      <c r="W550" s="98" t="str">
        <f t="shared" si="318"/>
        <v>1-68.9190324465786i</v>
      </c>
      <c r="X550" s="160">
        <f t="shared" si="328"/>
        <v>68.926286954779115</v>
      </c>
      <c r="Y550" s="160">
        <f t="shared" si="329"/>
        <v>-1.5562875649121291</v>
      </c>
      <c r="Z550" s="98" t="str">
        <f t="shared" si="319"/>
        <v>-363.058991464038-5.14254143949895i</v>
      </c>
      <c r="AA550" s="160">
        <f t="shared" si="330"/>
        <v>363.09541034739254</v>
      </c>
      <c r="AB550" s="160">
        <f t="shared" si="331"/>
        <v>-3.1274291218179862</v>
      </c>
      <c r="AC550" s="171" t="str">
        <f t="shared" si="332"/>
        <v>0.00131025184402116+0.000344955370194182i</v>
      </c>
      <c r="AD550" s="190">
        <f t="shared" si="333"/>
        <v>-57.361854926421209</v>
      </c>
      <c r="AE550" s="169">
        <f t="shared" si="334"/>
        <v>14.749789310419125</v>
      </c>
      <c r="AF550" s="98" t="str">
        <f t="shared" si="320"/>
        <v>-0.0000897803247373448</v>
      </c>
      <c r="AG550" s="98" t="str">
        <f t="shared" si="321"/>
        <v>26.2548695034586i</v>
      </c>
      <c r="AH550" s="98">
        <f t="shared" si="335"/>
        <v>26.2548695034586</v>
      </c>
      <c r="AI550" s="98">
        <f t="shared" si="336"/>
        <v>1.5707963267948966</v>
      </c>
      <c r="AJ550" s="98" t="str">
        <f t="shared" si="322"/>
        <v>1+3084.94716665639i</v>
      </c>
      <c r="AK550" s="98">
        <f t="shared" si="337"/>
        <v>3084.9473287337159</v>
      </c>
      <c r="AL550" s="98">
        <f t="shared" si="338"/>
        <v>1.570472172146226</v>
      </c>
      <c r="AM550" s="98" t="str">
        <f t="shared" si="323"/>
        <v>1+6169.89433331279i</v>
      </c>
      <c r="AN550" s="98">
        <f t="shared" si="339"/>
        <v>6169.8944143514545</v>
      </c>
      <c r="AO550" s="98">
        <f t="shared" si="340"/>
        <v>1.5706342494663037</v>
      </c>
      <c r="AP550" s="168" t="str">
        <f t="shared" si="341"/>
        <v>-1.10846894821762E-09+6.83913664157644E-06i</v>
      </c>
      <c r="AQ550" s="98">
        <f t="shared" si="342"/>
        <v>-103.29997427100041</v>
      </c>
      <c r="AR550" s="169">
        <f t="shared" si="343"/>
        <v>90.009286346395243</v>
      </c>
      <c r="AS550" s="168" t="str">
        <f t="shared" si="344"/>
        <v>-2.36064928548704E-09+8.96060902382183E-09i</v>
      </c>
      <c r="AT550" s="190">
        <f t="shared" si="345"/>
        <v>-160.66182919742161</v>
      </c>
      <c r="AU550" s="169">
        <f t="shared" si="346"/>
        <v>104.75907565681437</v>
      </c>
      <c r="AV550" s="225"/>
      <c r="AX550">
        <f t="shared" si="347"/>
        <v>0</v>
      </c>
      <c r="AY550">
        <f t="shared" si="348"/>
        <v>0</v>
      </c>
    </row>
    <row r="551" spans="14:51" x14ac:dyDescent="0.3">
      <c r="N551" s="170">
        <v>33</v>
      </c>
      <c r="O551" s="199">
        <f t="shared" si="314"/>
        <v>2137962.0895022359</v>
      </c>
      <c r="P551" s="189" t="str">
        <f t="shared" si="315"/>
        <v>20.7142857142857</v>
      </c>
      <c r="Q551" s="160" t="str">
        <f t="shared" si="316"/>
        <v>1+3070.44845441541i</v>
      </c>
      <c r="R551" s="160">
        <f t="shared" si="324"/>
        <v>3070.4486172580682</v>
      </c>
      <c r="S551" s="160">
        <f t="shared" si="325"/>
        <v>1.5704706414823146</v>
      </c>
      <c r="T551" s="160" t="str">
        <f t="shared" si="317"/>
        <v>1+0.268664239761348i</v>
      </c>
      <c r="U551" s="160">
        <f t="shared" si="326"/>
        <v>1.0354614786299599</v>
      </c>
      <c r="V551" s="160">
        <f t="shared" si="327"/>
        <v>0.26246641670245041</v>
      </c>
      <c r="W551" s="98" t="str">
        <f t="shared" si="318"/>
        <v>1-70.5243629373537i</v>
      </c>
      <c r="X551" s="160">
        <f t="shared" si="328"/>
        <v>70.531452329578372</v>
      </c>
      <c r="Y551" s="160">
        <f t="shared" si="329"/>
        <v>-1.556617779877818</v>
      </c>
      <c r="Z551" s="98" t="str">
        <f t="shared" si="319"/>
        <v>-380.216563136612-5.26232661755263i</v>
      </c>
      <c r="AA551" s="160">
        <f t="shared" si="330"/>
        <v>380.25297758840372</v>
      </c>
      <c r="AB551" s="160">
        <f t="shared" si="331"/>
        <v>-3.1277531969275221</v>
      </c>
      <c r="AC551" s="171" t="str">
        <f t="shared" si="332"/>
        <v>0.00125112488623649+0.000337024426836763i</v>
      </c>
      <c r="AD551" s="190">
        <f t="shared" si="333"/>
        <v>-57.749754437328832</v>
      </c>
      <c r="AE551" s="169">
        <f t="shared" si="334"/>
        <v>15.076306775307186</v>
      </c>
      <c r="AF551" s="98" t="str">
        <f t="shared" si="320"/>
        <v>-0.0000897803247373448</v>
      </c>
      <c r="AG551" s="98" t="str">
        <f t="shared" si="321"/>
        <v>26.8664239761348i</v>
      </c>
      <c r="AH551" s="98">
        <f t="shared" si="335"/>
        <v>26.866423976134801</v>
      </c>
      <c r="AI551" s="98">
        <f t="shared" si="336"/>
        <v>1.5707963267948966</v>
      </c>
      <c r="AJ551" s="98" t="str">
        <f t="shared" si="322"/>
        <v>1+3156.80481719584i</v>
      </c>
      <c r="AK551" s="98">
        <f t="shared" si="337"/>
        <v>3156.8049755838356</v>
      </c>
      <c r="AL551" s="98">
        <f t="shared" si="338"/>
        <v>1.5704795508063705</v>
      </c>
      <c r="AM551" s="98" t="str">
        <f t="shared" si="323"/>
        <v>1+6313.60963439169i</v>
      </c>
      <c r="AN551" s="98">
        <f t="shared" si="339"/>
        <v>6313.6097135856899</v>
      </c>
      <c r="AO551" s="98">
        <f t="shared" si="340"/>
        <v>1.5706379387966602</v>
      </c>
      <c r="AP551" s="168" t="str">
        <f t="shared" si="341"/>
        <v>-1.05857963238905E-09+6.68345890115497E-06i</v>
      </c>
      <c r="AQ551" s="98">
        <f t="shared" si="342"/>
        <v>-103.49997425559637</v>
      </c>
      <c r="AR551" s="169">
        <f t="shared" si="343"/>
        <v>90.009074963369144</v>
      </c>
      <c r="AS551" s="168" t="str">
        <f t="shared" si="344"/>
        <v>-2.25381332077096E-09+8.3614849901799E-09i</v>
      </c>
      <c r="AT551" s="190">
        <f t="shared" si="345"/>
        <v>-161.2497286929252</v>
      </c>
      <c r="AU551" s="169">
        <f t="shared" si="346"/>
        <v>105.08538173867633</v>
      </c>
      <c r="AV551" s="225"/>
      <c r="AX551">
        <f t="shared" si="347"/>
        <v>0</v>
      </c>
      <c r="AY551">
        <f t="shared" si="348"/>
        <v>0</v>
      </c>
    </row>
    <row r="552" spans="14:51" x14ac:dyDescent="0.3">
      <c r="N552" s="170">
        <v>34</v>
      </c>
      <c r="O552" s="199">
        <f t="shared" si="314"/>
        <v>2187761.6239495561</v>
      </c>
      <c r="P552" s="189" t="str">
        <f t="shared" si="315"/>
        <v>20.7142857142857</v>
      </c>
      <c r="Q552" s="160" t="str">
        <f t="shared" si="316"/>
        <v>1+3141.96838656256i</v>
      </c>
      <c r="R552" s="160">
        <f t="shared" si="324"/>
        <v>3141.9685456984666</v>
      </c>
      <c r="S552" s="160">
        <f t="shared" si="325"/>
        <v>1.5704780549846165</v>
      </c>
      <c r="T552" s="160" t="str">
        <f t="shared" si="317"/>
        <v>1+0.274922233824224i</v>
      </c>
      <c r="U552" s="160">
        <f t="shared" si="326"/>
        <v>1.0371028081395313</v>
      </c>
      <c r="V552" s="160">
        <f t="shared" si="327"/>
        <v>0.26829391087399312</v>
      </c>
      <c r="W552" s="98" t="str">
        <f t="shared" si="318"/>
        <v>1-72.1670863788586i</v>
      </c>
      <c r="X552" s="160">
        <f t="shared" si="328"/>
        <v>72.174014412485306</v>
      </c>
      <c r="Y552" s="160">
        <f t="shared" si="329"/>
        <v>-1.5569404812212972</v>
      </c>
      <c r="Z552" s="98" t="str">
        <f t="shared" si="319"/>
        <v>-398.182746250194-5.3849019508341i</v>
      </c>
      <c r="AA552" s="160">
        <f t="shared" si="330"/>
        <v>398.21915647086399</v>
      </c>
      <c r="AB552" s="160">
        <f t="shared" si="331"/>
        <v>-3.1280697831103197</v>
      </c>
      <c r="AC552" s="171" t="str">
        <f t="shared" si="332"/>
        <v>0.00119467283054177+0.000329279105235756i</v>
      </c>
      <c r="AD552" s="190">
        <f t="shared" si="333"/>
        <v>-58.137026933404911</v>
      </c>
      <c r="AE552" s="169">
        <f t="shared" si="334"/>
        <v>15.409422461182309</v>
      </c>
      <c r="AF552" s="98" t="str">
        <f t="shared" si="320"/>
        <v>-0.0000897803247373448</v>
      </c>
      <c r="AG552" s="98" t="str">
        <f t="shared" si="321"/>
        <v>27.4922233824224i</v>
      </c>
      <c r="AH552" s="98">
        <f t="shared" si="335"/>
        <v>27.492223382422399</v>
      </c>
      <c r="AI552" s="98">
        <f t="shared" si="336"/>
        <v>1.5707963267948966</v>
      </c>
      <c r="AJ552" s="98" t="str">
        <f t="shared" si="322"/>
        <v>1+3230.33624743463i</v>
      </c>
      <c r="AK552" s="98">
        <f t="shared" si="337"/>
        <v>3230.336402217275</v>
      </c>
      <c r="AL552" s="98">
        <f t="shared" si="338"/>
        <v>1.5704867615077378</v>
      </c>
      <c r="AM552" s="98" t="str">
        <f t="shared" si="323"/>
        <v>1+6460.67249486928i</v>
      </c>
      <c r="AN552" s="98">
        <f t="shared" si="339"/>
        <v>6460.6725722606043</v>
      </c>
      <c r="AO552" s="98">
        <f t="shared" si="340"/>
        <v>1.5706415441476089</v>
      </c>
      <c r="AP552" s="168" t="str">
        <f t="shared" si="341"/>
        <v>-1.0109357052106E-09+6.53132481768597E-06i</v>
      </c>
      <c r="AQ552" s="98">
        <f t="shared" si="342"/>
        <v>-103.69997424088564</v>
      </c>
      <c r="AR552" s="169">
        <f t="shared" si="343"/>
        <v>90.008868392006505</v>
      </c>
      <c r="AS552" s="168" t="str">
        <f t="shared" si="344"/>
        <v>-2.15183652939216E-09+7.80246342712815E-09i</v>
      </c>
      <c r="AT552" s="190">
        <f t="shared" si="345"/>
        <v>-161.83700117429055</v>
      </c>
      <c r="AU552" s="169">
        <f t="shared" si="346"/>
        <v>105.41829085318878</v>
      </c>
      <c r="AV552" s="225"/>
      <c r="AX552">
        <f t="shared" si="347"/>
        <v>0</v>
      </c>
      <c r="AY552">
        <f t="shared" si="348"/>
        <v>0</v>
      </c>
    </row>
    <row r="553" spans="14:51" x14ac:dyDescent="0.3">
      <c r="N553" s="170">
        <v>35</v>
      </c>
      <c r="O553" s="199">
        <f t="shared" si="314"/>
        <v>2238721.1385683389</v>
      </c>
      <c r="P553" s="189" t="str">
        <f t="shared" si="315"/>
        <v>20.7142857142857</v>
      </c>
      <c r="Q553" s="160" t="str">
        <f t="shared" si="316"/>
        <v>1+3215.15423193712i</v>
      </c>
      <c r="R553" s="160">
        <f t="shared" si="324"/>
        <v>3215.1543874506515</v>
      </c>
      <c r="S553" s="160">
        <f t="shared" si="325"/>
        <v>1.5704852997350371</v>
      </c>
      <c r="T553" s="160" t="str">
        <f t="shared" si="317"/>
        <v>1+0.281325995294498i</v>
      </c>
      <c r="U553" s="160">
        <f t="shared" si="326"/>
        <v>1.0388187116279914</v>
      </c>
      <c r="V553" s="160">
        <f t="shared" si="327"/>
        <v>0.27423787432337793</v>
      </c>
      <c r="W553" s="98" t="str">
        <f t="shared" si="318"/>
        <v>1-73.8480737648055i</v>
      </c>
      <c r="X553" s="160">
        <f t="shared" si="328"/>
        <v>73.854844111758538</v>
      </c>
      <c r="Y553" s="160">
        <f t="shared" si="329"/>
        <v>-1.5572558397740972</v>
      </c>
      <c r="Z553" s="98" t="str">
        <f t="shared" si="319"/>
        <v>-416.995649487933-5.51033243040747i</v>
      </c>
      <c r="AA553" s="160">
        <f t="shared" si="330"/>
        <v>417.03205566881388</v>
      </c>
      <c r="AB553" s="160">
        <f t="shared" si="331"/>
        <v>-3.1283790583550513</v>
      </c>
      <c r="AC553" s="171" t="str">
        <f t="shared" si="332"/>
        <v>0.00114077407244471+0.000321714858686265i</v>
      </c>
      <c r="AD553" s="190">
        <f t="shared" si="333"/>
        <v>-58.523651181893051</v>
      </c>
      <c r="AE553" s="169">
        <f t="shared" si="334"/>
        <v>15.749222838911601</v>
      </c>
      <c r="AF553" s="98" t="str">
        <f t="shared" si="320"/>
        <v>-0.0000897803247373448</v>
      </c>
      <c r="AG553" s="98" t="str">
        <f t="shared" si="321"/>
        <v>28.1325995294499i</v>
      </c>
      <c r="AH553" s="98">
        <f t="shared" si="335"/>
        <v>28.132599529449902</v>
      </c>
      <c r="AI553" s="98">
        <f t="shared" si="336"/>
        <v>1.5707963267948966</v>
      </c>
      <c r="AJ553" s="98" t="str">
        <f t="shared" si="322"/>
        <v>1+3305.58044471035i</v>
      </c>
      <c r="AK553" s="98">
        <f t="shared" si="337"/>
        <v>3305.5805959697118</v>
      </c>
      <c r="AL553" s="98">
        <f t="shared" si="338"/>
        <v>1.5704938080735342</v>
      </c>
      <c r="AM553" s="98" t="str">
        <f t="shared" si="323"/>
        <v>1+6611.16088942072i</v>
      </c>
      <c r="AN553" s="98">
        <f t="shared" si="339"/>
        <v>6611.1609650504015</v>
      </c>
      <c r="AO553" s="98">
        <f t="shared" si="340"/>
        <v>1.5706450674307548</v>
      </c>
      <c r="AP553" s="168" t="str">
        <f t="shared" si="341"/>
        <v>-9.65436107584495E-10+6.38265372775964E-06i</v>
      </c>
      <c r="AQ553" s="98">
        <f t="shared" si="342"/>
        <v>-103.89997422683699</v>
      </c>
      <c r="AR553" s="169">
        <f t="shared" si="343"/>
        <v>90.008666522780587</v>
      </c>
      <c r="AS553" s="168" t="str">
        <f t="shared" si="344"/>
        <v>-2.05449588654969E-09+7.28085529087985E-09i</v>
      </c>
      <c r="AT553" s="190">
        <f t="shared" si="345"/>
        <v>-162.42362540873003</v>
      </c>
      <c r="AU553" s="169">
        <f t="shared" si="346"/>
        <v>105.75788936169219</v>
      </c>
      <c r="AV553" s="225"/>
      <c r="AX553">
        <f t="shared" si="347"/>
        <v>0</v>
      </c>
      <c r="AY553">
        <f t="shared" si="348"/>
        <v>0</v>
      </c>
    </row>
    <row r="554" spans="14:51" x14ac:dyDescent="0.3">
      <c r="N554" s="170">
        <v>36</v>
      </c>
      <c r="O554" s="199">
        <f t="shared" si="314"/>
        <v>2290867.6527677765</v>
      </c>
      <c r="P554" s="189" t="str">
        <f t="shared" si="315"/>
        <v>20.7142857142857</v>
      </c>
      <c r="Q554" s="160" t="str">
        <f t="shared" si="316"/>
        <v>1+3290.04479464309i</v>
      </c>
      <c r="R554" s="160">
        <f t="shared" si="324"/>
        <v>3290.0449466167011</v>
      </c>
      <c r="S554" s="160">
        <f t="shared" si="325"/>
        <v>1.5704923795748365</v>
      </c>
      <c r="T554" s="160" t="str">
        <f t="shared" si="317"/>
        <v>1+0.28787891953127i</v>
      </c>
      <c r="U554" s="160">
        <f t="shared" si="326"/>
        <v>1.0406124505840257</v>
      </c>
      <c r="V554" s="160">
        <f t="shared" si="327"/>
        <v>0.2802997779153415</v>
      </c>
      <c r="W554" s="98" t="str">
        <f t="shared" si="318"/>
        <v>1-75.5682163769582i</v>
      </c>
      <c r="X554" s="160">
        <f t="shared" si="328"/>
        <v>75.574832625648426</v>
      </c>
      <c r="Y554" s="160">
        <f t="shared" si="329"/>
        <v>-1.5575640224924507</v>
      </c>
      <c r="Z554" s="98" t="str">
        <f t="shared" si="319"/>
        <v>-436.695177539898-5.63868456117338i</v>
      </c>
      <c r="AA554" s="160">
        <f t="shared" si="330"/>
        <v>436.73157986363145</v>
      </c>
      <c r="AB554" s="160">
        <f t="shared" si="331"/>
        <v>-3.1286811960926659</v>
      </c>
      <c r="AC554" s="171" t="str">
        <f t="shared" si="332"/>
        <v>0.00108931258791977+0.00031432726341711i</v>
      </c>
      <c r="AD554" s="190">
        <f t="shared" si="333"/>
        <v>-58.90960507455808</v>
      </c>
      <c r="AE554" s="169">
        <f t="shared" si="334"/>
        <v>16.095792333722503</v>
      </c>
      <c r="AF554" s="98" t="str">
        <f t="shared" si="320"/>
        <v>-0.0000897803247373448</v>
      </c>
      <c r="AG554" s="98" t="str">
        <f t="shared" si="321"/>
        <v>28.787891953127i</v>
      </c>
      <c r="AH554" s="98">
        <f t="shared" si="335"/>
        <v>28.787891953127001</v>
      </c>
      <c r="AI554" s="98">
        <f t="shared" si="336"/>
        <v>1.5707963267948966</v>
      </c>
      <c r="AJ554" s="98" t="str">
        <f t="shared" si="322"/>
        <v>1+3382.57730449242i</v>
      </c>
      <c r="AK554" s="98">
        <f t="shared" si="337"/>
        <v>3382.577452308698</v>
      </c>
      <c r="AL554" s="98">
        <f t="shared" si="338"/>
        <v>1.5705006942399395</v>
      </c>
      <c r="AM554" s="98" t="str">
        <f t="shared" si="323"/>
        <v>1+6765.15460898486i</v>
      </c>
      <c r="AN554" s="98">
        <f t="shared" si="339"/>
        <v>6765.1546828930004</v>
      </c>
      <c r="AO554" s="98">
        <f t="shared" si="340"/>
        <v>1.5706485105141883</v>
      </c>
      <c r="AP554" s="168" t="str">
        <f t="shared" si="341"/>
        <v>-9.21984328818203E-10+6.23736680408483E-06i</v>
      </c>
      <c r="AQ554" s="98">
        <f t="shared" si="342"/>
        <v>-104.09997421342067</v>
      </c>
      <c r="AR554" s="169">
        <f t="shared" si="343"/>
        <v>90.008469248657804</v>
      </c>
      <c r="AS554" s="168" t="str">
        <f t="shared" si="344"/>
        <v>-1.96157876759196E-09+6.79415237035152E-09i</v>
      </c>
      <c r="AT554" s="190">
        <f t="shared" si="345"/>
        <v>-163.00957928797874</v>
      </c>
      <c r="AU554" s="169">
        <f t="shared" si="346"/>
        <v>106.10426158238035</v>
      </c>
      <c r="AV554" s="225"/>
      <c r="AX554">
        <f t="shared" si="347"/>
        <v>0</v>
      </c>
      <c r="AY554">
        <f t="shared" si="348"/>
        <v>0</v>
      </c>
    </row>
    <row r="555" spans="14:51" x14ac:dyDescent="0.3">
      <c r="N555" s="170">
        <v>37</v>
      </c>
      <c r="O555" s="199">
        <f t="shared" si="314"/>
        <v>2344228.8153199251</v>
      </c>
      <c r="P555" s="189" t="str">
        <f t="shared" si="315"/>
        <v>20.7142857142857</v>
      </c>
      <c r="Q555" s="160" t="str">
        <f t="shared" si="316"/>
        <v>1+3366.67978264805i</v>
      </c>
      <c r="R555" s="160">
        <f t="shared" si="324"/>
        <v>3366.6799311623195</v>
      </c>
      <c r="S555" s="160">
        <f t="shared" si="325"/>
        <v>1.5704992982578361</v>
      </c>
      <c r="T555" s="160" t="str">
        <f t="shared" si="317"/>
        <v>1+0.294584480981704i</v>
      </c>
      <c r="U555" s="160">
        <f t="shared" si="326"/>
        <v>1.0424874178786332</v>
      </c>
      <c r="V555" s="160">
        <f t="shared" si="327"/>
        <v>0.28648105301686061</v>
      </c>
      <c r="W555" s="98" t="str">
        <f t="shared" si="318"/>
        <v>1-77.3284262576971i</v>
      </c>
      <c r="X555" s="160">
        <f t="shared" si="328"/>
        <v>77.33489191491833</v>
      </c>
      <c r="Y555" s="160">
        <f t="shared" si="329"/>
        <v>-1.557865192544619</v>
      </c>
      <c r="Z555" s="98" t="str">
        <f t="shared" si="319"/>
        <v>-457.323115746235-5.77002639713039i</v>
      </c>
      <c r="AA555" s="160">
        <f t="shared" si="330"/>
        <v>457.35951438716984</v>
      </c>
      <c r="AB555" s="160">
        <f t="shared" si="331"/>
        <v>-3.128976365334394</v>
      </c>
      <c r="AC555" s="171" t="str">
        <f t="shared" si="332"/>
        <v>0.00104017767272929+0.000307112014716812i</v>
      </c>
      <c r="AD555" s="190">
        <f t="shared" si="333"/>
        <v>-59.294865621996394</v>
      </c>
      <c r="AE555" s="169">
        <f t="shared" si="334"/>
        <v>16.449213076601321</v>
      </c>
      <c r="AF555" s="98" t="str">
        <f t="shared" si="320"/>
        <v>-0.0000897803247373448</v>
      </c>
      <c r="AG555" s="98" t="str">
        <f t="shared" si="321"/>
        <v>29.4584480981703i</v>
      </c>
      <c r="AH555" s="98">
        <f t="shared" si="335"/>
        <v>29.458448098170301</v>
      </c>
      <c r="AI555" s="98">
        <f t="shared" si="336"/>
        <v>1.5707963267948966</v>
      </c>
      <c r="AJ555" s="98" t="str">
        <f t="shared" si="322"/>
        <v>1+3461.36765153502i</v>
      </c>
      <c r="AK555" s="98">
        <f t="shared" si="337"/>
        <v>3461.3677959865895</v>
      </c>
      <c r="AL555" s="98">
        <f t="shared" si="338"/>
        <v>1.5705074236580874</v>
      </c>
      <c r="AM555" s="98" t="str">
        <f t="shared" si="323"/>
        <v>1+6922.73530307006i</v>
      </c>
      <c r="AN555" s="98">
        <f t="shared" si="339"/>
        <v>6922.7353752958461</v>
      </c>
      <c r="AO555" s="98">
        <f t="shared" si="340"/>
        <v>1.5706518752234779</v>
      </c>
      <c r="AP555" s="168" t="str">
        <f t="shared" si="341"/>
        <v>-8.80488201912808E-10+6.09538701369426E-06i</v>
      </c>
      <c r="AQ555" s="98">
        <f t="shared" si="342"/>
        <v>-104.29997420060815</v>
      </c>
      <c r="AR555" s="169">
        <f t="shared" si="343"/>
        <v>90.008276465040922</v>
      </c>
      <c r="AS555" s="168" t="str">
        <f t="shared" si="344"/>
        <v>-1.87288245042307E-09+6.34001506978321E-09i</v>
      </c>
      <c r="AT555" s="190">
        <f t="shared" si="345"/>
        <v>-163.59483982260454</v>
      </c>
      <c r="AU555" s="169">
        <f t="shared" si="346"/>
        <v>106.45748954164226</v>
      </c>
      <c r="AV555" s="225"/>
      <c r="AX555">
        <f t="shared" si="347"/>
        <v>0</v>
      </c>
      <c r="AY555">
        <f t="shared" si="348"/>
        <v>0</v>
      </c>
    </row>
    <row r="556" spans="14:51" x14ac:dyDescent="0.3">
      <c r="N556" s="170">
        <v>38</v>
      </c>
      <c r="O556" s="199">
        <f t="shared" si="314"/>
        <v>2398832.9190194933</v>
      </c>
      <c r="P556" s="189" t="str">
        <f t="shared" si="315"/>
        <v>20.7142857142857</v>
      </c>
      <c r="Q556" s="160" t="str">
        <f t="shared" si="316"/>
        <v>1+3445.09982883703i</v>
      </c>
      <c r="R556" s="160">
        <f t="shared" si="324"/>
        <v>3445.0999739707026</v>
      </c>
      <c r="S556" s="160">
        <f t="shared" si="325"/>
        <v>1.5705060594524107</v>
      </c>
      <c r="T556" s="160" t="str">
        <f t="shared" si="317"/>
        <v>1+0.30144623502324i</v>
      </c>
      <c r="U556" s="160">
        <f t="shared" si="326"/>
        <v>1.0444471420850776</v>
      </c>
      <c r="V556" s="160">
        <f t="shared" si="327"/>
        <v>0.29278308689628474</v>
      </c>
      <c r="W556" s="98" t="str">
        <f t="shared" si="318"/>
        <v>1-79.1296366936003i</v>
      </c>
      <c r="X556" s="160">
        <f t="shared" si="328"/>
        <v>79.135955186382731</v>
      </c>
      <c r="Y556" s="160">
        <f t="shared" si="329"/>
        <v>-1.5581595093962872</v>
      </c>
      <c r="Z556" s="98" t="str">
        <f t="shared" si="319"/>
        <v>-478.923218729516-5.90442757745849i</v>
      </c>
      <c r="AA556" s="160">
        <f t="shared" si="330"/>
        <v>478.95961385408822</v>
      </c>
      <c r="AB556" s="160">
        <f t="shared" si="331"/>
        <v>-3.1292647308042683</v>
      </c>
      <c r="AC556" s="171" t="str">
        <f t="shared" si="332"/>
        <v>0.000993263694323514+0.000300064923195099i</v>
      </c>
      <c r="AD556" s="190">
        <f t="shared" si="333"/>
        <v>-59.679408949100434</v>
      </c>
      <c r="AE556" s="169">
        <f t="shared" si="334"/>
        <v>16.809564643268093</v>
      </c>
      <c r="AF556" s="98" t="str">
        <f t="shared" si="320"/>
        <v>-0.0000897803247373448</v>
      </c>
      <c r="AG556" s="98" t="str">
        <f t="shared" si="321"/>
        <v>30.144623502324i</v>
      </c>
      <c r="AH556" s="98">
        <f t="shared" si="335"/>
        <v>30.144623502323999</v>
      </c>
      <c r="AI556" s="98">
        <f t="shared" si="336"/>
        <v>1.5707963267948966</v>
      </c>
      <c r="AJ556" s="98" t="str">
        <f t="shared" si="322"/>
        <v>1+3541.99326152307i</v>
      </c>
      <c r="AK556" s="98">
        <f t="shared" si="337"/>
        <v>3541.9934026865199</v>
      </c>
      <c r="AL556" s="98">
        <f t="shared" si="338"/>
        <v>1.5705139998960023</v>
      </c>
      <c r="AM556" s="98" t="str">
        <f t="shared" si="323"/>
        <v>1+7083.98652304616i</v>
      </c>
      <c r="AN556" s="98">
        <f t="shared" si="339"/>
        <v>7083.9865936278866</v>
      </c>
      <c r="AO556" s="98">
        <f t="shared" si="340"/>
        <v>1.5706551633426364</v>
      </c>
      <c r="AP556" s="168" t="str">
        <f t="shared" si="341"/>
        <v>-8.40859708064795E-10+5.95663907710087E-06i</v>
      </c>
      <c r="AQ556" s="98">
        <f t="shared" si="342"/>
        <v>-104.49997418837235</v>
      </c>
      <c r="AR556" s="169">
        <f t="shared" si="343"/>
        <v>90.008088069713665</v>
      </c>
      <c r="AS556" s="168" t="str">
        <f t="shared" si="344"/>
        <v>-1.78821364259124E-09+5.9162610229693E-09i</v>
      </c>
      <c r="AT556" s="190">
        <f t="shared" si="345"/>
        <v>-164.17938313747277</v>
      </c>
      <c r="AU556" s="169">
        <f t="shared" si="346"/>
        <v>106.81765271298177</v>
      </c>
      <c r="AV556" s="225"/>
      <c r="AX556">
        <f t="shared" si="347"/>
        <v>0</v>
      </c>
      <c r="AY556">
        <f t="shared" si="348"/>
        <v>0</v>
      </c>
    </row>
    <row r="557" spans="14:51" x14ac:dyDescent="0.3">
      <c r="N557" s="170">
        <v>39</v>
      </c>
      <c r="O557" s="199">
        <f t="shared" si="314"/>
        <v>2454708.915685033</v>
      </c>
      <c r="P557" s="189" t="str">
        <f t="shared" si="315"/>
        <v>20.7142857142857</v>
      </c>
      <c r="Q557" s="160" t="str">
        <f t="shared" si="316"/>
        <v>1+3525.34651255655i</v>
      </c>
      <c r="R557" s="160">
        <f t="shared" si="324"/>
        <v>3525.3466543865761</v>
      </c>
      <c r="S557" s="160">
        <f t="shared" si="325"/>
        <v>1.570512666743433</v>
      </c>
      <c r="T557" s="160" t="str">
        <f t="shared" si="317"/>
        <v>1+0.308467819848698i</v>
      </c>
      <c r="U557" s="160">
        <f t="shared" si="326"/>
        <v>1.0464952918585964</v>
      </c>
      <c r="V557" s="160">
        <f t="shared" si="327"/>
        <v>0.29920721790894383</v>
      </c>
      <c r="W557" s="98" t="str">
        <f t="shared" si="318"/>
        <v>1-80.972802710283i</v>
      </c>
      <c r="X557" s="160">
        <f t="shared" si="328"/>
        <v>80.978977387704859</v>
      </c>
      <c r="Y557" s="160">
        <f t="shared" si="329"/>
        <v>-1.5584471288940738</v>
      </c>
      <c r="Z557" s="98" t="str">
        <f t="shared" si="319"/>
        <v>-501.54130320415-6.04195936344249i</v>
      </c>
      <c r="AA557" s="160">
        <f t="shared" si="330"/>
        <v>501.57769497124428</v>
      </c>
      <c r="AB557" s="160">
        <f t="shared" si="331"/>
        <v>-3.129546453066455</v>
      </c>
      <c r="AC557" s="171" t="str">
        <f t="shared" si="332"/>
        <v>0.000948469855677606+0.000293181911176378i</v>
      </c>
      <c r="AD557" s="190">
        <f t="shared" si="333"/>
        <v>-60.063210291848954</v>
      </c>
      <c r="AE557" s="169">
        <f t="shared" si="334"/>
        <v>17.176923780732348</v>
      </c>
      <c r="AF557" s="98" t="str">
        <f t="shared" si="320"/>
        <v>-0.0000897803247373448</v>
      </c>
      <c r="AG557" s="98" t="str">
        <f t="shared" si="321"/>
        <v>30.8467819848699i</v>
      </c>
      <c r="AH557" s="98">
        <f t="shared" si="335"/>
        <v>30.846781984869899</v>
      </c>
      <c r="AI557" s="98">
        <f t="shared" si="336"/>
        <v>1.5707963267948966</v>
      </c>
      <c r="AJ557" s="98" t="str">
        <f t="shared" si="322"/>
        <v>1+3624.4968832222i</v>
      </c>
      <c r="AK557" s="98">
        <f t="shared" si="337"/>
        <v>3624.497021172378</v>
      </c>
      <c r="AL557" s="98">
        <f t="shared" si="338"/>
        <v>1.5705204264404902</v>
      </c>
      <c r="AM557" s="98" t="str">
        <f t="shared" si="323"/>
        <v>1+7248.99376644442i</v>
      </c>
      <c r="AN557" s="98">
        <f t="shared" si="339"/>
        <v>7248.9938354195092</v>
      </c>
      <c r="AO557" s="98">
        <f t="shared" si="340"/>
        <v>1.5706583766150681</v>
      </c>
      <c r="AP557" s="168" t="str">
        <f t="shared" si="341"/>
        <v>-8.03014789966826E-10+5.82104942838427E-06i</v>
      </c>
      <c r="AQ557" s="98">
        <f t="shared" si="342"/>
        <v>-104.69997417668719</v>
      </c>
      <c r="AR557" s="169">
        <f t="shared" si="343"/>
        <v>90.007903962786415</v>
      </c>
      <c r="AS557" s="168" t="str">
        <f t="shared" si="344"/>
        <v>-1.70738803178781E-09+5.52085448182101E-09i</v>
      </c>
      <c r="AT557" s="190">
        <f t="shared" si="345"/>
        <v>-164.76318446853614</v>
      </c>
      <c r="AU557" s="169">
        <f t="shared" si="346"/>
        <v>107.18482774351878</v>
      </c>
      <c r="AV557" s="225"/>
      <c r="AX557">
        <f t="shared" si="347"/>
        <v>0</v>
      </c>
      <c r="AY557">
        <f t="shared" si="348"/>
        <v>0</v>
      </c>
    </row>
    <row r="558" spans="14:51" x14ac:dyDescent="0.3">
      <c r="N558" s="170">
        <v>40</v>
      </c>
      <c r="O558" s="199">
        <f t="shared" si="314"/>
        <v>2511886.431509587</v>
      </c>
      <c r="P558" s="189" t="str">
        <f t="shared" si="315"/>
        <v>20.7142857142857</v>
      </c>
      <c r="Q558" s="160" t="str">
        <f t="shared" si="316"/>
        <v>1+3607.46238166053i</v>
      </c>
      <c r="R558" s="160">
        <f t="shared" si="324"/>
        <v>3607.4625202621114</v>
      </c>
      <c r="S558" s="160">
        <f t="shared" si="325"/>
        <v>1.5705191236341736</v>
      </c>
      <c r="T558" s="160" t="str">
        <f t="shared" si="317"/>
        <v>1+0.315652958395296i</v>
      </c>
      <c r="U558" s="160">
        <f t="shared" si="326"/>
        <v>1.0486356803693562</v>
      </c>
      <c r="V558" s="160">
        <f t="shared" si="327"/>
        <v>0.30575473047029689</v>
      </c>
      <c r="W558" s="98" t="str">
        <f t="shared" si="318"/>
        <v>1-82.858901578765i</v>
      </c>
      <c r="X558" s="160">
        <f t="shared" si="328"/>
        <v>82.864935713723128</v>
      </c>
      <c r="Y558" s="160">
        <f t="shared" si="329"/>
        <v>-1.5587282033471874</v>
      </c>
      <c r="Z558" s="98" t="str">
        <f t="shared" si="319"/>
        <v>-525.225345159772-6.1826946762558i</v>
      </c>
      <c r="AA558" s="160">
        <f t="shared" si="330"/>
        <v>525.26173372106734</v>
      </c>
      <c r="AB558" s="160">
        <f t="shared" si="331"/>
        <v>-3.1298216886476595</v>
      </c>
      <c r="AC558" s="171" t="str">
        <f t="shared" si="332"/>
        <v>0.000905699970459779+0.000286459009221487i</v>
      </c>
      <c r="AD558" s="190">
        <f t="shared" si="333"/>
        <v>-60.446243995599531</v>
      </c>
      <c r="AE558" s="169">
        <f t="shared" si="334"/>
        <v>17.551364121500995</v>
      </c>
      <c r="AF558" s="98" t="str">
        <f t="shared" si="320"/>
        <v>-0.0000897803247373448</v>
      </c>
      <c r="AG558" s="98" t="str">
        <f t="shared" si="321"/>
        <v>31.5652958395296i</v>
      </c>
      <c r="AH558" s="98">
        <f t="shared" si="335"/>
        <v>31.5652958395296</v>
      </c>
      <c r="AI558" s="98">
        <f t="shared" si="336"/>
        <v>1.5707963267948966</v>
      </c>
      <c r="AJ558" s="98" t="str">
        <f t="shared" si="322"/>
        <v>1+3708.92226114473i</v>
      </c>
      <c r="AK558" s="98">
        <f t="shared" si="337"/>
        <v>3708.9223959547789</v>
      </c>
      <c r="AL558" s="98">
        <f t="shared" si="338"/>
        <v>1.5705267066989879</v>
      </c>
      <c r="AM558" s="98" t="str">
        <f t="shared" si="323"/>
        <v>1+7417.84452228947i</v>
      </c>
      <c r="AN558" s="98">
        <f t="shared" si="339"/>
        <v>7417.8445896944941</v>
      </c>
      <c r="AO558" s="98">
        <f t="shared" si="340"/>
        <v>1.5706615167444922</v>
      </c>
      <c r="AP558" s="168" t="str">
        <f t="shared" si="341"/>
        <v>-7.66873173511204E-10+5.68854617618518E-06i</v>
      </c>
      <c r="AQ558" s="98">
        <f t="shared" si="342"/>
        <v>-104.89997416552794</v>
      </c>
      <c r="AR558" s="169">
        <f t="shared" si="343"/>
        <v>90.007724046643361</v>
      </c>
      <c r="AS558" s="168" t="str">
        <f t="shared" si="344"/>
        <v>-1.63022985855128E-09+5.15189642600052E-09i</v>
      </c>
      <c r="AT558" s="190">
        <f t="shared" si="345"/>
        <v>-165.34621816112747</v>
      </c>
      <c r="AU558" s="169">
        <f t="shared" si="346"/>
        <v>107.55908816814437</v>
      </c>
      <c r="AV558" s="225"/>
      <c r="AX558">
        <f t="shared" si="347"/>
        <v>0</v>
      </c>
      <c r="AY558">
        <f t="shared" si="348"/>
        <v>0</v>
      </c>
    </row>
    <row r="559" spans="14:51" x14ac:dyDescent="0.3">
      <c r="N559" s="170">
        <v>41</v>
      </c>
      <c r="O559" s="199">
        <f t="shared" si="314"/>
        <v>2570395.782768866</v>
      </c>
      <c r="P559" s="189" t="str">
        <f t="shared" si="315"/>
        <v>20.7142857142857</v>
      </c>
      <c r="Q559" s="160" t="str">
        <f t="shared" si="316"/>
        <v>1+3691.49097506965i</v>
      </c>
      <c r="R559" s="160">
        <f t="shared" si="324"/>
        <v>3691.4911105162741</v>
      </c>
      <c r="S559" s="160">
        <f t="shared" si="325"/>
        <v>1.5705254335481591</v>
      </c>
      <c r="T559" s="160" t="str">
        <f t="shared" si="317"/>
        <v>1+0.323005460318594i</v>
      </c>
      <c r="U559" s="160">
        <f t="shared" si="326"/>
        <v>1.0508722697814548</v>
      </c>
      <c r="V559" s="160">
        <f t="shared" si="327"/>
        <v>0.3124268498190122</v>
      </c>
      <c r="W559" s="98" t="str">
        <f t="shared" si="318"/>
        <v>1-84.7889333336307i</v>
      </c>
      <c r="X559" s="160">
        <f t="shared" si="328"/>
        <v>84.794830124571106</v>
      </c>
      <c r="Y559" s="160">
        <f t="shared" si="329"/>
        <v>-1.5590028816072761</v>
      </c>
      <c r="Z559" s="98" t="str">
        <f t="shared" si="319"/>
        <v>-550.025581624733-6.32670813562407i</v>
      </c>
      <c r="AA559" s="160">
        <f t="shared" si="330"/>
        <v>550.06196712503152</v>
      </c>
      <c r="AB559" s="160">
        <f t="shared" si="331"/>
        <v>-3.1300905901548588</v>
      </c>
      <c r="AC559" s="171" t="str">
        <f t="shared" si="332"/>
        <v>0.000864862248957696+0.000279892352773835i</v>
      </c>
      <c r="AD559" s="190">
        <f t="shared" si="333"/>
        <v>-60.828483515070303</v>
      </c>
      <c r="AE559" s="169">
        <f t="shared" si="334"/>
        <v>17.932955885589688</v>
      </c>
      <c r="AF559" s="98" t="str">
        <f t="shared" si="320"/>
        <v>-0.0000897803247373448</v>
      </c>
      <c r="AG559" s="98" t="str">
        <f t="shared" si="321"/>
        <v>32.3005460318594i</v>
      </c>
      <c r="AH559" s="98">
        <f t="shared" si="335"/>
        <v>32.300546031859398</v>
      </c>
      <c r="AI559" s="98">
        <f t="shared" si="336"/>
        <v>1.5707963267948966</v>
      </c>
      <c r="AJ559" s="98" t="str">
        <f t="shared" si="322"/>
        <v>1+3795.31415874348i</v>
      </c>
      <c r="AK559" s="98">
        <f t="shared" si="337"/>
        <v>3795.3142904848778</v>
      </c>
      <c r="AL559" s="98">
        <f t="shared" si="338"/>
        <v>1.5705328440013695</v>
      </c>
      <c r="AM559" s="98" t="str">
        <f t="shared" si="323"/>
        <v>1+7590.62831748698i</v>
      </c>
      <c r="AN559" s="98">
        <f t="shared" si="339"/>
        <v>7590.6283833576799</v>
      </c>
      <c r="AO559" s="98">
        <f t="shared" si="340"/>
        <v>1.5706645853958465</v>
      </c>
      <c r="AP559" s="168" t="str">
        <f t="shared" si="341"/>
        <v>-7.32358197518058E-10+0.0000055590590655881i</v>
      </c>
      <c r="AQ559" s="98">
        <f t="shared" si="342"/>
        <v>-105.09997415487098</v>
      </c>
      <c r="AR559" s="169">
        <f t="shared" si="343"/>
        <v>90.007548225890702</v>
      </c>
      <c r="AS559" s="168" t="str">
        <f t="shared" si="344"/>
        <v>-1.55657151003392E-09+4.80761534409422E-09i</v>
      </c>
      <c r="AT559" s="190">
        <f t="shared" si="345"/>
        <v>-165.92845766994128</v>
      </c>
      <c r="AU559" s="169">
        <f t="shared" si="346"/>
        <v>107.94050411148039</v>
      </c>
      <c r="AV559" s="225"/>
      <c r="AX559">
        <f t="shared" si="347"/>
        <v>0</v>
      </c>
      <c r="AY559">
        <f t="shared" si="348"/>
        <v>0</v>
      </c>
    </row>
    <row r="560" spans="14:51" ht="15" thickBot="1" x14ac:dyDescent="0.35">
      <c r="N560" s="170">
        <v>42</v>
      </c>
      <c r="O560" s="199">
        <f t="shared" si="314"/>
        <v>2630267.9918953842</v>
      </c>
      <c r="P560" s="189" t="str">
        <f t="shared" si="315"/>
        <v>20.7142857142857</v>
      </c>
      <c r="Q560" s="160" t="str">
        <f t="shared" si="316"/>
        <v>1+3777.47684585641i</v>
      </c>
      <c r="R560" s="160">
        <f t="shared" si="324"/>
        <v>3777.4769782198923</v>
      </c>
      <c r="S560" s="160">
        <f t="shared" si="325"/>
        <v>1.5705315998309877</v>
      </c>
      <c r="T560" s="160" t="str">
        <f t="shared" si="317"/>
        <v>1+0.330529224012436i</v>
      </c>
      <c r="U560" s="160">
        <f t="shared" si="326"/>
        <v>1.0532091757700666</v>
      </c>
      <c r="V560" s="160">
        <f t="shared" si="327"/>
        <v>0.31922473657390671</v>
      </c>
      <c r="W560" s="98" t="str">
        <f t="shared" si="318"/>
        <v>1-86.7639213032642i</v>
      </c>
      <c r="X560" s="160">
        <f t="shared" si="328"/>
        <v>86.769683875873511</v>
      </c>
      <c r="Y560" s="160">
        <f t="shared" si="329"/>
        <v>-1.5592713091465025</v>
      </c>
      <c r="Z560" s="98" t="str">
        <f t="shared" si="319"/>
        <v>-575.994617225608-6.47407609938974i</v>
      </c>
      <c r="AA560" s="160">
        <f t="shared" si="330"/>
        <v>576.03099980314892</v>
      </c>
      <c r="AB560" s="160">
        <f t="shared" si="331"/>
        <v>-3.1303533063886011</v>
      </c>
      <c r="AC560" s="196" t="str">
        <f t="shared" si="332"/>
        <v>0.000825869094221981+0.000273478178925987i</v>
      </c>
      <c r="AD560" s="197">
        <f t="shared" si="333"/>
        <v>-61.20990141620257</v>
      </c>
      <c r="AE560" s="198">
        <f t="shared" si="334"/>
        <v>18.321765570571916</v>
      </c>
      <c r="AF560" s="98" t="str">
        <f t="shared" si="320"/>
        <v>-0.0000897803247373448</v>
      </c>
      <c r="AG560" s="98" t="str">
        <f t="shared" si="321"/>
        <v>33.0529224012437i</v>
      </c>
      <c r="AH560" s="98">
        <f t="shared" si="335"/>
        <v>33.052922401243698</v>
      </c>
      <c r="AI560" s="98">
        <f t="shared" si="336"/>
        <v>1.5707963267948966</v>
      </c>
      <c r="AJ560" s="98" t="str">
        <f t="shared" si="322"/>
        <v>1+3883.71838214612i</v>
      </c>
      <c r="AK560" s="98">
        <f t="shared" si="337"/>
        <v>3883.7185108887174</v>
      </c>
      <c r="AL560" s="98">
        <f t="shared" si="338"/>
        <v>1.5705388416017123</v>
      </c>
      <c r="AM560" s="98" t="str">
        <f t="shared" si="323"/>
        <v>1+7767.43676429227i</v>
      </c>
      <c r="AN560" s="98">
        <f t="shared" si="339"/>
        <v>7767.436828663569</v>
      </c>
      <c r="AO560" s="98">
        <f t="shared" si="340"/>
        <v>1.5706675841961706</v>
      </c>
      <c r="AP560" s="191" t="str">
        <f t="shared" si="341"/>
        <v>-6.9939665112709E-10+5.43251944087167E-06i</v>
      </c>
      <c r="AQ560" s="195">
        <f t="shared" si="342"/>
        <v>-105.29997414469356</v>
      </c>
      <c r="AR560" s="198">
        <f t="shared" si="343"/>
        <v>90.007376407306026</v>
      </c>
      <c r="AS560" s="191" t="str">
        <f t="shared" si="344"/>
        <v>-1.48625313374837E-09+4.48635864025349E-09i</v>
      </c>
      <c r="AT560" s="197">
        <f t="shared" si="345"/>
        <v>-166.50987556089615</v>
      </c>
      <c r="AU560" s="198">
        <f t="shared" si="346"/>
        <v>108.3291419778779</v>
      </c>
      <c r="AV560" s="225"/>
    </row>
    <row r="561" spans="14:30" x14ac:dyDescent="0.3">
      <c r="N561" s="170"/>
      <c r="P561" s="189"/>
      <c r="Q561" s="160"/>
      <c r="R561" s="160"/>
      <c r="S561" s="160"/>
      <c r="T561" s="160"/>
      <c r="U561" s="160"/>
      <c r="V561" s="160"/>
      <c r="X561" s="160"/>
      <c r="Y561" s="160"/>
      <c r="AA561" s="160"/>
      <c r="AB561" s="160"/>
      <c r="AC561" s="160"/>
      <c r="AD561" s="190"/>
    </row>
    <row r="562" spans="14:30" x14ac:dyDescent="0.3">
      <c r="N562" s="170"/>
      <c r="P562" s="189"/>
      <c r="Q562" s="160"/>
      <c r="R562" s="160"/>
      <c r="S562" s="160"/>
      <c r="T562" s="160"/>
      <c r="U562" s="160"/>
      <c r="V562" s="160"/>
      <c r="X562" s="160"/>
      <c r="Y562" s="160"/>
      <c r="AA562" s="160"/>
      <c r="AB562" s="160"/>
      <c r="AC562" s="160"/>
      <c r="AD562" s="190"/>
    </row>
    <row r="563" spans="14:30" x14ac:dyDescent="0.3">
      <c r="N563" s="170"/>
      <c r="P563" s="189"/>
      <c r="Q563" s="160"/>
      <c r="R563" s="160"/>
      <c r="S563" s="160"/>
      <c r="T563" s="160"/>
      <c r="U563" s="160"/>
      <c r="V563" s="160"/>
      <c r="X563" s="160"/>
      <c r="Y563" s="160"/>
      <c r="AA563" s="160"/>
      <c r="AB563" s="160"/>
      <c r="AC563" s="160"/>
      <c r="AD563" s="190"/>
    </row>
    <row r="564" spans="14:30" x14ac:dyDescent="0.3">
      <c r="N564" s="170"/>
      <c r="P564" s="189"/>
      <c r="Q564" s="160"/>
      <c r="R564" s="160"/>
      <c r="S564" s="160"/>
      <c r="T564" s="160"/>
      <c r="U564" s="160"/>
      <c r="V564" s="160"/>
      <c r="X564" s="160"/>
      <c r="Y564" s="160"/>
      <c r="AA564" s="160"/>
      <c r="AB564" s="160"/>
      <c r="AC564" s="160"/>
      <c r="AD564" s="190"/>
    </row>
    <row r="565" spans="14:30" x14ac:dyDescent="0.3">
      <c r="N565" s="170"/>
      <c r="P565" s="189"/>
      <c r="Q565" s="160"/>
      <c r="R565" s="160"/>
      <c r="S565" s="160"/>
      <c r="T565" s="160"/>
      <c r="U565" s="160"/>
      <c r="V565" s="160"/>
      <c r="X565" s="160"/>
      <c r="Y565" s="160"/>
      <c r="AA565" s="160"/>
      <c r="AB565" s="160"/>
      <c r="AC565" s="160"/>
      <c r="AD565" s="190"/>
    </row>
    <row r="566" spans="14:30" x14ac:dyDescent="0.3">
      <c r="N566" s="170"/>
      <c r="P566" s="189"/>
      <c r="Q566" s="160"/>
      <c r="R566" s="160"/>
      <c r="S566" s="160"/>
      <c r="T566" s="160"/>
      <c r="U566" s="160"/>
      <c r="V566" s="160"/>
      <c r="X566" s="160"/>
      <c r="Y566" s="160"/>
      <c r="AA566" s="160"/>
      <c r="AB566" s="160"/>
      <c r="AC566" s="160"/>
      <c r="AD566" s="190"/>
    </row>
    <row r="567" spans="14:30" x14ac:dyDescent="0.3">
      <c r="N567" s="170"/>
      <c r="P567" s="189"/>
      <c r="Q567" s="160"/>
      <c r="R567" s="160"/>
      <c r="S567" s="160"/>
      <c r="T567" s="160"/>
      <c r="U567" s="160"/>
      <c r="V567" s="160"/>
      <c r="X567" s="160"/>
      <c r="Y567" s="160"/>
      <c r="AA567" s="160"/>
      <c r="AB567" s="160"/>
      <c r="AC567" s="160"/>
      <c r="AD567" s="190"/>
    </row>
    <row r="568" spans="14:30" x14ac:dyDescent="0.3">
      <c r="N568" s="170"/>
      <c r="P568" s="189"/>
      <c r="Q568" s="160"/>
      <c r="R568" s="160"/>
      <c r="S568" s="160"/>
      <c r="T568" s="160"/>
      <c r="U568" s="160"/>
      <c r="V568" s="160"/>
      <c r="X568" s="160"/>
      <c r="Y568" s="160"/>
      <c r="AA568" s="160"/>
      <c r="AB568" s="160"/>
      <c r="AC568" s="160"/>
      <c r="AD568" s="190"/>
    </row>
    <row r="569" spans="14:30" x14ac:dyDescent="0.3">
      <c r="N569" s="170"/>
      <c r="P569" s="189"/>
      <c r="Q569" s="160"/>
      <c r="R569" s="160"/>
      <c r="S569" s="160"/>
      <c r="T569" s="160"/>
      <c r="U569" s="160"/>
      <c r="V569" s="160"/>
      <c r="X569" s="160"/>
      <c r="Y569" s="160"/>
      <c r="AA569" s="160"/>
      <c r="AB569" s="160"/>
      <c r="AC569" s="160"/>
      <c r="AD569" s="190"/>
    </row>
    <row r="570" spans="14:30" x14ac:dyDescent="0.3">
      <c r="N570" s="170"/>
      <c r="P570" s="189"/>
      <c r="Q570" s="160"/>
      <c r="R570" s="160"/>
      <c r="S570" s="160"/>
      <c r="T570" s="160"/>
      <c r="U570" s="160"/>
      <c r="V570" s="160"/>
      <c r="X570" s="160"/>
      <c r="Y570" s="160"/>
      <c r="AA570" s="160"/>
      <c r="AB570" s="160"/>
      <c r="AC570" s="160"/>
      <c r="AD570" s="190"/>
    </row>
    <row r="571" spans="14:30" x14ac:dyDescent="0.3">
      <c r="N571" s="170"/>
      <c r="P571" s="189"/>
      <c r="Q571" s="160"/>
      <c r="R571" s="160"/>
      <c r="S571" s="160"/>
      <c r="T571" s="160"/>
      <c r="U571" s="160"/>
      <c r="V571" s="160"/>
      <c r="X571" s="160"/>
      <c r="Y571" s="160"/>
      <c r="AA571" s="160"/>
      <c r="AB571" s="160"/>
      <c r="AC571" s="160"/>
      <c r="AD571" s="190"/>
    </row>
    <row r="572" spans="14:30" x14ac:dyDescent="0.3">
      <c r="N572" s="170"/>
      <c r="P572" s="189"/>
      <c r="Q572" s="160"/>
      <c r="R572" s="160"/>
      <c r="S572" s="160"/>
      <c r="T572" s="160"/>
      <c r="U572" s="160"/>
      <c r="V572" s="160"/>
      <c r="X572" s="160"/>
      <c r="Y572" s="160"/>
      <c r="AA572" s="160"/>
      <c r="AB572" s="160"/>
      <c r="AC572" s="160"/>
      <c r="AD572" s="190"/>
    </row>
    <row r="573" spans="14:30" x14ac:dyDescent="0.3">
      <c r="N573" s="170"/>
      <c r="P573" s="189"/>
      <c r="Q573" s="160"/>
      <c r="R573" s="160"/>
      <c r="S573" s="160"/>
      <c r="T573" s="160"/>
      <c r="U573" s="160"/>
      <c r="V573" s="160"/>
      <c r="X573" s="160"/>
      <c r="Y573" s="160"/>
      <c r="AA573" s="160"/>
      <c r="AB573" s="160"/>
      <c r="AC573" s="160"/>
      <c r="AD573" s="190"/>
    </row>
    <row r="574" spans="14:30" x14ac:dyDescent="0.3">
      <c r="N574" s="170"/>
      <c r="P574" s="189"/>
      <c r="Q574" s="160"/>
      <c r="R574" s="160"/>
      <c r="S574" s="160"/>
      <c r="T574" s="160"/>
      <c r="U574" s="160"/>
      <c r="V574" s="160"/>
      <c r="X574" s="160"/>
      <c r="Y574" s="160"/>
      <c r="AA574" s="160"/>
      <c r="AB574" s="160"/>
      <c r="AC574" s="160"/>
      <c r="AD574" s="190"/>
    </row>
    <row r="575" spans="14:30" x14ac:dyDescent="0.3">
      <c r="N575" s="170"/>
      <c r="P575" s="189"/>
      <c r="Q575" s="160"/>
      <c r="R575" s="160"/>
      <c r="S575" s="160"/>
      <c r="T575" s="160"/>
      <c r="U575" s="160"/>
      <c r="V575" s="160"/>
      <c r="X575" s="160"/>
      <c r="Y575" s="160"/>
      <c r="AA575" s="160"/>
      <c r="AB575" s="160"/>
      <c r="AC575" s="160"/>
      <c r="AD575" s="190"/>
    </row>
    <row r="576" spans="14:30" x14ac:dyDescent="0.3">
      <c r="N576" s="170"/>
      <c r="P576" s="189"/>
      <c r="Q576" s="160"/>
      <c r="R576" s="160"/>
      <c r="S576" s="160"/>
      <c r="T576" s="160"/>
      <c r="U576" s="160"/>
      <c r="V576" s="160"/>
      <c r="X576" s="160"/>
      <c r="Y576" s="160"/>
      <c r="AA576" s="160"/>
      <c r="AB576" s="160"/>
      <c r="AC576" s="160"/>
      <c r="AD576" s="190"/>
    </row>
    <row r="577" spans="14:30" x14ac:dyDescent="0.3">
      <c r="N577" s="170"/>
      <c r="P577" s="189"/>
      <c r="Q577" s="160"/>
      <c r="R577" s="160"/>
      <c r="S577" s="160"/>
      <c r="T577" s="160"/>
      <c r="U577" s="160"/>
      <c r="V577" s="160"/>
      <c r="X577" s="160"/>
      <c r="Y577" s="160"/>
      <c r="AA577" s="160"/>
      <c r="AB577" s="160"/>
      <c r="AC577" s="160"/>
      <c r="AD577" s="190"/>
    </row>
    <row r="578" spans="14:30" x14ac:dyDescent="0.3">
      <c r="N578" s="170"/>
      <c r="P578" s="189"/>
      <c r="Q578" s="160"/>
      <c r="R578" s="160"/>
      <c r="S578" s="160"/>
      <c r="T578" s="160"/>
      <c r="U578" s="160"/>
      <c r="V578" s="160"/>
      <c r="X578" s="160"/>
      <c r="Y578" s="160"/>
      <c r="AA578" s="160"/>
      <c r="AB578" s="160"/>
      <c r="AC578" s="160"/>
      <c r="AD578" s="190"/>
    </row>
    <row r="579" spans="14:30" x14ac:dyDescent="0.3">
      <c r="N579" s="170"/>
      <c r="P579" s="189"/>
      <c r="Q579" s="160"/>
      <c r="R579" s="160"/>
      <c r="S579" s="160"/>
      <c r="T579" s="160"/>
      <c r="U579" s="160"/>
      <c r="V579" s="160"/>
      <c r="X579" s="160"/>
      <c r="Y579" s="160"/>
      <c r="AA579" s="160"/>
      <c r="AB579" s="160"/>
      <c r="AC579" s="160"/>
      <c r="AD579" s="190"/>
    </row>
    <row r="580" spans="14:30" x14ac:dyDescent="0.3">
      <c r="N580" s="170"/>
      <c r="P580" s="189"/>
      <c r="Q580" s="160"/>
      <c r="R580" s="160"/>
      <c r="S580" s="160"/>
      <c r="T580" s="160"/>
      <c r="U580" s="160"/>
      <c r="V580" s="160"/>
      <c r="X580" s="160"/>
      <c r="Y580" s="160"/>
      <c r="AA580" s="160"/>
      <c r="AB580" s="160"/>
      <c r="AC580" s="160"/>
      <c r="AD580" s="190"/>
    </row>
    <row r="581" spans="14:30" x14ac:dyDescent="0.3">
      <c r="N581" s="170"/>
      <c r="P581" s="189"/>
      <c r="Q581" s="160"/>
      <c r="R581" s="160"/>
      <c r="S581" s="160"/>
      <c r="T581" s="160"/>
      <c r="U581" s="160"/>
      <c r="V581" s="160"/>
      <c r="X581" s="160"/>
      <c r="Y581" s="160"/>
      <c r="AA581" s="160"/>
      <c r="AB581" s="160"/>
      <c r="AC581" s="160"/>
      <c r="AD581" s="190"/>
    </row>
    <row r="582" spans="14:30" x14ac:dyDescent="0.3">
      <c r="N582" s="170"/>
      <c r="P582" s="189"/>
      <c r="Q582" s="160"/>
      <c r="R582" s="160"/>
      <c r="S582" s="160"/>
      <c r="T582" s="160"/>
      <c r="U582" s="160"/>
      <c r="V582" s="160"/>
      <c r="X582" s="160"/>
      <c r="Y582" s="160"/>
      <c r="AA582" s="160"/>
      <c r="AB582" s="160"/>
      <c r="AC582" s="160"/>
      <c r="AD582" s="190"/>
    </row>
    <row r="583" spans="14:30" x14ac:dyDescent="0.3">
      <c r="N583" s="170"/>
      <c r="P583" s="189"/>
      <c r="Q583" s="160"/>
      <c r="R583" s="160"/>
      <c r="S583" s="160"/>
      <c r="T583" s="160"/>
      <c r="U583" s="160"/>
      <c r="V583" s="160"/>
      <c r="X583" s="160"/>
      <c r="Y583" s="160"/>
      <c r="AA583" s="160"/>
      <c r="AB583" s="160"/>
      <c r="AC583" s="160"/>
      <c r="AD583" s="190"/>
    </row>
    <row r="584" spans="14:30" x14ac:dyDescent="0.3">
      <c r="N584" s="170"/>
      <c r="P584" s="189"/>
      <c r="Q584" s="160"/>
      <c r="R584" s="160"/>
      <c r="S584" s="160"/>
      <c r="T584" s="160"/>
      <c r="U584" s="160"/>
      <c r="V584" s="160"/>
      <c r="X584" s="160"/>
      <c r="Y584" s="160"/>
      <c r="AA584" s="160"/>
      <c r="AB584" s="160"/>
      <c r="AC584" s="160"/>
      <c r="AD584" s="190"/>
    </row>
    <row r="585" spans="14:30" x14ac:dyDescent="0.3">
      <c r="N585" s="170"/>
      <c r="P585" s="189"/>
      <c r="Q585" s="160"/>
      <c r="R585" s="160"/>
      <c r="S585" s="160"/>
      <c r="T585" s="160"/>
      <c r="U585" s="160"/>
      <c r="V585" s="160"/>
      <c r="X585" s="160"/>
      <c r="Y585" s="160"/>
      <c r="AA585" s="160"/>
      <c r="AB585" s="160"/>
      <c r="AC585" s="160"/>
      <c r="AD585" s="190"/>
    </row>
    <row r="586" spans="14:30" x14ac:dyDescent="0.3">
      <c r="N586" s="170"/>
      <c r="P586" s="189"/>
      <c r="Q586" s="160"/>
      <c r="R586" s="160"/>
      <c r="S586" s="160"/>
      <c r="T586" s="160"/>
      <c r="U586" s="160"/>
      <c r="V586" s="160"/>
      <c r="X586" s="160"/>
      <c r="Y586" s="160"/>
      <c r="AA586" s="160"/>
      <c r="AB586" s="160"/>
      <c r="AC586" s="160"/>
      <c r="AD586" s="190"/>
    </row>
    <row r="587" spans="14:30" x14ac:dyDescent="0.3">
      <c r="N587" s="170"/>
      <c r="P587" s="189"/>
      <c r="Q587" s="160"/>
      <c r="R587" s="160"/>
      <c r="S587" s="160"/>
      <c r="T587" s="160"/>
      <c r="U587" s="160"/>
      <c r="V587" s="160"/>
      <c r="X587" s="160"/>
      <c r="Y587" s="160"/>
      <c r="AA587" s="160"/>
      <c r="AB587" s="160"/>
      <c r="AC587" s="160"/>
      <c r="AD587" s="190"/>
    </row>
    <row r="588" spans="14:30" x14ac:dyDescent="0.3">
      <c r="N588" s="170"/>
      <c r="P588" s="189"/>
      <c r="Q588" s="160"/>
      <c r="R588" s="160"/>
      <c r="S588" s="160"/>
      <c r="T588" s="160"/>
      <c r="U588" s="160"/>
      <c r="V588" s="160"/>
      <c r="X588" s="160"/>
      <c r="Y588" s="160"/>
      <c r="AA588" s="160"/>
      <c r="AB588" s="160"/>
      <c r="AC588" s="160"/>
      <c r="AD588" s="190"/>
    </row>
    <row r="589" spans="14:30" x14ac:dyDescent="0.3">
      <c r="N589" s="170"/>
      <c r="P589" s="189"/>
      <c r="Q589" s="160"/>
      <c r="R589" s="160"/>
      <c r="S589" s="160"/>
      <c r="T589" s="160"/>
      <c r="U589" s="160"/>
      <c r="V589" s="160"/>
      <c r="X589" s="160"/>
      <c r="Y589" s="160"/>
      <c r="AA589" s="160"/>
      <c r="AB589" s="160"/>
      <c r="AC589" s="160"/>
      <c r="AD589" s="190"/>
    </row>
    <row r="590" spans="14:30" x14ac:dyDescent="0.3">
      <c r="N590" s="170"/>
      <c r="P590" s="189"/>
      <c r="Q590" s="160"/>
      <c r="R590" s="160"/>
      <c r="S590" s="160"/>
      <c r="T590" s="160"/>
      <c r="U590" s="160"/>
      <c r="V590" s="160"/>
      <c r="X590" s="160"/>
      <c r="Y590" s="160"/>
      <c r="AA590" s="160"/>
      <c r="AB590" s="160"/>
      <c r="AC590" s="160"/>
      <c r="AD590" s="190"/>
    </row>
    <row r="591" spans="14:30" x14ac:dyDescent="0.3">
      <c r="N591" s="170"/>
      <c r="P591" s="189"/>
      <c r="Q591" s="160"/>
      <c r="R591" s="160"/>
      <c r="S591" s="160"/>
      <c r="T591" s="160"/>
      <c r="U591" s="160"/>
      <c r="V591" s="160"/>
      <c r="X591" s="160"/>
      <c r="Y591" s="160"/>
      <c r="AA591" s="160"/>
      <c r="AB591" s="160"/>
      <c r="AC591" s="160"/>
      <c r="AD591" s="190"/>
    </row>
    <row r="592" spans="14:30" x14ac:dyDescent="0.3">
      <c r="N592" s="170"/>
      <c r="P592" s="189"/>
      <c r="Q592" s="160"/>
      <c r="R592" s="160"/>
      <c r="S592" s="160"/>
      <c r="T592" s="160"/>
      <c r="U592" s="160"/>
      <c r="V592" s="160"/>
      <c r="X592" s="160"/>
      <c r="Y592" s="160"/>
      <c r="AA592" s="160"/>
      <c r="AB592" s="160"/>
      <c r="AC592" s="160"/>
      <c r="AD592" s="190"/>
    </row>
    <row r="593" spans="14:30" x14ac:dyDescent="0.3">
      <c r="N593" s="170"/>
      <c r="P593" s="189"/>
      <c r="Q593" s="160"/>
      <c r="R593" s="160"/>
      <c r="S593" s="160"/>
      <c r="T593" s="160"/>
      <c r="U593" s="160"/>
      <c r="V593" s="160"/>
      <c r="X593" s="160"/>
      <c r="Y593" s="160"/>
      <c r="AA593" s="160"/>
      <c r="AB593" s="160"/>
      <c r="AC593" s="160"/>
      <c r="AD593" s="190"/>
    </row>
    <row r="594" spans="14:30" x14ac:dyDescent="0.3">
      <c r="N594" s="170"/>
      <c r="P594" s="189"/>
      <c r="Q594" s="160"/>
      <c r="R594" s="160"/>
      <c r="S594" s="160"/>
      <c r="T594" s="160"/>
      <c r="U594" s="160"/>
      <c r="V594" s="160"/>
      <c r="X594" s="160"/>
      <c r="Y594" s="160"/>
      <c r="AA594" s="160"/>
      <c r="AB594" s="160"/>
      <c r="AC594" s="160"/>
      <c r="AD594" s="190"/>
    </row>
    <row r="595" spans="14:30" x14ac:dyDescent="0.3">
      <c r="N595" s="170"/>
      <c r="P595" s="189"/>
      <c r="Q595" s="160"/>
      <c r="R595" s="160"/>
      <c r="S595" s="160"/>
      <c r="T595" s="160"/>
      <c r="U595" s="160"/>
      <c r="V595" s="160"/>
      <c r="X595" s="160"/>
      <c r="Y595" s="160"/>
      <c r="AA595" s="160"/>
      <c r="AB595" s="160"/>
      <c r="AC595" s="160"/>
      <c r="AD595" s="190"/>
    </row>
    <row r="596" spans="14:30" x14ac:dyDescent="0.3">
      <c r="N596" s="170"/>
      <c r="P596" s="189"/>
      <c r="Q596" s="160"/>
      <c r="R596" s="160"/>
      <c r="S596" s="160"/>
      <c r="T596" s="160"/>
      <c r="U596" s="160"/>
      <c r="V596" s="160"/>
      <c r="X596" s="160"/>
      <c r="Y596" s="160"/>
      <c r="AA596" s="160"/>
      <c r="AB596" s="160"/>
      <c r="AC596" s="160"/>
      <c r="AD596" s="190"/>
    </row>
    <row r="597" spans="14:30" x14ac:dyDescent="0.3">
      <c r="N597" s="170"/>
      <c r="P597" s="189"/>
      <c r="Q597" s="160"/>
      <c r="R597" s="160"/>
      <c r="S597" s="160"/>
      <c r="T597" s="160"/>
      <c r="U597" s="160"/>
      <c r="V597" s="160"/>
      <c r="X597" s="160"/>
      <c r="Y597" s="160"/>
      <c r="AA597" s="160"/>
      <c r="AB597" s="160"/>
      <c r="AC597" s="160"/>
      <c r="AD597" s="190"/>
    </row>
    <row r="598" spans="14:30" x14ac:dyDescent="0.3">
      <c r="N598" s="170"/>
      <c r="P598" s="189"/>
      <c r="Q598" s="160"/>
      <c r="R598" s="160"/>
      <c r="S598" s="160"/>
      <c r="T598" s="160"/>
      <c r="U598" s="160"/>
      <c r="V598" s="160"/>
      <c r="X598" s="160"/>
      <c r="Y598" s="160"/>
      <c r="AA598" s="160"/>
      <c r="AB598" s="160"/>
      <c r="AC598" s="160"/>
      <c r="AD598" s="190"/>
    </row>
    <row r="599" spans="14:30" x14ac:dyDescent="0.3">
      <c r="N599" s="170"/>
      <c r="P599" s="189"/>
      <c r="Q599" s="160"/>
      <c r="R599" s="160"/>
      <c r="S599" s="160"/>
      <c r="T599" s="160"/>
      <c r="U599" s="160"/>
      <c r="V599" s="160"/>
      <c r="X599" s="160"/>
      <c r="Y599" s="160"/>
      <c r="AA599" s="160"/>
      <c r="AB599" s="160"/>
      <c r="AC599" s="160"/>
      <c r="AD599" s="190"/>
    </row>
    <row r="600" spans="14:30" x14ac:dyDescent="0.3">
      <c r="N600" s="170"/>
      <c r="P600" s="189"/>
      <c r="Q600" s="160"/>
      <c r="R600" s="160"/>
      <c r="S600" s="160"/>
      <c r="T600" s="160"/>
      <c r="U600" s="160"/>
      <c r="V600" s="160"/>
      <c r="X600" s="160"/>
      <c r="Y600" s="160"/>
      <c r="AA600" s="160"/>
      <c r="AB600" s="160"/>
      <c r="AC600" s="160"/>
      <c r="AD600" s="190"/>
    </row>
    <row r="601" spans="14:30" x14ac:dyDescent="0.3">
      <c r="N601" s="170"/>
      <c r="P601" s="189"/>
      <c r="Q601" s="160"/>
      <c r="R601" s="160"/>
      <c r="S601" s="160"/>
      <c r="T601" s="160"/>
      <c r="U601" s="160"/>
      <c r="V601" s="160"/>
      <c r="X601" s="160"/>
      <c r="Y601" s="160"/>
      <c r="AA601" s="160"/>
      <c r="AB601" s="160"/>
      <c r="AC601" s="160"/>
      <c r="AD601" s="190"/>
    </row>
    <row r="602" spans="14:30" x14ac:dyDescent="0.3">
      <c r="N602" s="170"/>
      <c r="P602" s="189"/>
      <c r="Q602" s="160"/>
      <c r="R602" s="160"/>
      <c r="S602" s="160"/>
      <c r="T602" s="160"/>
      <c r="U602" s="160"/>
      <c r="V602" s="160"/>
      <c r="X602" s="160"/>
      <c r="Y602" s="160"/>
      <c r="AA602" s="160"/>
      <c r="AB602" s="160"/>
      <c r="AC602" s="160"/>
      <c r="AD602" s="190"/>
    </row>
    <row r="603" spans="14:30" x14ac:dyDescent="0.3">
      <c r="N603" s="170"/>
      <c r="P603" s="189"/>
      <c r="Q603" s="160"/>
      <c r="R603" s="160"/>
      <c r="S603" s="160"/>
      <c r="T603" s="160"/>
      <c r="U603" s="160"/>
      <c r="V603" s="160"/>
      <c r="X603" s="160"/>
      <c r="Y603" s="160"/>
      <c r="AA603" s="160"/>
      <c r="AB603" s="160"/>
      <c r="AC603" s="160"/>
      <c r="AD603" s="190"/>
    </row>
    <row r="604" spans="14:30" x14ac:dyDescent="0.3">
      <c r="N604" s="170"/>
      <c r="P604" s="189"/>
      <c r="Q604" s="160"/>
      <c r="R604" s="160"/>
      <c r="S604" s="160"/>
      <c r="T604" s="160"/>
      <c r="U604" s="160"/>
      <c r="V604" s="160"/>
      <c r="X604" s="160"/>
      <c r="Y604" s="160"/>
      <c r="AA604" s="160"/>
      <c r="AB604" s="160"/>
      <c r="AC604" s="160"/>
      <c r="AD604" s="190"/>
    </row>
    <row r="605" spans="14:30" x14ac:dyDescent="0.3">
      <c r="N605" s="170"/>
      <c r="P605" s="189"/>
      <c r="Q605" s="160"/>
      <c r="R605" s="160"/>
      <c r="S605" s="160"/>
      <c r="T605" s="160"/>
      <c r="U605" s="160"/>
      <c r="V605" s="160"/>
      <c r="X605" s="160"/>
      <c r="Y605" s="160"/>
      <c r="AA605" s="160"/>
      <c r="AB605" s="160"/>
      <c r="AC605" s="160"/>
      <c r="AD605" s="190"/>
    </row>
    <row r="606" spans="14:30" x14ac:dyDescent="0.3">
      <c r="N606" s="170"/>
      <c r="P606" s="189"/>
      <c r="Q606" s="160"/>
      <c r="R606" s="160"/>
      <c r="S606" s="160"/>
      <c r="T606" s="160"/>
      <c r="U606" s="160"/>
      <c r="V606" s="160"/>
      <c r="X606" s="160"/>
      <c r="Y606" s="160"/>
      <c r="AA606" s="160"/>
      <c r="AB606" s="160"/>
      <c r="AC606" s="160"/>
      <c r="AD606" s="190"/>
    </row>
    <row r="607" spans="14:30" x14ac:dyDescent="0.3">
      <c r="N607" s="170"/>
      <c r="P607" s="189"/>
      <c r="Q607" s="160"/>
      <c r="R607" s="160"/>
      <c r="S607" s="160"/>
      <c r="T607" s="160"/>
      <c r="U607" s="160"/>
      <c r="V607" s="160"/>
      <c r="X607" s="160"/>
      <c r="Y607" s="160"/>
      <c r="AA607" s="160"/>
      <c r="AB607" s="160"/>
      <c r="AC607" s="160"/>
      <c r="AD607" s="190"/>
    </row>
    <row r="608" spans="14:30" x14ac:dyDescent="0.3">
      <c r="N608" s="170"/>
      <c r="P608" s="189"/>
      <c r="Q608" s="160"/>
      <c r="R608" s="160"/>
      <c r="S608" s="160"/>
      <c r="T608" s="160"/>
      <c r="U608" s="160"/>
      <c r="V608" s="160"/>
      <c r="X608" s="160"/>
      <c r="Y608" s="160"/>
      <c r="AA608" s="160"/>
      <c r="AB608" s="160"/>
      <c r="AC608" s="160"/>
      <c r="AD608" s="190"/>
    </row>
    <row r="609" spans="14:30" x14ac:dyDescent="0.3">
      <c r="N609" s="170"/>
      <c r="P609" s="189"/>
      <c r="Q609" s="160"/>
      <c r="R609" s="160"/>
      <c r="S609" s="160"/>
      <c r="T609" s="160"/>
      <c r="U609" s="160"/>
      <c r="V609" s="160"/>
      <c r="X609" s="160"/>
      <c r="Y609" s="160"/>
      <c r="AA609" s="160"/>
      <c r="AB609" s="160"/>
      <c r="AC609" s="160"/>
      <c r="AD609" s="190"/>
    </row>
    <row r="610" spans="14:30" x14ac:dyDescent="0.3">
      <c r="N610" s="170"/>
      <c r="P610" s="189"/>
      <c r="Q610" s="160"/>
      <c r="R610" s="160"/>
      <c r="S610" s="160"/>
      <c r="T610" s="160"/>
      <c r="U610" s="160"/>
      <c r="V610" s="160"/>
      <c r="X610" s="160"/>
      <c r="Y610" s="160"/>
      <c r="AA610" s="160"/>
      <c r="AB610" s="160"/>
      <c r="AC610" s="160"/>
      <c r="AD610" s="190"/>
    </row>
    <row r="611" spans="14:30" x14ac:dyDescent="0.3">
      <c r="N611" s="170"/>
      <c r="P611" s="189"/>
      <c r="Q611" s="160"/>
      <c r="R611" s="160"/>
      <c r="S611" s="160"/>
      <c r="T611" s="160"/>
      <c r="U611" s="160"/>
      <c r="V611" s="160"/>
      <c r="X611" s="160"/>
      <c r="Y611" s="160"/>
      <c r="AA611" s="160"/>
      <c r="AB611" s="160"/>
      <c r="AC611" s="160"/>
      <c r="AD611" s="190"/>
    </row>
    <row r="612" spans="14:30" x14ac:dyDescent="0.3">
      <c r="N612" s="170"/>
      <c r="P612" s="189"/>
      <c r="Q612" s="160"/>
      <c r="R612" s="160"/>
      <c r="S612" s="160"/>
      <c r="T612" s="160"/>
      <c r="U612" s="160"/>
      <c r="V612" s="160"/>
      <c r="X612" s="160"/>
      <c r="Y612" s="160"/>
      <c r="AA612" s="160"/>
      <c r="AB612" s="160"/>
      <c r="AC612" s="160"/>
      <c r="AD612" s="190"/>
    </row>
    <row r="613" spans="14:30" x14ac:dyDescent="0.3">
      <c r="N613" s="170"/>
      <c r="P613" s="189"/>
      <c r="Q613" s="160"/>
      <c r="R613" s="160"/>
      <c r="S613" s="160"/>
      <c r="T613" s="160"/>
      <c r="U613" s="160"/>
      <c r="V613" s="160"/>
      <c r="X613" s="160"/>
      <c r="Y613" s="160"/>
      <c r="AA613" s="160"/>
      <c r="AB613" s="160"/>
      <c r="AC613" s="160"/>
      <c r="AD613" s="190"/>
    </row>
    <row r="614" spans="14:30" x14ac:dyDescent="0.3">
      <c r="N614" s="170"/>
      <c r="P614" s="189"/>
      <c r="Q614" s="160"/>
      <c r="R614" s="160"/>
      <c r="S614" s="160"/>
      <c r="T614" s="160"/>
      <c r="U614" s="160"/>
      <c r="V614" s="160"/>
      <c r="X614" s="160"/>
      <c r="Y614" s="160"/>
      <c r="AA614" s="160"/>
      <c r="AB614" s="160"/>
      <c r="AC614" s="160"/>
      <c r="AD614" s="190"/>
    </row>
    <row r="615" spans="14:30" x14ac:dyDescent="0.3">
      <c r="N615" s="170"/>
      <c r="P615" s="189"/>
      <c r="Q615" s="160"/>
      <c r="R615" s="160"/>
      <c r="S615" s="160"/>
      <c r="T615" s="160"/>
      <c r="U615" s="160"/>
      <c r="V615" s="160"/>
      <c r="X615" s="160"/>
      <c r="Y615" s="160"/>
      <c r="AA615" s="160"/>
      <c r="AB615" s="160"/>
      <c r="AC615" s="160"/>
      <c r="AD615" s="190"/>
    </row>
    <row r="616" spans="14:30" x14ac:dyDescent="0.3">
      <c r="N616" s="170"/>
      <c r="P616" s="189"/>
      <c r="Q616" s="160"/>
      <c r="R616" s="160"/>
      <c r="S616" s="160"/>
      <c r="T616" s="160"/>
      <c r="U616" s="160"/>
      <c r="V616" s="160"/>
      <c r="X616" s="160"/>
      <c r="Y616" s="160"/>
      <c r="AA616" s="160"/>
      <c r="AB616" s="160"/>
      <c r="AC616" s="160"/>
      <c r="AD616" s="190"/>
    </row>
    <row r="617" spans="14:30" x14ac:dyDescent="0.3">
      <c r="N617" s="170"/>
      <c r="P617" s="189"/>
      <c r="Q617" s="160"/>
      <c r="R617" s="160"/>
      <c r="S617" s="160"/>
      <c r="T617" s="160"/>
      <c r="U617" s="160"/>
      <c r="V617" s="160"/>
      <c r="X617" s="160"/>
      <c r="Y617" s="160"/>
      <c r="AA617" s="160"/>
      <c r="AB617" s="160"/>
      <c r="AC617" s="160"/>
      <c r="AD617" s="190"/>
    </row>
    <row r="618" spans="14:30" x14ac:dyDescent="0.3">
      <c r="N618" s="170"/>
      <c r="P618" s="189"/>
      <c r="Q618" s="160"/>
      <c r="R618" s="160"/>
      <c r="S618" s="160"/>
      <c r="T618" s="160"/>
      <c r="U618" s="160"/>
      <c r="V618" s="160"/>
      <c r="X618" s="160"/>
      <c r="Y618" s="160"/>
      <c r="AA618" s="160"/>
      <c r="AB618" s="160"/>
      <c r="AC618" s="160"/>
      <c r="AD618" s="190"/>
    </row>
    <row r="619" spans="14:30" x14ac:dyDescent="0.3">
      <c r="N619" s="170"/>
      <c r="P619" s="189"/>
      <c r="Q619" s="160"/>
      <c r="R619" s="160"/>
      <c r="S619" s="160"/>
      <c r="T619" s="160"/>
      <c r="U619" s="160"/>
      <c r="V619" s="160"/>
      <c r="X619" s="160"/>
      <c r="Y619" s="160"/>
      <c r="AA619" s="160"/>
      <c r="AB619" s="160"/>
      <c r="AC619" s="160"/>
      <c r="AD619" s="190"/>
    </row>
    <row r="620" spans="14:30" x14ac:dyDescent="0.3">
      <c r="N620" s="170"/>
      <c r="P620" s="189"/>
      <c r="Q620" s="160"/>
      <c r="R620" s="160"/>
      <c r="S620" s="160"/>
      <c r="T620" s="160"/>
      <c r="U620" s="160"/>
      <c r="V620" s="160"/>
      <c r="X620" s="160"/>
      <c r="Y620" s="160"/>
      <c r="AA620" s="160"/>
      <c r="AB620" s="160"/>
      <c r="AC620" s="160"/>
      <c r="AD620" s="190"/>
    </row>
    <row r="621" spans="14:30" x14ac:dyDescent="0.3">
      <c r="N621" s="170"/>
      <c r="P621" s="189"/>
      <c r="Q621" s="160"/>
      <c r="R621" s="160"/>
      <c r="S621" s="160"/>
      <c r="T621" s="160"/>
      <c r="U621" s="160"/>
      <c r="V621" s="160"/>
      <c r="X621" s="160"/>
      <c r="Y621" s="160"/>
      <c r="AA621" s="160"/>
      <c r="AB621" s="160"/>
      <c r="AC621" s="160"/>
      <c r="AD621" s="190"/>
    </row>
    <row r="622" spans="14:30" x14ac:dyDescent="0.3">
      <c r="N622" s="170"/>
      <c r="P622" s="189"/>
      <c r="Q622" s="160"/>
      <c r="R622" s="160"/>
      <c r="S622" s="160"/>
      <c r="T622" s="160"/>
      <c r="U622" s="160"/>
      <c r="V622" s="160"/>
      <c r="X622" s="160"/>
      <c r="Y622" s="160"/>
      <c r="AA622" s="160"/>
      <c r="AB622" s="160"/>
      <c r="AC622" s="160"/>
      <c r="AD622" s="190"/>
    </row>
    <row r="623" spans="14:30" x14ac:dyDescent="0.3">
      <c r="N623" s="170"/>
      <c r="P623" s="189"/>
      <c r="Q623" s="160"/>
      <c r="R623" s="160"/>
      <c r="S623" s="160"/>
      <c r="T623" s="160"/>
      <c r="U623" s="160"/>
      <c r="V623" s="160"/>
      <c r="X623" s="160"/>
      <c r="Y623" s="160"/>
      <c r="AA623" s="160"/>
      <c r="AB623" s="160"/>
      <c r="AC623" s="160"/>
      <c r="AD623" s="190"/>
    </row>
    <row r="624" spans="14:30" x14ac:dyDescent="0.3">
      <c r="N624" s="170"/>
      <c r="P624" s="189"/>
      <c r="Q624" s="160"/>
      <c r="R624" s="160"/>
      <c r="S624" s="160"/>
      <c r="T624" s="160"/>
      <c r="U624" s="160"/>
      <c r="V624" s="160"/>
      <c r="X624" s="160"/>
      <c r="Y624" s="160"/>
      <c r="AA624" s="160"/>
      <c r="AB624" s="160"/>
      <c r="AC624" s="160"/>
      <c r="AD624" s="190"/>
    </row>
    <row r="625" spans="14:30" x14ac:dyDescent="0.3">
      <c r="N625" s="170"/>
      <c r="P625" s="189"/>
      <c r="Q625" s="160"/>
      <c r="R625" s="160"/>
      <c r="S625" s="160"/>
      <c r="T625" s="160"/>
      <c r="U625" s="160"/>
      <c r="V625" s="160"/>
      <c r="X625" s="160"/>
      <c r="Y625" s="160"/>
      <c r="AA625" s="160"/>
      <c r="AB625" s="160"/>
      <c r="AC625" s="160"/>
      <c r="AD625" s="190"/>
    </row>
    <row r="626" spans="14:30" x14ac:dyDescent="0.3">
      <c r="N626" s="170"/>
      <c r="P626" s="189"/>
      <c r="Q626" s="160"/>
      <c r="R626" s="160"/>
      <c r="S626" s="160"/>
      <c r="T626" s="160"/>
      <c r="U626" s="160"/>
      <c r="V626" s="160"/>
      <c r="X626" s="160"/>
      <c r="Y626" s="160"/>
      <c r="AA626" s="160"/>
      <c r="AB626" s="160"/>
      <c r="AC626" s="160"/>
      <c r="AD626" s="190"/>
    </row>
    <row r="627" spans="14:30" x14ac:dyDescent="0.3">
      <c r="N627" s="170"/>
      <c r="P627" s="189"/>
      <c r="Q627" s="160"/>
      <c r="R627" s="160"/>
      <c r="S627" s="160"/>
      <c r="T627" s="160"/>
      <c r="U627" s="160"/>
      <c r="V627" s="160"/>
      <c r="X627" s="160"/>
      <c r="Y627" s="160"/>
      <c r="AA627" s="160"/>
      <c r="AB627" s="160"/>
      <c r="AC627" s="160"/>
      <c r="AD627" s="190"/>
    </row>
    <row r="628" spans="14:30" x14ac:dyDescent="0.3">
      <c r="N628" s="170"/>
      <c r="P628" s="189"/>
      <c r="Q628" s="160"/>
      <c r="R628" s="160"/>
      <c r="S628" s="160"/>
      <c r="T628" s="160"/>
      <c r="U628" s="160"/>
      <c r="V628" s="160"/>
      <c r="X628" s="160"/>
      <c r="Y628" s="160"/>
      <c r="AA628" s="160"/>
      <c r="AB628" s="160"/>
      <c r="AC628" s="160"/>
      <c r="AD628" s="190"/>
    </row>
    <row r="629" spans="14:30" x14ac:dyDescent="0.3">
      <c r="N629" s="170"/>
      <c r="P629" s="189"/>
      <c r="Q629" s="160"/>
      <c r="R629" s="160"/>
      <c r="S629" s="160"/>
      <c r="T629" s="160"/>
      <c r="U629" s="160"/>
      <c r="V629" s="160"/>
      <c r="X629" s="160"/>
      <c r="Y629" s="160"/>
      <c r="AA629" s="160"/>
      <c r="AB629" s="160"/>
      <c r="AC629" s="160"/>
      <c r="AD629" s="190"/>
    </row>
    <row r="630" spans="14:30" x14ac:dyDescent="0.3">
      <c r="N630" s="170"/>
      <c r="P630" s="189"/>
      <c r="Q630" s="160"/>
      <c r="R630" s="160"/>
      <c r="S630" s="160"/>
      <c r="T630" s="160"/>
      <c r="U630" s="160"/>
      <c r="V630" s="160"/>
      <c r="X630" s="160"/>
      <c r="Y630" s="160"/>
      <c r="AA630" s="160"/>
      <c r="AB630" s="160"/>
      <c r="AC630" s="160"/>
      <c r="AD630" s="190"/>
    </row>
    <row r="631" spans="14:30" x14ac:dyDescent="0.3">
      <c r="N631" s="170"/>
      <c r="P631" s="189"/>
      <c r="Q631" s="160"/>
      <c r="R631" s="160"/>
      <c r="S631" s="160"/>
      <c r="T631" s="160"/>
      <c r="U631" s="160"/>
      <c r="V631" s="160"/>
      <c r="X631" s="160"/>
      <c r="Y631" s="160"/>
      <c r="AA631" s="160"/>
      <c r="AB631" s="160"/>
      <c r="AC631" s="160"/>
      <c r="AD631" s="190"/>
    </row>
    <row r="632" spans="14:30" x14ac:dyDescent="0.3">
      <c r="N632" s="170"/>
      <c r="P632" s="189"/>
      <c r="Q632" s="160"/>
      <c r="R632" s="160"/>
      <c r="S632" s="160"/>
      <c r="T632" s="160"/>
      <c r="U632" s="160"/>
      <c r="V632" s="160"/>
      <c r="X632" s="160"/>
      <c r="Y632" s="160"/>
      <c r="AA632" s="160"/>
      <c r="AB632" s="160"/>
      <c r="AC632" s="160"/>
      <c r="AD632" s="190"/>
    </row>
    <row r="633" spans="14:30" x14ac:dyDescent="0.3">
      <c r="N633" s="170"/>
      <c r="P633" s="189"/>
      <c r="Q633" s="160"/>
      <c r="R633" s="160"/>
      <c r="S633" s="160"/>
      <c r="T633" s="160"/>
      <c r="U633" s="160"/>
      <c r="V633" s="160"/>
      <c r="X633" s="160"/>
      <c r="Y633" s="160"/>
      <c r="AA633" s="160"/>
      <c r="AB633" s="160"/>
      <c r="AC633" s="160"/>
      <c r="AD633" s="190"/>
    </row>
    <row r="634" spans="14:30" x14ac:dyDescent="0.3">
      <c r="N634" s="170"/>
      <c r="P634" s="189"/>
      <c r="Q634" s="160"/>
      <c r="R634" s="160"/>
      <c r="S634" s="160"/>
      <c r="T634" s="160"/>
      <c r="U634" s="160"/>
      <c r="V634" s="160"/>
      <c r="X634" s="160"/>
      <c r="Y634" s="160"/>
      <c r="AA634" s="160"/>
      <c r="AB634" s="160"/>
      <c r="AC634" s="160"/>
      <c r="AD634" s="190"/>
    </row>
    <row r="635" spans="14:30" x14ac:dyDescent="0.3">
      <c r="N635" s="170"/>
      <c r="P635" s="189"/>
      <c r="Q635" s="160"/>
      <c r="R635" s="160"/>
      <c r="S635" s="160"/>
      <c r="T635" s="160"/>
      <c r="U635" s="160"/>
      <c r="V635" s="160"/>
      <c r="X635" s="160"/>
      <c r="Y635" s="160"/>
      <c r="AA635" s="160"/>
      <c r="AB635" s="160"/>
      <c r="AC635" s="160"/>
      <c r="AD635" s="190"/>
    </row>
    <row r="636" spans="14:30" x14ac:dyDescent="0.3">
      <c r="N636" s="170"/>
      <c r="P636" s="189"/>
      <c r="Q636" s="160"/>
      <c r="R636" s="160"/>
      <c r="S636" s="160"/>
      <c r="T636" s="160"/>
      <c r="U636" s="160"/>
      <c r="V636" s="160"/>
      <c r="X636" s="160"/>
      <c r="Y636" s="160"/>
      <c r="AA636" s="160"/>
      <c r="AB636" s="160"/>
      <c r="AC636" s="160"/>
      <c r="AD636" s="190"/>
    </row>
    <row r="637" spans="14:30" x14ac:dyDescent="0.3">
      <c r="N637" s="170"/>
      <c r="P637" s="189"/>
      <c r="Q637" s="160"/>
      <c r="R637" s="160"/>
      <c r="S637" s="160"/>
      <c r="T637" s="160"/>
      <c r="U637" s="160"/>
      <c r="V637" s="160"/>
      <c r="X637" s="160"/>
      <c r="Y637" s="160"/>
      <c r="AA637" s="160"/>
      <c r="AB637" s="160"/>
      <c r="AC637" s="160"/>
      <c r="AD637" s="190"/>
    </row>
    <row r="638" spans="14:30" x14ac:dyDescent="0.3">
      <c r="N638" s="170"/>
      <c r="P638" s="189"/>
      <c r="Q638" s="160"/>
      <c r="R638" s="160"/>
      <c r="S638" s="160"/>
      <c r="T638" s="160"/>
      <c r="U638" s="160"/>
      <c r="V638" s="160"/>
      <c r="X638" s="160"/>
      <c r="Y638" s="160"/>
      <c r="AA638" s="160"/>
      <c r="AB638" s="160"/>
      <c r="AC638" s="160"/>
      <c r="AD638" s="190"/>
    </row>
    <row r="639" spans="14:30" x14ac:dyDescent="0.3">
      <c r="N639" s="170"/>
      <c r="P639" s="189"/>
      <c r="Q639" s="160"/>
      <c r="R639" s="160"/>
      <c r="S639" s="160"/>
      <c r="T639" s="160"/>
      <c r="U639" s="160"/>
      <c r="V639" s="160"/>
      <c r="X639" s="160"/>
      <c r="Y639" s="160"/>
      <c r="AA639" s="160"/>
      <c r="AB639" s="160"/>
      <c r="AC639" s="160"/>
      <c r="AD639" s="190"/>
    </row>
    <row r="640" spans="14:30" x14ac:dyDescent="0.3">
      <c r="N640" s="170"/>
      <c r="P640" s="189"/>
      <c r="Q640" s="160"/>
      <c r="R640" s="160"/>
      <c r="S640" s="160"/>
      <c r="T640" s="160"/>
      <c r="U640" s="160"/>
      <c r="V640" s="160"/>
      <c r="X640" s="160"/>
      <c r="Y640" s="160"/>
      <c r="AA640" s="160"/>
      <c r="AB640" s="160"/>
      <c r="AC640" s="160"/>
      <c r="AD640" s="190"/>
    </row>
    <row r="641" spans="14:30" x14ac:dyDescent="0.3">
      <c r="N641" s="170"/>
      <c r="P641" s="189"/>
      <c r="Q641" s="160"/>
      <c r="R641" s="160"/>
      <c r="S641" s="160"/>
      <c r="T641" s="160"/>
      <c r="U641" s="160"/>
      <c r="V641" s="160"/>
      <c r="X641" s="160"/>
      <c r="Y641" s="160"/>
      <c r="AA641" s="160"/>
      <c r="AB641" s="160"/>
      <c r="AC641" s="160"/>
      <c r="AD641" s="190"/>
    </row>
    <row r="642" spans="14:30" x14ac:dyDescent="0.3">
      <c r="N642" s="170"/>
      <c r="P642" s="189"/>
      <c r="Q642" s="160"/>
      <c r="R642" s="160"/>
      <c r="S642" s="160"/>
      <c r="T642" s="160"/>
      <c r="U642" s="160"/>
      <c r="V642" s="160"/>
      <c r="X642" s="160"/>
      <c r="Y642" s="160"/>
      <c r="AA642" s="160"/>
      <c r="AB642" s="160"/>
      <c r="AC642" s="160"/>
      <c r="AD642" s="190"/>
    </row>
    <row r="643" spans="14:30" x14ac:dyDescent="0.3">
      <c r="N643" s="170"/>
      <c r="P643" s="189"/>
      <c r="Q643" s="160"/>
      <c r="R643" s="160"/>
      <c r="S643" s="160"/>
      <c r="T643" s="160"/>
      <c r="U643" s="160"/>
      <c r="V643" s="160"/>
      <c r="X643" s="160"/>
      <c r="Y643" s="160"/>
      <c r="AA643" s="160"/>
      <c r="AB643" s="160"/>
      <c r="AC643" s="160"/>
      <c r="AD643" s="190"/>
    </row>
    <row r="644" spans="14:30" x14ac:dyDescent="0.3">
      <c r="N644" s="170"/>
      <c r="P644" s="189"/>
      <c r="Q644" s="160"/>
      <c r="R644" s="160"/>
      <c r="S644" s="160"/>
      <c r="T644" s="160"/>
      <c r="U644" s="160"/>
      <c r="V644" s="160"/>
      <c r="X644" s="160"/>
      <c r="Y644" s="160"/>
      <c r="AA644" s="160"/>
      <c r="AB644" s="160"/>
      <c r="AC644" s="160"/>
      <c r="AD644" s="190"/>
    </row>
    <row r="645" spans="14:30" x14ac:dyDescent="0.3">
      <c r="N645" s="170"/>
      <c r="P645" s="189"/>
      <c r="Q645" s="160"/>
      <c r="R645" s="160"/>
      <c r="S645" s="160"/>
      <c r="T645" s="160"/>
      <c r="U645" s="160"/>
      <c r="V645" s="160"/>
      <c r="X645" s="160"/>
      <c r="Y645" s="160"/>
      <c r="AA645" s="160"/>
      <c r="AB645" s="160"/>
      <c r="AC645" s="160"/>
      <c r="AD645" s="190"/>
    </row>
    <row r="646" spans="14:30" x14ac:dyDescent="0.3">
      <c r="N646" s="170"/>
      <c r="P646" s="189"/>
      <c r="Q646" s="160"/>
      <c r="R646" s="160"/>
      <c r="S646" s="160"/>
      <c r="T646" s="160"/>
      <c r="U646" s="160"/>
      <c r="V646" s="160"/>
      <c r="X646" s="160"/>
      <c r="Y646" s="160"/>
      <c r="AA646" s="160"/>
      <c r="AB646" s="160"/>
      <c r="AC646" s="160"/>
      <c r="AD646" s="190"/>
    </row>
    <row r="647" spans="14:30" x14ac:dyDescent="0.3">
      <c r="N647" s="170"/>
      <c r="P647" s="189"/>
      <c r="Q647" s="160"/>
      <c r="R647" s="160"/>
      <c r="S647" s="160"/>
      <c r="T647" s="160"/>
      <c r="U647" s="160"/>
      <c r="V647" s="160"/>
      <c r="X647" s="160"/>
      <c r="Y647" s="160"/>
      <c r="AA647" s="160"/>
      <c r="AB647" s="160"/>
      <c r="AC647" s="160"/>
      <c r="AD647" s="190"/>
    </row>
    <row r="648" spans="14:30" x14ac:dyDescent="0.3">
      <c r="N648" s="170"/>
      <c r="P648" s="189"/>
      <c r="Q648" s="160"/>
      <c r="R648" s="160"/>
      <c r="S648" s="160"/>
      <c r="T648" s="160"/>
      <c r="U648" s="160"/>
      <c r="V648" s="160"/>
      <c r="X648" s="160"/>
      <c r="Y648" s="160"/>
      <c r="AA648" s="160"/>
      <c r="AB648" s="160"/>
      <c r="AC648" s="160"/>
      <c r="AD648" s="190"/>
    </row>
    <row r="649" spans="14:30" x14ac:dyDescent="0.3">
      <c r="N649" s="170"/>
      <c r="P649" s="189"/>
      <c r="Q649" s="160"/>
      <c r="R649" s="160"/>
      <c r="S649" s="160"/>
      <c r="T649" s="160"/>
      <c r="U649" s="160"/>
      <c r="V649" s="160"/>
      <c r="X649" s="160"/>
      <c r="Y649" s="160"/>
      <c r="AA649" s="160"/>
      <c r="AB649" s="160"/>
      <c r="AC649" s="160"/>
      <c r="AD649" s="190"/>
    </row>
    <row r="650" spans="14:30" x14ac:dyDescent="0.3">
      <c r="N650" s="170"/>
      <c r="P650" s="189"/>
      <c r="Q650" s="160"/>
      <c r="R650" s="160"/>
      <c r="S650" s="160"/>
      <c r="T650" s="160"/>
      <c r="U650" s="160"/>
      <c r="V650" s="160"/>
      <c r="X650" s="160"/>
      <c r="Y650" s="160"/>
      <c r="AA650" s="160"/>
      <c r="AB650" s="160"/>
      <c r="AC650" s="160"/>
      <c r="AD650" s="190"/>
    </row>
    <row r="651" spans="14:30" x14ac:dyDescent="0.3">
      <c r="N651" s="170"/>
      <c r="P651" s="189"/>
      <c r="Q651" s="160"/>
      <c r="R651" s="160"/>
      <c r="S651" s="160"/>
      <c r="T651" s="160"/>
      <c r="U651" s="160"/>
      <c r="V651" s="160"/>
      <c r="X651" s="160"/>
      <c r="Y651" s="160"/>
      <c r="AA651" s="160"/>
      <c r="AB651" s="160"/>
      <c r="AC651" s="160"/>
      <c r="AD651" s="190"/>
    </row>
    <row r="652" spans="14:30" x14ac:dyDescent="0.3">
      <c r="N652" s="170"/>
      <c r="P652" s="189"/>
      <c r="Q652" s="160"/>
      <c r="R652" s="160"/>
      <c r="S652" s="160"/>
      <c r="T652" s="160"/>
      <c r="U652" s="160"/>
      <c r="V652" s="160"/>
      <c r="X652" s="160"/>
      <c r="Y652" s="160"/>
      <c r="AA652" s="160"/>
      <c r="AB652" s="160"/>
      <c r="AC652" s="160"/>
      <c r="AD652" s="190"/>
    </row>
    <row r="653" spans="14:30" x14ac:dyDescent="0.3">
      <c r="N653" s="170"/>
      <c r="P653" s="189"/>
      <c r="Q653" s="160"/>
      <c r="R653" s="160"/>
      <c r="S653" s="160"/>
      <c r="T653" s="160"/>
      <c r="U653" s="160"/>
      <c r="V653" s="160"/>
      <c r="X653" s="160"/>
      <c r="Y653" s="160"/>
      <c r="AA653" s="160"/>
      <c r="AB653" s="160"/>
      <c r="AC653" s="160"/>
      <c r="AD653" s="190"/>
    </row>
    <row r="654" spans="14:30" x14ac:dyDescent="0.3">
      <c r="N654" s="170"/>
      <c r="P654" s="189"/>
      <c r="Q654" s="160"/>
      <c r="R654" s="160"/>
      <c r="S654" s="160"/>
      <c r="T654" s="160"/>
      <c r="U654" s="160"/>
      <c r="V654" s="160"/>
      <c r="X654" s="160"/>
      <c r="Y654" s="160"/>
      <c r="AA654" s="160"/>
      <c r="AB654" s="160"/>
      <c r="AC654" s="160"/>
      <c r="AD654" s="190"/>
    </row>
    <row r="655" spans="14:30" x14ac:dyDescent="0.3">
      <c r="N655" s="170"/>
      <c r="P655" s="189"/>
      <c r="Q655" s="160"/>
      <c r="R655" s="160"/>
      <c r="S655" s="160"/>
      <c r="T655" s="160"/>
      <c r="U655" s="160"/>
      <c r="V655" s="160"/>
      <c r="X655" s="160"/>
      <c r="Y655" s="160"/>
      <c r="AA655" s="160"/>
      <c r="AB655" s="160"/>
      <c r="AC655" s="160"/>
      <c r="AD655" s="190"/>
    </row>
    <row r="656" spans="14:30" x14ac:dyDescent="0.3">
      <c r="N656" s="170"/>
      <c r="P656" s="189"/>
      <c r="Q656" s="160"/>
      <c r="R656" s="160"/>
      <c r="S656" s="160"/>
      <c r="T656" s="160"/>
      <c r="U656" s="160"/>
      <c r="V656" s="160"/>
      <c r="X656" s="160"/>
      <c r="Y656" s="160"/>
      <c r="AA656" s="160"/>
      <c r="AB656" s="160"/>
      <c r="AC656" s="160"/>
      <c r="AD656" s="190"/>
    </row>
    <row r="657" spans="14:30" x14ac:dyDescent="0.3">
      <c r="N657" s="170"/>
      <c r="P657" s="189"/>
      <c r="Q657" s="160"/>
      <c r="R657" s="160"/>
      <c r="S657" s="160"/>
      <c r="T657" s="160"/>
      <c r="U657" s="160"/>
      <c r="V657" s="160"/>
      <c r="X657" s="160"/>
      <c r="Y657" s="160"/>
      <c r="AA657" s="160"/>
      <c r="AB657" s="160"/>
      <c r="AC657" s="160"/>
      <c r="AD657" s="190"/>
    </row>
    <row r="658" spans="14:30" x14ac:dyDescent="0.3">
      <c r="N658" s="170"/>
      <c r="P658" s="189"/>
      <c r="Q658" s="160"/>
      <c r="R658" s="160"/>
      <c r="S658" s="160"/>
      <c r="T658" s="160"/>
      <c r="U658" s="160"/>
      <c r="V658" s="160"/>
      <c r="X658" s="160"/>
      <c r="Y658" s="160"/>
      <c r="AA658" s="160"/>
      <c r="AB658" s="160"/>
      <c r="AC658" s="160"/>
      <c r="AD658" s="190"/>
    </row>
    <row r="659" spans="14:30" x14ac:dyDescent="0.3">
      <c r="N659" s="170"/>
      <c r="P659" s="189"/>
      <c r="Q659" s="160"/>
      <c r="R659" s="160"/>
      <c r="S659" s="160"/>
      <c r="T659" s="160"/>
      <c r="U659" s="160"/>
      <c r="V659" s="160"/>
      <c r="X659" s="160"/>
      <c r="Y659" s="160"/>
      <c r="AA659" s="160"/>
      <c r="AB659" s="160"/>
      <c r="AC659" s="160"/>
      <c r="AD659" s="190"/>
    </row>
    <row r="660" spans="14:30" x14ac:dyDescent="0.3">
      <c r="N660" s="170"/>
      <c r="P660" s="189"/>
      <c r="Q660" s="160"/>
      <c r="R660" s="160"/>
      <c r="S660" s="160"/>
      <c r="T660" s="160"/>
      <c r="U660" s="160"/>
      <c r="V660" s="160"/>
      <c r="X660" s="160"/>
      <c r="Y660" s="160"/>
      <c r="AA660" s="160"/>
      <c r="AB660" s="160"/>
      <c r="AC660" s="160"/>
      <c r="AD660" s="190"/>
    </row>
    <row r="661" spans="14:30" x14ac:dyDescent="0.3">
      <c r="N661" s="170"/>
      <c r="P661" s="189"/>
      <c r="Q661" s="160"/>
      <c r="R661" s="160"/>
      <c r="S661" s="160"/>
      <c r="T661" s="160"/>
      <c r="U661" s="160"/>
      <c r="V661" s="160"/>
      <c r="X661" s="160"/>
      <c r="Y661" s="160"/>
      <c r="AA661" s="160"/>
      <c r="AB661" s="160"/>
      <c r="AC661" s="160"/>
      <c r="AD661" s="190"/>
    </row>
    <row r="662" spans="14:30" x14ac:dyDescent="0.3">
      <c r="N662" s="170"/>
      <c r="P662" s="189"/>
      <c r="Q662" s="160"/>
      <c r="R662" s="160"/>
      <c r="S662" s="160"/>
      <c r="T662" s="160"/>
      <c r="U662" s="160"/>
      <c r="V662" s="160"/>
      <c r="X662" s="160"/>
      <c r="Y662" s="160"/>
      <c r="AA662" s="160"/>
      <c r="AB662" s="160"/>
      <c r="AC662" s="160"/>
      <c r="AD662" s="190"/>
    </row>
    <row r="663" spans="14:30" x14ac:dyDescent="0.3">
      <c r="N663" s="170"/>
      <c r="P663" s="189"/>
      <c r="Q663" s="160"/>
      <c r="R663" s="160"/>
      <c r="S663" s="160"/>
      <c r="T663" s="160"/>
      <c r="U663" s="160"/>
      <c r="V663" s="160"/>
      <c r="X663" s="160"/>
      <c r="Y663" s="160"/>
      <c r="AA663" s="160"/>
      <c r="AB663" s="160"/>
      <c r="AC663" s="160"/>
      <c r="AD663" s="190"/>
    </row>
    <row r="664" spans="14:30" x14ac:dyDescent="0.3">
      <c r="N664" s="170"/>
      <c r="P664" s="189"/>
      <c r="Q664" s="160"/>
      <c r="R664" s="160"/>
      <c r="S664" s="160"/>
      <c r="T664" s="160"/>
      <c r="U664" s="160"/>
      <c r="V664" s="160"/>
      <c r="X664" s="160"/>
      <c r="Y664" s="160"/>
      <c r="AA664" s="160"/>
      <c r="AB664" s="160"/>
      <c r="AC664" s="160"/>
      <c r="AD664" s="190"/>
    </row>
    <row r="665" spans="14:30" x14ac:dyDescent="0.3">
      <c r="N665" s="170"/>
      <c r="P665" s="189"/>
      <c r="Q665" s="160"/>
      <c r="R665" s="160"/>
      <c r="S665" s="160"/>
      <c r="T665" s="160"/>
      <c r="U665" s="160"/>
      <c r="V665" s="160"/>
      <c r="X665" s="160"/>
      <c r="Y665" s="160"/>
      <c r="AA665" s="160"/>
      <c r="AB665" s="160"/>
      <c r="AC665" s="160"/>
      <c r="AD665" s="190"/>
    </row>
    <row r="666" spans="14:30" x14ac:dyDescent="0.3">
      <c r="N666" s="170"/>
      <c r="P666" s="189"/>
      <c r="Q666" s="160"/>
      <c r="R666" s="160"/>
      <c r="S666" s="160"/>
      <c r="T666" s="160"/>
      <c r="U666" s="160"/>
      <c r="V666" s="160"/>
      <c r="X666" s="160"/>
      <c r="Y666" s="160"/>
      <c r="AA666" s="160"/>
      <c r="AB666" s="160"/>
      <c r="AC666" s="160"/>
      <c r="AD666" s="190"/>
    </row>
    <row r="667" spans="14:30" x14ac:dyDescent="0.3">
      <c r="N667" s="170"/>
      <c r="P667" s="189"/>
      <c r="Q667" s="160"/>
      <c r="R667" s="160"/>
      <c r="S667" s="160"/>
      <c r="T667" s="160"/>
      <c r="U667" s="160"/>
      <c r="V667" s="160"/>
      <c r="X667" s="160"/>
      <c r="Y667" s="160"/>
      <c r="AA667" s="160"/>
      <c r="AB667" s="160"/>
      <c r="AC667" s="160"/>
      <c r="AD667" s="190"/>
    </row>
    <row r="668" spans="14:30" x14ac:dyDescent="0.3">
      <c r="N668" s="170"/>
      <c r="P668" s="189"/>
      <c r="Q668" s="160"/>
      <c r="R668" s="160"/>
      <c r="S668" s="160"/>
      <c r="T668" s="160"/>
      <c r="U668" s="160"/>
      <c r="V668" s="160"/>
      <c r="X668" s="160"/>
      <c r="Y668" s="160"/>
      <c r="AA668" s="160"/>
      <c r="AB668" s="160"/>
      <c r="AC668" s="160"/>
      <c r="AD668" s="190"/>
    </row>
    <row r="669" spans="14:30" x14ac:dyDescent="0.3">
      <c r="N669" s="170"/>
      <c r="P669" s="189"/>
      <c r="Q669" s="160"/>
      <c r="R669" s="160"/>
      <c r="S669" s="160"/>
      <c r="T669" s="160"/>
      <c r="U669" s="160"/>
      <c r="V669" s="160"/>
      <c r="X669" s="160"/>
      <c r="Y669" s="160"/>
      <c r="AA669" s="160"/>
      <c r="AB669" s="160"/>
      <c r="AC669" s="160"/>
      <c r="AD669" s="190"/>
    </row>
    <row r="670" spans="14:30" x14ac:dyDescent="0.3">
      <c r="N670" s="170"/>
      <c r="P670" s="189"/>
      <c r="Q670" s="160"/>
      <c r="R670" s="160"/>
      <c r="S670" s="160"/>
      <c r="T670" s="160"/>
      <c r="U670" s="160"/>
      <c r="V670" s="160"/>
      <c r="X670" s="160"/>
      <c r="Y670" s="160"/>
      <c r="AA670" s="160"/>
      <c r="AB670" s="160"/>
      <c r="AC670" s="160"/>
      <c r="AD670" s="190"/>
    </row>
    <row r="671" spans="14:30" x14ac:dyDescent="0.3">
      <c r="N671" s="170"/>
      <c r="P671" s="189"/>
      <c r="Q671" s="160"/>
      <c r="R671" s="160"/>
      <c r="S671" s="160"/>
      <c r="T671" s="160"/>
      <c r="U671" s="160"/>
      <c r="V671" s="160"/>
      <c r="X671" s="160"/>
      <c r="Y671" s="160"/>
      <c r="AA671" s="160"/>
      <c r="AB671" s="160"/>
      <c r="AC671" s="160"/>
      <c r="AD671" s="190"/>
    </row>
    <row r="672" spans="14:30" x14ac:dyDescent="0.3">
      <c r="N672" s="170"/>
      <c r="P672" s="189"/>
      <c r="Q672" s="160"/>
      <c r="R672" s="160"/>
      <c r="S672" s="160"/>
      <c r="T672" s="160"/>
      <c r="U672" s="160"/>
      <c r="V672" s="160"/>
      <c r="X672" s="160"/>
      <c r="Y672" s="160"/>
      <c r="AA672" s="160"/>
      <c r="AB672" s="160"/>
      <c r="AC672" s="160"/>
      <c r="AD672" s="190"/>
    </row>
    <row r="673" spans="14:30" x14ac:dyDescent="0.3">
      <c r="N673" s="170"/>
      <c r="P673" s="189"/>
      <c r="Q673" s="160"/>
      <c r="R673" s="160"/>
      <c r="S673" s="160"/>
      <c r="T673" s="160"/>
      <c r="U673" s="160"/>
      <c r="V673" s="160"/>
      <c r="X673" s="160"/>
      <c r="Y673" s="160"/>
      <c r="AA673" s="160"/>
      <c r="AB673" s="160"/>
      <c r="AC673" s="160"/>
      <c r="AD673" s="190"/>
    </row>
    <row r="674" spans="14:30" x14ac:dyDescent="0.3">
      <c r="N674" s="170"/>
      <c r="P674" s="189"/>
      <c r="Q674" s="160"/>
      <c r="R674" s="160"/>
      <c r="S674" s="160"/>
      <c r="T674" s="160"/>
      <c r="U674" s="160"/>
      <c r="V674" s="160"/>
      <c r="X674" s="160"/>
      <c r="Y674" s="160"/>
      <c r="AA674" s="160"/>
      <c r="AB674" s="160"/>
      <c r="AC674" s="160"/>
      <c r="AD674" s="190"/>
    </row>
    <row r="675" spans="14:30" x14ac:dyDescent="0.3">
      <c r="N675" s="170"/>
      <c r="P675" s="189"/>
      <c r="Q675" s="160"/>
      <c r="R675" s="160"/>
      <c r="S675" s="160"/>
      <c r="T675" s="160"/>
      <c r="U675" s="160"/>
      <c r="V675" s="160"/>
      <c r="X675" s="160"/>
      <c r="Y675" s="160"/>
      <c r="AA675" s="160"/>
      <c r="AB675" s="160"/>
      <c r="AC675" s="160"/>
      <c r="AD675" s="190"/>
    </row>
    <row r="676" spans="14:30" x14ac:dyDescent="0.3">
      <c r="N676" s="170"/>
      <c r="P676" s="189"/>
      <c r="Q676" s="160"/>
      <c r="R676" s="160"/>
      <c r="S676" s="160"/>
      <c r="T676" s="160"/>
      <c r="U676" s="160"/>
      <c r="V676" s="160"/>
      <c r="X676" s="160"/>
      <c r="Y676" s="160"/>
      <c r="AA676" s="160"/>
      <c r="AB676" s="160"/>
      <c r="AC676" s="160"/>
      <c r="AD676" s="190"/>
    </row>
    <row r="677" spans="14:30" x14ac:dyDescent="0.3">
      <c r="N677" s="170"/>
      <c r="P677" s="189"/>
      <c r="Q677" s="160"/>
      <c r="R677" s="160"/>
      <c r="S677" s="160"/>
      <c r="T677" s="160"/>
      <c r="U677" s="160"/>
      <c r="V677" s="160"/>
      <c r="X677" s="160"/>
      <c r="Y677" s="160"/>
      <c r="AA677" s="160"/>
      <c r="AB677" s="160"/>
      <c r="AC677" s="160"/>
      <c r="AD677" s="190"/>
    </row>
    <row r="678" spans="14:30" x14ac:dyDescent="0.3">
      <c r="N678" s="170"/>
      <c r="P678" s="189"/>
      <c r="Q678" s="160"/>
      <c r="R678" s="160"/>
      <c r="S678" s="160"/>
      <c r="T678" s="160"/>
      <c r="U678" s="160"/>
      <c r="V678" s="160"/>
      <c r="X678" s="160"/>
      <c r="Y678" s="160"/>
      <c r="AA678" s="160"/>
      <c r="AB678" s="160"/>
      <c r="AC678" s="160"/>
      <c r="AD678" s="190"/>
    </row>
    <row r="679" spans="14:30" x14ac:dyDescent="0.3">
      <c r="N679" s="170"/>
      <c r="P679" s="189"/>
      <c r="Q679" s="160"/>
      <c r="R679" s="160"/>
      <c r="S679" s="160"/>
      <c r="T679" s="160"/>
      <c r="U679" s="160"/>
      <c r="V679" s="160"/>
      <c r="X679" s="160"/>
      <c r="Y679" s="160"/>
      <c r="AA679" s="160"/>
      <c r="AB679" s="160"/>
      <c r="AC679" s="160"/>
      <c r="AD679" s="190"/>
    </row>
    <row r="680" spans="14:30" x14ac:dyDescent="0.3">
      <c r="N680" s="170"/>
      <c r="P680" s="189"/>
      <c r="Q680" s="160"/>
      <c r="R680" s="160"/>
      <c r="S680" s="160"/>
      <c r="T680" s="160"/>
      <c r="U680" s="160"/>
      <c r="V680" s="160"/>
      <c r="X680" s="160"/>
      <c r="Y680" s="160"/>
      <c r="AA680" s="160"/>
      <c r="AB680" s="160"/>
      <c r="AC680" s="160"/>
      <c r="AD680" s="190"/>
    </row>
    <row r="681" spans="14:30" x14ac:dyDescent="0.3">
      <c r="N681" s="170"/>
      <c r="P681" s="189"/>
      <c r="Q681" s="160"/>
      <c r="R681" s="160"/>
      <c r="S681" s="160"/>
      <c r="T681" s="160"/>
      <c r="U681" s="160"/>
      <c r="V681" s="160"/>
      <c r="X681" s="160"/>
      <c r="Y681" s="160"/>
      <c r="AA681" s="160"/>
      <c r="AB681" s="160"/>
      <c r="AC681" s="160"/>
      <c r="AD681" s="190"/>
    </row>
    <row r="682" spans="14:30" x14ac:dyDescent="0.3">
      <c r="N682" s="170"/>
      <c r="P682" s="189"/>
      <c r="Q682" s="160"/>
      <c r="R682" s="160"/>
      <c r="S682" s="160"/>
      <c r="T682" s="160"/>
      <c r="U682" s="160"/>
      <c r="V682" s="160"/>
      <c r="X682" s="160"/>
      <c r="Y682" s="160"/>
      <c r="AA682" s="160"/>
      <c r="AB682" s="160"/>
      <c r="AC682" s="160"/>
      <c r="AD682" s="190"/>
    </row>
    <row r="683" spans="14:30" x14ac:dyDescent="0.3">
      <c r="N683" s="170"/>
      <c r="P683" s="189"/>
      <c r="Q683" s="160"/>
      <c r="R683" s="160"/>
      <c r="S683" s="160"/>
      <c r="T683" s="160"/>
      <c r="U683" s="160"/>
      <c r="V683" s="160"/>
      <c r="X683" s="160"/>
      <c r="Y683" s="160"/>
      <c r="AA683" s="160"/>
      <c r="AB683" s="160"/>
      <c r="AC683" s="160"/>
      <c r="AD683" s="190"/>
    </row>
    <row r="684" spans="14:30" x14ac:dyDescent="0.3">
      <c r="N684" s="170"/>
      <c r="P684" s="189"/>
      <c r="Q684" s="160"/>
      <c r="R684" s="160"/>
      <c r="S684" s="160"/>
      <c r="T684" s="160"/>
      <c r="U684" s="160"/>
      <c r="V684" s="160"/>
      <c r="X684" s="160"/>
      <c r="Y684" s="160"/>
      <c r="AA684" s="160"/>
      <c r="AB684" s="160"/>
      <c r="AC684" s="160"/>
      <c r="AD684" s="190"/>
    </row>
    <row r="685" spans="14:30" x14ac:dyDescent="0.3">
      <c r="N685" s="170"/>
      <c r="P685" s="189"/>
      <c r="Q685" s="160"/>
      <c r="R685" s="160"/>
      <c r="S685" s="160"/>
      <c r="T685" s="160"/>
      <c r="U685" s="160"/>
      <c r="V685" s="160"/>
      <c r="X685" s="160"/>
      <c r="Y685" s="160"/>
      <c r="AA685" s="160"/>
      <c r="AB685" s="160"/>
      <c r="AC685" s="160"/>
      <c r="AD685" s="190"/>
    </row>
    <row r="686" spans="14:30" x14ac:dyDescent="0.3">
      <c r="N686" s="170"/>
      <c r="P686" s="189"/>
      <c r="Q686" s="160"/>
      <c r="R686" s="160"/>
      <c r="S686" s="160"/>
      <c r="T686" s="160"/>
      <c r="U686" s="160"/>
      <c r="V686" s="160"/>
      <c r="X686" s="160"/>
      <c r="Y686" s="160"/>
      <c r="AA686" s="160"/>
      <c r="AB686" s="160"/>
      <c r="AC686" s="160"/>
      <c r="AD686" s="190"/>
    </row>
    <row r="687" spans="14:30" x14ac:dyDescent="0.3">
      <c r="N687" s="170"/>
      <c r="P687" s="189"/>
      <c r="Q687" s="160"/>
      <c r="R687" s="160"/>
      <c r="S687" s="160"/>
      <c r="T687" s="160"/>
      <c r="U687" s="160"/>
      <c r="V687" s="160"/>
      <c r="X687" s="160"/>
      <c r="Y687" s="160"/>
      <c r="AA687" s="160"/>
      <c r="AB687" s="160"/>
      <c r="AC687" s="160"/>
      <c r="AD687" s="190"/>
    </row>
    <row r="688" spans="14:30" x14ac:dyDescent="0.3">
      <c r="N688" s="170"/>
      <c r="P688" s="189"/>
      <c r="Q688" s="160"/>
      <c r="R688" s="160"/>
      <c r="S688" s="160"/>
      <c r="T688" s="160"/>
      <c r="U688" s="160"/>
      <c r="V688" s="160"/>
      <c r="X688" s="160"/>
      <c r="Y688" s="160"/>
      <c r="AA688" s="160"/>
      <c r="AB688" s="160"/>
      <c r="AC688" s="160"/>
      <c r="AD688" s="190"/>
    </row>
    <row r="689" spans="14:30" x14ac:dyDescent="0.3">
      <c r="N689" s="170"/>
      <c r="P689" s="189"/>
      <c r="Q689" s="160"/>
      <c r="R689" s="160"/>
      <c r="S689" s="160"/>
      <c r="T689" s="160"/>
      <c r="U689" s="160"/>
      <c r="V689" s="160"/>
      <c r="X689" s="160"/>
      <c r="Y689" s="160"/>
      <c r="AA689" s="160"/>
      <c r="AB689" s="160"/>
      <c r="AC689" s="160"/>
      <c r="AD689" s="190"/>
    </row>
    <row r="690" spans="14:30" x14ac:dyDescent="0.3">
      <c r="N690" s="170"/>
      <c r="P690" s="189"/>
      <c r="Q690" s="160"/>
      <c r="R690" s="160"/>
      <c r="S690" s="160"/>
      <c r="T690" s="160"/>
      <c r="U690" s="160"/>
      <c r="V690" s="160"/>
      <c r="X690" s="160"/>
      <c r="Y690" s="160"/>
      <c r="AA690" s="160"/>
      <c r="AB690" s="160"/>
      <c r="AC690" s="160"/>
      <c r="AD690" s="190"/>
    </row>
    <row r="691" spans="14:30" x14ac:dyDescent="0.3">
      <c r="N691" s="170"/>
      <c r="P691" s="189"/>
      <c r="Q691" s="160"/>
      <c r="R691" s="160"/>
      <c r="S691" s="160"/>
      <c r="T691" s="160"/>
      <c r="U691" s="160"/>
      <c r="V691" s="160"/>
      <c r="X691" s="160"/>
      <c r="Y691" s="160"/>
      <c r="AA691" s="160"/>
      <c r="AB691" s="160"/>
      <c r="AC691" s="160"/>
      <c r="AD691" s="190"/>
    </row>
    <row r="692" spans="14:30" x14ac:dyDescent="0.3">
      <c r="N692" s="170"/>
      <c r="P692" s="189"/>
      <c r="Q692" s="160"/>
      <c r="R692" s="160"/>
      <c r="S692" s="160"/>
      <c r="T692" s="160"/>
      <c r="U692" s="160"/>
      <c r="V692" s="160"/>
      <c r="X692" s="160"/>
      <c r="Y692" s="160"/>
      <c r="AA692" s="160"/>
      <c r="AB692" s="160"/>
      <c r="AC692" s="160"/>
      <c r="AD692" s="190"/>
    </row>
    <row r="693" spans="14:30" x14ac:dyDescent="0.3">
      <c r="N693" s="170"/>
      <c r="P693" s="189"/>
      <c r="Q693" s="160"/>
      <c r="R693" s="160"/>
      <c r="S693" s="160"/>
      <c r="T693" s="160"/>
      <c r="U693" s="160"/>
      <c r="V693" s="160"/>
      <c r="X693" s="160"/>
      <c r="Y693" s="160"/>
      <c r="AA693" s="160"/>
      <c r="AB693" s="160"/>
      <c r="AC693" s="160"/>
      <c r="AD693" s="190"/>
    </row>
    <row r="694" spans="14:30" x14ac:dyDescent="0.3">
      <c r="N694" s="170"/>
      <c r="P694" s="189"/>
      <c r="Q694" s="160"/>
      <c r="R694" s="160"/>
      <c r="S694" s="160"/>
      <c r="T694" s="160"/>
      <c r="U694" s="160"/>
      <c r="V694" s="160"/>
      <c r="X694" s="160"/>
      <c r="Y694" s="160"/>
      <c r="AA694" s="160"/>
      <c r="AB694" s="160"/>
      <c r="AC694" s="160"/>
      <c r="AD694" s="190"/>
    </row>
    <row r="695" spans="14:30" x14ac:dyDescent="0.3">
      <c r="N695" s="170"/>
      <c r="P695" s="189"/>
      <c r="Q695" s="160"/>
      <c r="R695" s="160"/>
      <c r="S695" s="160"/>
      <c r="T695" s="160"/>
      <c r="U695" s="160"/>
      <c r="V695" s="160"/>
      <c r="X695" s="160"/>
      <c r="Y695" s="160"/>
      <c r="AA695" s="160"/>
      <c r="AB695" s="160"/>
      <c r="AC695" s="160"/>
      <c r="AD695" s="190"/>
    </row>
    <row r="696" spans="14:30" x14ac:dyDescent="0.3">
      <c r="N696" s="170"/>
      <c r="P696" s="189"/>
      <c r="Q696" s="160"/>
      <c r="R696" s="160"/>
      <c r="S696" s="160"/>
      <c r="T696" s="160"/>
      <c r="U696" s="160"/>
      <c r="V696" s="160"/>
      <c r="X696" s="160"/>
      <c r="Y696" s="160"/>
      <c r="AA696" s="160"/>
      <c r="AB696" s="160"/>
      <c r="AC696" s="160"/>
      <c r="AD696" s="190"/>
    </row>
    <row r="697" spans="14:30" x14ac:dyDescent="0.3">
      <c r="N697" s="170"/>
      <c r="P697" s="189"/>
      <c r="Q697" s="160"/>
      <c r="R697" s="160"/>
      <c r="S697" s="160"/>
      <c r="T697" s="160"/>
      <c r="U697" s="160"/>
      <c r="V697" s="160"/>
      <c r="X697" s="160"/>
      <c r="Y697" s="160"/>
      <c r="AA697" s="160"/>
      <c r="AB697" s="160"/>
      <c r="AC697" s="160"/>
      <c r="AD697" s="190"/>
    </row>
    <row r="698" spans="14:30" x14ac:dyDescent="0.3">
      <c r="N698" s="170"/>
      <c r="P698" s="189"/>
      <c r="Q698" s="160"/>
      <c r="R698" s="160"/>
      <c r="S698" s="160"/>
      <c r="T698" s="160"/>
      <c r="U698" s="160"/>
      <c r="V698" s="160"/>
      <c r="X698" s="160"/>
      <c r="Y698" s="160"/>
      <c r="AA698" s="160"/>
      <c r="AB698" s="160"/>
      <c r="AC698" s="160"/>
      <c r="AD698" s="190"/>
    </row>
    <row r="699" spans="14:30" x14ac:dyDescent="0.3">
      <c r="N699" s="170"/>
      <c r="P699" s="189"/>
      <c r="Q699" s="160"/>
      <c r="R699" s="160"/>
      <c r="S699" s="160"/>
      <c r="T699" s="160"/>
      <c r="U699" s="160"/>
      <c r="V699" s="160"/>
      <c r="X699" s="160"/>
      <c r="Y699" s="160"/>
      <c r="AA699" s="160"/>
      <c r="AB699" s="160"/>
      <c r="AC699" s="160"/>
      <c r="AD699" s="190"/>
    </row>
    <row r="700" spans="14:30" x14ac:dyDescent="0.3">
      <c r="N700" s="170"/>
      <c r="P700" s="189"/>
      <c r="Q700" s="160"/>
      <c r="R700" s="160"/>
      <c r="S700" s="160"/>
      <c r="T700" s="160"/>
      <c r="U700" s="160"/>
      <c r="V700" s="160"/>
      <c r="X700" s="160"/>
      <c r="Y700" s="160"/>
      <c r="AA700" s="160"/>
      <c r="AB700" s="160"/>
      <c r="AC700" s="160"/>
      <c r="AD700" s="190"/>
    </row>
    <row r="701" spans="14:30" x14ac:dyDescent="0.3">
      <c r="N701" s="170"/>
      <c r="P701" s="189"/>
      <c r="Q701" s="160"/>
      <c r="R701" s="160"/>
      <c r="S701" s="160"/>
      <c r="T701" s="160"/>
      <c r="U701" s="160"/>
      <c r="V701" s="160"/>
      <c r="X701" s="160"/>
      <c r="Y701" s="160"/>
      <c r="AA701" s="160"/>
      <c r="AB701" s="160"/>
      <c r="AC701" s="160"/>
      <c r="AD701" s="190"/>
    </row>
    <row r="702" spans="14:30" x14ac:dyDescent="0.3">
      <c r="N702" s="170"/>
      <c r="P702" s="189"/>
      <c r="Q702" s="160"/>
      <c r="R702" s="160"/>
      <c r="S702" s="160"/>
      <c r="T702" s="160"/>
      <c r="U702" s="160"/>
      <c r="V702" s="160"/>
      <c r="X702" s="160"/>
      <c r="Y702" s="160"/>
      <c r="AA702" s="160"/>
      <c r="AB702" s="160"/>
      <c r="AC702" s="160"/>
      <c r="AD702" s="190"/>
    </row>
    <row r="703" spans="14:30" x14ac:dyDescent="0.3">
      <c r="N703" s="170"/>
      <c r="P703" s="189"/>
      <c r="Q703" s="160"/>
      <c r="R703" s="160"/>
      <c r="S703" s="160"/>
      <c r="T703" s="160"/>
      <c r="U703" s="160"/>
      <c r="V703" s="160"/>
      <c r="X703" s="160"/>
      <c r="Y703" s="160"/>
      <c r="AA703" s="160"/>
      <c r="AB703" s="160"/>
      <c r="AC703" s="160"/>
      <c r="AD703" s="190"/>
    </row>
    <row r="704" spans="14:30" x14ac:dyDescent="0.3">
      <c r="N704" s="170"/>
      <c r="P704" s="189"/>
      <c r="Q704" s="160"/>
      <c r="R704" s="160"/>
      <c r="S704" s="160"/>
      <c r="T704" s="160"/>
      <c r="U704" s="160"/>
      <c r="V704" s="160"/>
      <c r="X704" s="160"/>
      <c r="Y704" s="160"/>
      <c r="AA704" s="160"/>
      <c r="AB704" s="160"/>
      <c r="AC704" s="160"/>
      <c r="AD704" s="190"/>
    </row>
    <row r="705" spans="14:30" x14ac:dyDescent="0.3">
      <c r="N705" s="170"/>
      <c r="P705" s="189"/>
      <c r="Q705" s="160"/>
      <c r="R705" s="160"/>
      <c r="S705" s="160"/>
      <c r="T705" s="160"/>
      <c r="U705" s="160"/>
      <c r="V705" s="160"/>
      <c r="X705" s="160"/>
      <c r="Y705" s="160"/>
      <c r="AA705" s="160"/>
      <c r="AB705" s="160"/>
      <c r="AC705" s="160"/>
      <c r="AD705" s="190"/>
    </row>
    <row r="706" spans="14:30" x14ac:dyDescent="0.3">
      <c r="N706" s="170"/>
      <c r="P706" s="189"/>
      <c r="Q706" s="160"/>
      <c r="R706" s="160"/>
      <c r="S706" s="160"/>
      <c r="T706" s="160"/>
      <c r="U706" s="160"/>
      <c r="V706" s="160"/>
      <c r="X706" s="160"/>
      <c r="Y706" s="160"/>
      <c r="AA706" s="160"/>
      <c r="AB706" s="160"/>
      <c r="AC706" s="160"/>
      <c r="AD706" s="190"/>
    </row>
    <row r="707" spans="14:30" x14ac:dyDescent="0.3">
      <c r="N707" s="170"/>
      <c r="P707" s="189"/>
      <c r="Q707" s="160"/>
      <c r="R707" s="160"/>
      <c r="S707" s="160"/>
      <c r="T707" s="160"/>
      <c r="U707" s="160"/>
      <c r="V707" s="160"/>
      <c r="X707" s="160"/>
      <c r="Y707" s="160"/>
      <c r="AA707" s="160"/>
      <c r="AB707" s="160"/>
      <c r="AC707" s="160"/>
      <c r="AD707" s="190"/>
    </row>
    <row r="708" spans="14:30" x14ac:dyDescent="0.3">
      <c r="N708" s="170"/>
      <c r="P708" s="189"/>
      <c r="Q708" s="160"/>
      <c r="R708" s="160"/>
      <c r="S708" s="160"/>
      <c r="T708" s="160"/>
      <c r="U708" s="160"/>
      <c r="V708" s="160"/>
      <c r="X708" s="160"/>
      <c r="Y708" s="160"/>
      <c r="AA708" s="160"/>
      <c r="AB708" s="160"/>
      <c r="AC708" s="160"/>
      <c r="AD708" s="190"/>
    </row>
  </sheetData>
  <mergeCells count="29">
    <mergeCell ref="AP17:AR17"/>
    <mergeCell ref="AC17:AE17"/>
    <mergeCell ref="AS16:AU16"/>
    <mergeCell ref="AS17:AU17"/>
    <mergeCell ref="AG17:AI17"/>
    <mergeCell ref="AJ17:AL17"/>
    <mergeCell ref="AM17:AO17"/>
    <mergeCell ref="AF16:AR16"/>
    <mergeCell ref="AF4:AR4"/>
    <mergeCell ref="AS4:AU4"/>
    <mergeCell ref="Q5:S5"/>
    <mergeCell ref="T5:V5"/>
    <mergeCell ref="W5:Y5"/>
    <mergeCell ref="Z5:AB5"/>
    <mergeCell ref="AC5:AE5"/>
    <mergeCell ref="AG5:AI5"/>
    <mergeCell ref="AJ5:AL5"/>
    <mergeCell ref="AM5:AO5"/>
    <mergeCell ref="AP5:AR5"/>
    <mergeCell ref="AS5:AU5"/>
    <mergeCell ref="A1:M1"/>
    <mergeCell ref="E6:K6"/>
    <mergeCell ref="Q17:S17"/>
    <mergeCell ref="T17:V17"/>
    <mergeCell ref="W17:Y17"/>
    <mergeCell ref="P16:AE16"/>
    <mergeCell ref="Z17:AB17"/>
    <mergeCell ref="N1:X1"/>
    <mergeCell ref="P4:AE4"/>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3"/>
  <sheetViews>
    <sheetView zoomScale="70" zoomScaleNormal="70" workbookViewId="0">
      <selection activeCell="B51" sqref="B51"/>
    </sheetView>
  </sheetViews>
  <sheetFormatPr defaultRowHeight="14.4" x14ac:dyDescent="0.3"/>
  <cols>
    <col min="1" max="1" width="26.6640625" customWidth="1"/>
    <col min="2" max="2" width="25.5546875" customWidth="1"/>
    <col min="3" max="3" width="10.109375" customWidth="1"/>
  </cols>
  <sheetData>
    <row r="1" spans="1:9" ht="28.2" x14ac:dyDescent="0.5">
      <c r="A1" s="229" t="s">
        <v>80</v>
      </c>
      <c r="B1" s="229"/>
      <c r="C1" s="229"/>
      <c r="D1" s="229"/>
      <c r="E1" s="229"/>
      <c r="F1" s="229"/>
      <c r="G1" s="229"/>
      <c r="H1" s="229"/>
      <c r="I1" s="229"/>
    </row>
    <row r="2" spans="1:9" x14ac:dyDescent="0.3">
      <c r="A2" s="5"/>
      <c r="B2" s="5" t="s">
        <v>16</v>
      </c>
      <c r="C2" s="6"/>
      <c r="D2" s="4"/>
      <c r="E2" s="5"/>
      <c r="F2" s="5"/>
      <c r="G2" s="5"/>
      <c r="H2" s="5"/>
      <c r="I2" s="5"/>
    </row>
    <row r="3" spans="1:9" x14ac:dyDescent="0.3">
      <c r="A3" s="5"/>
      <c r="B3" s="5" t="s">
        <v>17</v>
      </c>
      <c r="C3" s="7"/>
      <c r="D3" s="4"/>
      <c r="E3" s="5"/>
      <c r="F3" s="5"/>
      <c r="G3" s="5"/>
      <c r="H3" s="5"/>
      <c r="I3" s="5"/>
    </row>
    <row r="4" spans="1:9" x14ac:dyDescent="0.3">
      <c r="A4" s="5"/>
      <c r="B4" s="5" t="s">
        <v>18</v>
      </c>
      <c r="C4" s="8"/>
      <c r="D4" s="4"/>
      <c r="E4" s="5"/>
      <c r="F4" s="5"/>
      <c r="G4" s="5"/>
      <c r="H4" s="5"/>
      <c r="I4" s="5"/>
    </row>
    <row r="5" spans="1:9" x14ac:dyDescent="0.3">
      <c r="A5" s="9" t="s">
        <v>19</v>
      </c>
      <c r="B5" s="9" t="s">
        <v>20</v>
      </c>
      <c r="C5" s="9" t="s">
        <v>21</v>
      </c>
      <c r="D5" s="4"/>
      <c r="E5" s="230" t="s">
        <v>22</v>
      </c>
      <c r="F5" s="230"/>
      <c r="G5" s="230"/>
      <c r="H5" s="230"/>
      <c r="I5" s="9"/>
    </row>
    <row r="6" spans="1:9" x14ac:dyDescent="0.3">
      <c r="A6" s="9"/>
      <c r="B6" s="9"/>
      <c r="C6" s="9"/>
      <c r="D6" s="4"/>
      <c r="E6" s="5"/>
      <c r="F6" s="5"/>
      <c r="G6" s="5"/>
      <c r="H6" s="5"/>
      <c r="I6" s="9"/>
    </row>
    <row r="7" spans="1:9" x14ac:dyDescent="0.3">
      <c r="A7" s="9" t="s">
        <v>58</v>
      </c>
      <c r="B7" s="9"/>
      <c r="C7" s="9"/>
      <c r="D7" s="4"/>
      <c r="E7" s="5"/>
      <c r="F7" s="5"/>
      <c r="G7" s="5"/>
      <c r="H7" s="5"/>
      <c r="I7" s="9"/>
    </row>
    <row r="8" spans="1:9" x14ac:dyDescent="0.3">
      <c r="A8" s="9"/>
      <c r="B8" s="9"/>
      <c r="C8" s="9"/>
      <c r="D8" s="4"/>
      <c r="E8" s="5"/>
      <c r="F8" s="5"/>
      <c r="G8" s="5"/>
      <c r="H8" s="5"/>
      <c r="I8" s="9"/>
    </row>
    <row r="9" spans="1:9" x14ac:dyDescent="0.3">
      <c r="A9" t="s">
        <v>47</v>
      </c>
      <c r="B9" s="12">
        <v>0.8</v>
      </c>
      <c r="D9" t="s">
        <v>50</v>
      </c>
    </row>
    <row r="10" spans="1:9" x14ac:dyDescent="0.3">
      <c r="A10" t="s">
        <v>51</v>
      </c>
      <c r="B10" s="13">
        <f>(1-B9)/(2.2*10^6)</f>
        <v>9.0909090909090888E-8</v>
      </c>
      <c r="C10" t="s">
        <v>54</v>
      </c>
      <c r="D10" t="s">
        <v>57</v>
      </c>
    </row>
    <row r="11" spans="1:9" x14ac:dyDescent="0.3">
      <c r="A11" t="s">
        <v>48</v>
      </c>
      <c r="B11" s="12">
        <v>0.85</v>
      </c>
      <c r="D11" t="s">
        <v>50</v>
      </c>
    </row>
    <row r="12" spans="1:9" x14ac:dyDescent="0.3">
      <c r="A12" t="s">
        <v>52</v>
      </c>
      <c r="B12" s="13">
        <f>(1-B11)/(2.2*10^6)</f>
        <v>6.8181818181818186E-8</v>
      </c>
      <c r="C12" t="s">
        <v>54</v>
      </c>
      <c r="D12" t="s">
        <v>56</v>
      </c>
    </row>
    <row r="13" spans="1:9" x14ac:dyDescent="0.3">
      <c r="A13" t="s">
        <v>49</v>
      </c>
      <c r="B13" s="12">
        <v>0.9</v>
      </c>
      <c r="D13" t="s">
        <v>50</v>
      </c>
    </row>
    <row r="14" spans="1:9" x14ac:dyDescent="0.3">
      <c r="A14" t="s">
        <v>53</v>
      </c>
      <c r="B14" s="13">
        <f>(1-B13)/(2.2*10^6)</f>
        <v>4.5454545454545444E-8</v>
      </c>
      <c r="C14" t="s">
        <v>54</v>
      </c>
      <c r="D14" t="s">
        <v>55</v>
      </c>
    </row>
    <row r="16" spans="1:9" x14ac:dyDescent="0.3">
      <c r="A16" t="s">
        <v>59</v>
      </c>
      <c r="B16" s="12">
        <v>0.9</v>
      </c>
      <c r="D16" t="s">
        <v>65</v>
      </c>
    </row>
    <row r="17" spans="1:4" x14ac:dyDescent="0.3">
      <c r="A17" t="s">
        <v>60</v>
      </c>
      <c r="B17" s="12">
        <v>0.93</v>
      </c>
      <c r="D17" t="s">
        <v>62</v>
      </c>
    </row>
    <row r="18" spans="1:4" x14ac:dyDescent="0.3">
      <c r="A18" t="s">
        <v>61</v>
      </c>
      <c r="B18" s="12">
        <v>0.96</v>
      </c>
      <c r="D18" t="s">
        <v>66</v>
      </c>
    </row>
    <row r="19" spans="1:4" x14ac:dyDescent="0.3">
      <c r="B19">
        <f>IF(((1-D_limit_nom)/Constants!B12)&lt;Fsw,2,1)</f>
        <v>1</v>
      </c>
      <c r="D19" t="s">
        <v>72</v>
      </c>
    </row>
    <row r="20" spans="1:4" x14ac:dyDescent="0.3">
      <c r="A20" t="s">
        <v>78</v>
      </c>
      <c r="B20" s="1">
        <f>CHOOSE(B19,D_limit_nom,(1-Constants!B12*Fsw))</f>
        <v>0.93</v>
      </c>
      <c r="D20" t="s">
        <v>79</v>
      </c>
    </row>
    <row r="22" spans="1:4" x14ac:dyDescent="0.3">
      <c r="A22" t="s">
        <v>88</v>
      </c>
      <c r="B22" s="12">
        <f>50*10^-9</f>
        <v>5.0000000000000004E-8</v>
      </c>
      <c r="C22" t="s">
        <v>54</v>
      </c>
      <c r="D22" t="s">
        <v>89</v>
      </c>
    </row>
    <row r="23" spans="1:4" x14ac:dyDescent="0.3">
      <c r="B23" s="12"/>
    </row>
    <row r="24" spans="1:4" ht="15.6" x14ac:dyDescent="0.3">
      <c r="A24" s="29" t="s">
        <v>171</v>
      </c>
    </row>
    <row r="25" spans="1:4" x14ac:dyDescent="0.3">
      <c r="A25" t="s">
        <v>144</v>
      </c>
      <c r="B25" s="12">
        <f>30*10^-6</f>
        <v>2.9999999999999997E-5</v>
      </c>
      <c r="C25" t="s">
        <v>11</v>
      </c>
      <c r="D25" t="s">
        <v>145</v>
      </c>
    </row>
    <row r="26" spans="1:4" x14ac:dyDescent="0.3">
      <c r="A26" t="s">
        <v>146</v>
      </c>
      <c r="B26" s="12">
        <v>1333</v>
      </c>
      <c r="C26" s="2" t="s">
        <v>36</v>
      </c>
      <c r="D26" t="s">
        <v>147</v>
      </c>
    </row>
    <row r="27" spans="1:4" x14ac:dyDescent="0.3">
      <c r="A27" t="s">
        <v>150</v>
      </c>
      <c r="B27" s="12">
        <f>0.1</f>
        <v>0.1</v>
      </c>
      <c r="C27" s="2" t="s">
        <v>10</v>
      </c>
      <c r="D27" t="s">
        <v>151</v>
      </c>
    </row>
    <row r="28" spans="1:4" x14ac:dyDescent="0.3">
      <c r="A28" t="s">
        <v>520</v>
      </c>
      <c r="B28" s="12">
        <v>2000</v>
      </c>
      <c r="C28" s="2" t="s">
        <v>36</v>
      </c>
      <c r="D28" t="s">
        <v>521</v>
      </c>
    </row>
    <row r="29" spans="1:4" x14ac:dyDescent="0.3">
      <c r="A29" t="s">
        <v>236</v>
      </c>
      <c r="B29" s="12">
        <f>0.145</f>
        <v>0.14499999999999999</v>
      </c>
      <c r="C29" t="s">
        <v>180</v>
      </c>
      <c r="D29" t="s">
        <v>238</v>
      </c>
    </row>
    <row r="30" spans="1:4" x14ac:dyDescent="0.3">
      <c r="A30" t="s">
        <v>240</v>
      </c>
      <c r="B30" s="12">
        <v>1</v>
      </c>
      <c r="C30" t="s">
        <v>180</v>
      </c>
      <c r="D30" t="s">
        <v>241</v>
      </c>
    </row>
    <row r="32" spans="1:4" x14ac:dyDescent="0.3">
      <c r="A32" s="33" t="s">
        <v>261</v>
      </c>
    </row>
    <row r="33" spans="1:4" x14ac:dyDescent="0.3">
      <c r="A33" t="s">
        <v>282</v>
      </c>
      <c r="B33">
        <v>1</v>
      </c>
      <c r="C33" t="s">
        <v>10</v>
      </c>
      <c r="D33" t="s">
        <v>283</v>
      </c>
    </row>
    <row r="34" spans="1:4" x14ac:dyDescent="0.3">
      <c r="A34" t="s">
        <v>265</v>
      </c>
      <c r="B34">
        <f>(2*10^-3)/1</f>
        <v>2E-3</v>
      </c>
      <c r="C34" t="s">
        <v>267</v>
      </c>
      <c r="D34" t="s">
        <v>266</v>
      </c>
    </row>
    <row r="36" spans="1:4" x14ac:dyDescent="0.3">
      <c r="A36" s="33" t="s">
        <v>334</v>
      </c>
    </row>
    <row r="37" spans="1:4" x14ac:dyDescent="0.3">
      <c r="A37" t="s">
        <v>335</v>
      </c>
      <c r="B37">
        <f>10*10^-6</f>
        <v>9.9999999999999991E-6</v>
      </c>
      <c r="C37" t="s">
        <v>11</v>
      </c>
      <c r="D37" t="s">
        <v>336</v>
      </c>
    </row>
    <row r="39" spans="1:4" x14ac:dyDescent="0.3">
      <c r="A39" s="33" t="s">
        <v>355</v>
      </c>
    </row>
    <row r="40" spans="1:4" x14ac:dyDescent="0.3">
      <c r="A40" t="s">
        <v>356</v>
      </c>
      <c r="B40">
        <v>1.5</v>
      </c>
      <c r="C40" t="s">
        <v>10</v>
      </c>
      <c r="D40" t="s">
        <v>359</v>
      </c>
    </row>
    <row r="41" spans="1:4" x14ac:dyDescent="0.3">
      <c r="A41" t="s">
        <v>357</v>
      </c>
      <c r="B41">
        <v>1.45</v>
      </c>
      <c r="C41" t="s">
        <v>10</v>
      </c>
      <c r="D41" t="s">
        <v>358</v>
      </c>
    </row>
    <row r="42" spans="1:4" x14ac:dyDescent="0.3">
      <c r="A42" t="s">
        <v>362</v>
      </c>
      <c r="B42">
        <f>5*10^-6</f>
        <v>4.9999999999999996E-6</v>
      </c>
      <c r="C42" t="s">
        <v>11</v>
      </c>
      <c r="D42" t="s">
        <v>363</v>
      </c>
    </row>
    <row r="44" spans="1:4" x14ac:dyDescent="0.3">
      <c r="A44" s="33" t="s">
        <v>420</v>
      </c>
    </row>
    <row r="45" spans="1:4" x14ac:dyDescent="0.3">
      <c r="A45" t="s">
        <v>421</v>
      </c>
      <c r="B45">
        <v>6.75</v>
      </c>
      <c r="C45" t="s">
        <v>10</v>
      </c>
      <c r="D45" t="s">
        <v>422</v>
      </c>
    </row>
    <row r="47" spans="1:4" x14ac:dyDescent="0.3">
      <c r="A47" s="33" t="s">
        <v>439</v>
      </c>
    </row>
    <row r="48" spans="1:4" x14ac:dyDescent="0.3">
      <c r="A48" t="s">
        <v>440</v>
      </c>
      <c r="B48">
        <f>450*(10^-6)</f>
        <v>4.4999999999999999E-4</v>
      </c>
      <c r="C48" t="s">
        <v>11</v>
      </c>
      <c r="D48" t="s">
        <v>441</v>
      </c>
    </row>
    <row r="50" spans="1:4" x14ac:dyDescent="0.3">
      <c r="A50" t="s">
        <v>481</v>
      </c>
    </row>
    <row r="51" spans="1:4" x14ac:dyDescent="0.3">
      <c r="A51" t="s">
        <v>482</v>
      </c>
      <c r="B51">
        <v>1.5</v>
      </c>
      <c r="C51" t="s">
        <v>10</v>
      </c>
      <c r="D51" t="s">
        <v>483</v>
      </c>
    </row>
    <row r="52" spans="1:4" x14ac:dyDescent="0.3">
      <c r="A52" t="s">
        <v>485</v>
      </c>
      <c r="B52">
        <v>45</v>
      </c>
      <c r="C52" t="s">
        <v>10</v>
      </c>
      <c r="D52" t="s">
        <v>484</v>
      </c>
    </row>
    <row r="53" spans="1:4" x14ac:dyDescent="0.3">
      <c r="A53" t="s">
        <v>580</v>
      </c>
      <c r="B53">
        <v>60</v>
      </c>
      <c r="C53" t="s">
        <v>10</v>
      </c>
      <c r="D53" t="s">
        <v>581</v>
      </c>
    </row>
  </sheetData>
  <mergeCells count="2">
    <mergeCell ref="A1:I1"/>
    <mergeCell ref="E5:H5"/>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E3" sqref="E3"/>
    </sheetView>
  </sheetViews>
  <sheetFormatPr defaultRowHeight="14.4" x14ac:dyDescent="0.3"/>
  <cols>
    <col min="3" max="3" width="144.6640625" customWidth="1"/>
  </cols>
  <sheetData>
    <row r="2" spans="2:2" x14ac:dyDescent="0.3">
      <c r="B2" t="str">
        <f>"Eff_vs_IOUT"</f>
        <v>Eff_vs_IOUT</v>
      </c>
    </row>
    <row r="3" spans="2:2" ht="379.95" customHeight="1"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4"/>
  <sheetViews>
    <sheetView workbookViewId="0">
      <selection activeCell="A2" sqref="A2"/>
    </sheetView>
  </sheetViews>
  <sheetFormatPr defaultRowHeight="14.4" x14ac:dyDescent="0.3"/>
  <cols>
    <col min="2" max="2" width="76.109375" customWidth="1"/>
  </cols>
  <sheetData>
    <row r="1" spans="1:1" x14ac:dyDescent="0.3">
      <c r="A1" t="str">
        <f>IF('Design Converter'!H7&gt;=3,"SCH_1","SCH_2")</f>
        <v>SCH_1</v>
      </c>
    </row>
    <row r="2" spans="1:1" ht="267.60000000000002" customHeight="1" x14ac:dyDescent="0.3"/>
    <row r="4" spans="1:1" ht="267.60000000000002" customHeight="1" x14ac:dyDescent="0.3"/>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D11"/>
  <sheetViews>
    <sheetView workbookViewId="0">
      <selection activeCell="D20" sqref="D20"/>
    </sheetView>
  </sheetViews>
  <sheetFormatPr defaultRowHeight="14.4" x14ac:dyDescent="0.3"/>
  <sheetData>
    <row r="2" spans="1:4" x14ac:dyDescent="0.3">
      <c r="A2" t="s">
        <v>458</v>
      </c>
    </row>
    <row r="3" spans="1:4" x14ac:dyDescent="0.3">
      <c r="B3" s="47">
        <f>VIN_min</f>
        <v>4.7</v>
      </c>
    </row>
    <row r="4" spans="1:4" x14ac:dyDescent="0.3">
      <c r="B4" s="221">
        <f>VIN_nom</f>
        <v>5</v>
      </c>
      <c r="D4">
        <v>2.5</v>
      </c>
    </row>
    <row r="5" spans="1:4" x14ac:dyDescent="0.3">
      <c r="B5" s="222">
        <f>VIN_max</f>
        <v>5.3</v>
      </c>
    </row>
    <row r="8" spans="1:4" x14ac:dyDescent="0.3">
      <c r="A8" t="s">
        <v>552</v>
      </c>
    </row>
    <row r="9" spans="1:4" x14ac:dyDescent="0.3">
      <c r="B9" s="47" t="s">
        <v>495</v>
      </c>
    </row>
    <row r="10" spans="1:4" x14ac:dyDescent="0.3">
      <c r="B10" s="221" t="s">
        <v>496</v>
      </c>
    </row>
    <row r="11" spans="1:4" x14ac:dyDescent="0.3">
      <c r="B11" s="222"/>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5DCCB-1154-4E1B-AC0A-91A88D9D073F}">
  <sheetPr codeName="Sheet9"/>
  <dimension ref="A1:AM47"/>
  <sheetViews>
    <sheetView showGridLines="0" showRowColHeaders="0" zoomScaleNormal="100" workbookViewId="0">
      <selection activeCell="B5" sqref="B5"/>
    </sheetView>
  </sheetViews>
  <sheetFormatPr defaultColWidth="9.109375" defaultRowHeight="13.8" x14ac:dyDescent="0.25"/>
  <cols>
    <col min="1" max="1" width="25.6640625" style="150" bestFit="1" customWidth="1"/>
    <col min="2" max="2" width="56.5546875" style="151" customWidth="1"/>
    <col min="3" max="11" width="9.109375" style="144"/>
    <col min="12" max="12" width="20.44140625" style="144" customWidth="1"/>
    <col min="13" max="16384" width="9.109375" style="144"/>
  </cols>
  <sheetData>
    <row r="1" spans="1:12" x14ac:dyDescent="0.25">
      <c r="A1" s="246"/>
      <c r="B1" s="246"/>
      <c r="C1" s="246"/>
      <c r="D1" s="246"/>
      <c r="E1" s="246"/>
      <c r="F1" s="246"/>
      <c r="G1" s="246"/>
      <c r="H1" s="246"/>
      <c r="I1" s="246"/>
      <c r="J1" s="246"/>
      <c r="K1" s="246"/>
      <c r="L1" s="246"/>
    </row>
    <row r="2" spans="1:12" x14ac:dyDescent="0.25">
      <c r="A2" s="246"/>
      <c r="B2" s="246"/>
      <c r="C2" s="246"/>
      <c r="D2" s="246"/>
      <c r="E2" s="246"/>
      <c r="F2" s="246"/>
      <c r="G2" s="246"/>
      <c r="H2" s="246"/>
      <c r="I2" s="246"/>
      <c r="J2" s="246"/>
      <c r="K2" s="246"/>
      <c r="L2" s="246"/>
    </row>
    <row r="3" spans="1:12" x14ac:dyDescent="0.25">
      <c r="A3" s="246"/>
      <c r="B3" s="246"/>
      <c r="C3" s="246"/>
      <c r="D3" s="246"/>
      <c r="E3" s="246"/>
      <c r="F3" s="246"/>
      <c r="G3" s="246"/>
      <c r="H3" s="246"/>
      <c r="I3" s="246"/>
      <c r="J3" s="246"/>
      <c r="K3" s="246"/>
      <c r="L3" s="246"/>
    </row>
    <row r="4" spans="1:12" ht="12.75" customHeight="1" x14ac:dyDescent="0.25">
      <c r="A4" s="247"/>
      <c r="B4" s="247"/>
      <c r="C4" s="247"/>
      <c r="D4" s="247"/>
      <c r="E4" s="247"/>
      <c r="F4" s="247"/>
      <c r="G4" s="247"/>
      <c r="H4" s="247"/>
      <c r="I4" s="247"/>
      <c r="J4" s="247"/>
      <c r="K4" s="247"/>
      <c r="L4" s="247"/>
    </row>
    <row r="5" spans="1:12" x14ac:dyDescent="0.25">
      <c r="A5" s="145" t="s">
        <v>523</v>
      </c>
      <c r="B5" s="157" t="s">
        <v>575</v>
      </c>
      <c r="C5" s="147"/>
      <c r="D5" s="147"/>
      <c r="E5" s="147"/>
      <c r="F5" s="147"/>
      <c r="G5" s="147"/>
      <c r="H5" s="147"/>
      <c r="I5" s="147"/>
      <c r="J5" s="147"/>
      <c r="K5" s="148"/>
      <c r="L5" s="149"/>
    </row>
    <row r="6" spans="1:12" x14ac:dyDescent="0.25">
      <c r="A6" s="145"/>
      <c r="B6" s="146"/>
      <c r="C6" s="147"/>
      <c r="D6" s="147"/>
      <c r="E6" s="147"/>
      <c r="F6" s="147"/>
      <c r="G6" s="147"/>
      <c r="H6" s="147"/>
      <c r="I6" s="147"/>
      <c r="J6" s="149"/>
      <c r="K6" s="149"/>
      <c r="L6" s="149"/>
    </row>
    <row r="35" spans="1:39" x14ac:dyDescent="0.25">
      <c r="A35" s="152" t="s">
        <v>525</v>
      </c>
      <c r="B35" s="153"/>
      <c r="C35" s="147"/>
      <c r="D35" s="147"/>
      <c r="E35" s="147"/>
      <c r="F35" s="147"/>
      <c r="G35" s="147"/>
      <c r="H35" s="147"/>
      <c r="I35" s="147"/>
      <c r="J35" s="147"/>
      <c r="K35" s="147"/>
    </row>
    <row r="36" spans="1:39" x14ac:dyDescent="0.25">
      <c r="A36" s="154" t="s">
        <v>526</v>
      </c>
      <c r="B36" s="248" t="s">
        <v>527</v>
      </c>
      <c r="C36" s="248"/>
      <c r="D36" s="248"/>
      <c r="E36" s="248"/>
      <c r="F36" s="248"/>
      <c r="G36" s="248"/>
      <c r="H36" s="248"/>
      <c r="I36" s="248"/>
      <c r="J36" s="248"/>
      <c r="K36" s="248"/>
    </row>
    <row r="37" spans="1:39" x14ac:dyDescent="0.25">
      <c r="A37" s="152" t="s">
        <v>524</v>
      </c>
      <c r="B37" s="249" t="s">
        <v>528</v>
      </c>
      <c r="C37" s="249"/>
      <c r="D37" s="249"/>
      <c r="E37" s="249"/>
      <c r="F37" s="249"/>
      <c r="G37" s="249"/>
      <c r="H37" s="249"/>
      <c r="I37" s="249"/>
      <c r="J37" s="249"/>
      <c r="K37" s="249"/>
    </row>
    <row r="38" spans="1:39" ht="14.25" customHeight="1" x14ac:dyDescent="0.25">
      <c r="A38" s="156" t="s">
        <v>531</v>
      </c>
      <c r="B38" s="250" t="s">
        <v>532</v>
      </c>
      <c r="C38" s="250"/>
      <c r="D38" s="250"/>
      <c r="E38" s="250"/>
      <c r="F38" s="250"/>
      <c r="G38" s="250"/>
      <c r="H38" s="250"/>
      <c r="I38" s="250"/>
      <c r="J38" s="250"/>
      <c r="K38" s="250"/>
    </row>
    <row r="39" spans="1:39" ht="14.25" customHeight="1" x14ac:dyDescent="0.25">
      <c r="A39" s="156" t="s">
        <v>575</v>
      </c>
      <c r="B39" s="226" t="s">
        <v>576</v>
      </c>
      <c r="C39" s="226"/>
      <c r="D39" s="226"/>
      <c r="E39" s="226"/>
      <c r="F39" s="226"/>
      <c r="G39" s="226"/>
      <c r="H39" s="226"/>
      <c r="I39" s="226"/>
      <c r="J39" s="226"/>
      <c r="K39" s="226"/>
    </row>
    <row r="40" spans="1:39" ht="14.25" customHeight="1" x14ac:dyDescent="0.25">
      <c r="A40" s="156"/>
      <c r="B40" s="226"/>
      <c r="C40" s="226"/>
      <c r="D40" s="226"/>
      <c r="E40" s="226"/>
      <c r="F40" s="226"/>
      <c r="G40" s="226"/>
      <c r="H40" s="226"/>
      <c r="I40" s="226"/>
      <c r="J40" s="226"/>
      <c r="K40" s="226"/>
    </row>
    <row r="41" spans="1:39" ht="14.25" customHeight="1" x14ac:dyDescent="0.25">
      <c r="A41" s="156"/>
      <c r="B41" s="226"/>
      <c r="C41" s="226"/>
      <c r="D41" s="226"/>
      <c r="E41" s="226"/>
      <c r="F41" s="226"/>
      <c r="G41" s="226"/>
      <c r="H41" s="226"/>
      <c r="I41" s="226"/>
      <c r="J41" s="226"/>
      <c r="K41" s="226"/>
    </row>
    <row r="42" spans="1:39" x14ac:dyDescent="0.25">
      <c r="A42" s="156"/>
      <c r="B42" s="226"/>
      <c r="C42" s="226"/>
      <c r="D42" s="226"/>
      <c r="E42" s="226"/>
      <c r="F42" s="226"/>
      <c r="G42" s="226"/>
      <c r="H42" s="226"/>
      <c r="I42" s="226"/>
      <c r="J42" s="226"/>
      <c r="K42" s="226"/>
    </row>
    <row r="43" spans="1:39" x14ac:dyDescent="0.25">
      <c r="A43" s="156"/>
      <c r="B43" s="226"/>
      <c r="C43" s="226"/>
      <c r="D43" s="226"/>
      <c r="E43" s="226"/>
      <c r="F43" s="226"/>
      <c r="G43" s="226"/>
      <c r="H43" s="226"/>
      <c r="I43" s="226"/>
      <c r="J43" s="226"/>
      <c r="K43" s="226"/>
    </row>
    <row r="44" spans="1:39" x14ac:dyDescent="0.25">
      <c r="A44" s="156"/>
      <c r="B44" s="226"/>
      <c r="C44" s="226"/>
      <c r="D44" s="226"/>
      <c r="E44" s="226"/>
      <c r="F44" s="226"/>
      <c r="G44" s="226"/>
      <c r="H44" s="226"/>
      <c r="I44" s="226"/>
      <c r="J44" s="226"/>
      <c r="K44" s="226"/>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row>
    <row r="45" spans="1:39" x14ac:dyDescent="0.25">
      <c r="A45" s="156"/>
      <c r="B45" s="226"/>
      <c r="C45" s="226"/>
      <c r="D45" s="226"/>
      <c r="E45" s="226"/>
      <c r="F45" s="226"/>
      <c r="G45" s="226"/>
      <c r="H45" s="226"/>
      <c r="I45" s="226"/>
      <c r="J45" s="226"/>
      <c r="K45" s="226"/>
    </row>
    <row r="46" spans="1:39" x14ac:dyDescent="0.25">
      <c r="A46" s="156"/>
      <c r="B46" s="226"/>
      <c r="C46" s="226"/>
      <c r="D46" s="226"/>
      <c r="E46" s="226"/>
      <c r="F46" s="226"/>
      <c r="G46" s="226"/>
      <c r="H46" s="226"/>
      <c r="I46" s="226"/>
      <c r="J46" s="226"/>
      <c r="K46" s="226"/>
    </row>
    <row r="47" spans="1:39" x14ac:dyDescent="0.25">
      <c r="A47" s="156"/>
      <c r="B47" s="226"/>
    </row>
  </sheetData>
  <sheetProtection algorithmName="SHA-512" hashValue="w01gbvbP5UAcO48uUSPEcM42DLQN7csQvCqJuiQNlT2ekF2fq5jE6wMXzUF2sGQQxMvVP9g7SkV1wWRVLYe5KQ==" saltValue="LTIZtgTeeFd21Qi1VHycQA==" spinCount="100000" sheet="1" objects="1" scenarios="1" selectLockedCells="1" selectUnlockedCells="1"/>
  <mergeCells count="5">
    <mergeCell ref="A1:L3"/>
    <mergeCell ref="A4:L4"/>
    <mergeCell ref="B36:K36"/>
    <mergeCell ref="B37:K37"/>
    <mergeCell ref="B38:K3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131</vt:i4>
      </vt:variant>
    </vt:vector>
  </HeadingPairs>
  <TitlesOfParts>
    <vt:vector size="141" baseType="lpstr">
      <vt:lpstr>Design Converter</vt:lpstr>
      <vt:lpstr>Variable_Management</vt:lpstr>
      <vt:lpstr>Eff_vs_IOUT</vt:lpstr>
      <vt:lpstr>Loop_Modeling</vt:lpstr>
      <vt:lpstr>Constants</vt:lpstr>
      <vt:lpstr>Plot_Management_Eff</vt:lpstr>
      <vt:lpstr>Plot_Management_Sch</vt:lpstr>
      <vt:lpstr>Lists</vt:lpstr>
      <vt:lpstr>Licenses</vt:lpstr>
      <vt:lpstr>Sheet1</vt:lpstr>
      <vt:lpstr>Acs</vt:lpstr>
      <vt:lpstr>Adc</vt:lpstr>
      <vt:lpstr>Adc_ea</vt:lpstr>
      <vt:lpstr>ADC_VINmin</vt:lpstr>
      <vt:lpstr>CCOMP</vt:lpstr>
      <vt:lpstr>CComp_calc</vt:lpstr>
      <vt:lpstr>CHF</vt:lpstr>
      <vt:lpstr>Comp_calc</vt:lpstr>
      <vt:lpstr>Cout</vt:lpstr>
      <vt:lpstr>Cout_min</vt:lpstr>
      <vt:lpstr>D_limit_max</vt:lpstr>
      <vt:lpstr>D_limit_min</vt:lpstr>
      <vt:lpstr>D_limit_nom</vt:lpstr>
      <vt:lpstr>Dc_CCM_VIN_max</vt:lpstr>
      <vt:lpstr>Dc_CCM_VIN_min</vt:lpstr>
      <vt:lpstr>Dc_CCM_VIN_nom</vt:lpstr>
      <vt:lpstr>Dc_DCM_VIN_nom</vt:lpstr>
      <vt:lpstr>Dc_max_IC</vt:lpstr>
      <vt:lpstr>Dc_max_ideal</vt:lpstr>
      <vt:lpstr>Dc_Mode</vt:lpstr>
      <vt:lpstr>Dc_Mode_Loop</vt:lpstr>
      <vt:lpstr>Dc_rip_max</vt:lpstr>
      <vt:lpstr>Dc_VIN_max</vt:lpstr>
      <vt:lpstr>Dc_VIN_min</vt:lpstr>
      <vt:lpstr>Dc_VIN_nom</vt:lpstr>
      <vt:lpstr>EFF_est</vt:lpstr>
      <vt:lpstr>Eff_vs_IOUT</vt:lpstr>
      <vt:lpstr>fcross</vt:lpstr>
      <vt:lpstr>fcross_est</vt:lpstr>
      <vt:lpstr>fp_ea_est</vt:lpstr>
      <vt:lpstr>Fsw</vt:lpstr>
      <vt:lpstr>fz_ea_est</vt:lpstr>
      <vt:lpstr>fz_rhp</vt:lpstr>
      <vt:lpstr>Gcomp</vt:lpstr>
      <vt:lpstr>Gea_mid_calc</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Ipk_margin</vt:lpstr>
      <vt:lpstr>Ipk_selected</vt:lpstr>
      <vt:lpstr>IQ</vt:lpstr>
      <vt:lpstr>IRMS_COUT</vt:lpstr>
      <vt:lpstr>Isl</vt:lpstr>
      <vt:lpstr>Iss</vt:lpstr>
      <vt:lpstr>Kslope</vt:lpstr>
      <vt:lpstr>L_DCM</vt:lpstr>
      <vt:lpstr>Lm</vt:lpstr>
      <vt:lpstr>Lopt</vt:lpstr>
      <vt:lpstr>Lopt_2</vt:lpstr>
      <vt:lpstr>POUT</vt:lpstr>
      <vt:lpstr>'Design Converter'!Print_Area</vt:lpstr>
      <vt:lpstr>Q</vt:lpstr>
      <vt:lpstr>Q_VINmin</vt:lpstr>
      <vt:lpstr>Qg_tot</vt:lpstr>
      <vt:lpstr>Qgd</vt:lpstr>
      <vt:lpstr>Qgs</vt:lpstr>
      <vt:lpstr>Qrr</vt:lpstr>
      <vt:lpstr>R_cs</vt:lpstr>
      <vt:lpstr>R_sl</vt:lpstr>
      <vt:lpstr>RCOMP</vt:lpstr>
      <vt:lpstr>Rcomp_calc</vt:lpstr>
      <vt:lpstr>Rcs_max</vt:lpstr>
      <vt:lpstr>Rcs_w_sl</vt:lpstr>
      <vt:lpstr>Rcs_wo_sl</vt:lpstr>
      <vt:lpstr>Rdcr</vt:lpstr>
      <vt:lpstr>RDS_on</vt:lpstr>
      <vt:lpstr>Resr</vt:lpstr>
      <vt:lpstr>RFBB</vt:lpstr>
      <vt:lpstr>RFBB_calc</vt:lpstr>
      <vt:lpstr>RFBT</vt:lpstr>
      <vt:lpstr>Rgate</vt:lpstr>
      <vt:lpstr>ROUT</vt:lpstr>
      <vt:lpstr>Rsl_int</vt:lpstr>
      <vt:lpstr>Rsl_max</vt:lpstr>
      <vt:lpstr>RT</vt:lpstr>
      <vt:lpstr>Ruvlo_bottom_calc</vt:lpstr>
      <vt:lpstr>Ruvlo_top</vt:lpstr>
      <vt:lpstr>Ruvlo_top_calc</vt:lpstr>
      <vt:lpstr>SCH_1</vt:lpstr>
      <vt:lpstr>SCH_2</vt:lpstr>
      <vt:lpstr>Se_VINmin</vt:lpstr>
      <vt:lpstr>Sn_VINmin</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VIN_op_max_56</vt:lpstr>
      <vt:lpstr>VIN_op_min</vt:lpstr>
      <vt:lpstr>VIN_var</vt:lpstr>
      <vt:lpstr>VOUT</vt:lpstr>
      <vt:lpstr>Vout_rip_sel</vt:lpstr>
      <vt:lpstr>Vref</vt:lpstr>
      <vt:lpstr>Vth</vt:lpstr>
      <vt:lpstr>Vuvlo_off</vt:lpstr>
      <vt:lpstr>Vuvlo_on</vt:lpstr>
      <vt:lpstr>wp_hf</vt:lpstr>
      <vt:lpstr>wp_lf</vt:lpstr>
      <vt:lpstr>wp_lf_VINmin</vt:lpstr>
      <vt:lpstr>wp0_ea</vt:lpstr>
      <vt:lpstr>wp1_ea</vt:lpstr>
      <vt:lpstr>wsl</vt:lpstr>
      <vt:lpstr>wsl_VINmin</vt:lpstr>
      <vt:lpstr>wz_ea</vt:lpstr>
      <vt:lpstr>wz_esr</vt:lpstr>
      <vt:lpstr>wz_esr_VINmin</vt:lpstr>
      <vt:lpstr>wz_rhp</vt:lpstr>
      <vt:lpstr>wz_RHP_VINmin</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Paul Willis</cp:lastModifiedBy>
  <cp:lastPrinted>2018-08-09T07:13:51Z</cp:lastPrinted>
  <dcterms:created xsi:type="dcterms:W3CDTF">2018-06-26T09:13:29Z</dcterms:created>
  <dcterms:modified xsi:type="dcterms:W3CDTF">2024-01-04T23:44:57Z</dcterms:modified>
</cp:coreProperties>
</file>